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firstSheet="1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271" i="4" l="1"/>
  <c r="K3272" i="4"/>
  <c r="K3273" i="4"/>
  <c r="K3274" i="4"/>
  <c r="K3275" i="4"/>
  <c r="K3276" i="4"/>
  <c r="K3277" i="4"/>
  <c r="K3278" i="4"/>
  <c r="P3438" i="4" l="1"/>
  <c r="R3438" i="4"/>
  <c r="P3439" i="4"/>
  <c r="R3439" i="4"/>
  <c r="P3440" i="4"/>
  <c r="R3440" i="4"/>
  <c r="P3441" i="4"/>
  <c r="R3441" i="4"/>
  <c r="P3442" i="4"/>
  <c r="R3442" i="4"/>
  <c r="P3443" i="4"/>
  <c r="R3443" i="4"/>
  <c r="P3444" i="4"/>
  <c r="R3444" i="4"/>
  <c r="P3445" i="4"/>
  <c r="R3445" i="4"/>
  <c r="P3446" i="4"/>
  <c r="R3446" i="4"/>
  <c r="P3447" i="4"/>
  <c r="R3447" i="4"/>
  <c r="P3448" i="4"/>
  <c r="R3448" i="4"/>
  <c r="P3449" i="4"/>
  <c r="R3449" i="4"/>
  <c r="P3450" i="4"/>
  <c r="R3450" i="4"/>
  <c r="P3451" i="4"/>
  <c r="R3451" i="4"/>
  <c r="P3452" i="4"/>
  <c r="R3452" i="4"/>
  <c r="P3453" i="4"/>
  <c r="R3453" i="4"/>
  <c r="P3454" i="4"/>
  <c r="R3454" i="4"/>
  <c r="P3455" i="4"/>
  <c r="R3455" i="4"/>
  <c r="P3456" i="4"/>
  <c r="R3456" i="4"/>
  <c r="P3457" i="4"/>
  <c r="R3457" i="4"/>
  <c r="P3458" i="4"/>
  <c r="R3458" i="4"/>
  <c r="P3459" i="4"/>
  <c r="R3459" i="4"/>
  <c r="P3460" i="4"/>
  <c r="R3460" i="4"/>
  <c r="P3461" i="4"/>
  <c r="R3461" i="4"/>
  <c r="P3462" i="4"/>
  <c r="R3462" i="4"/>
  <c r="P3463" i="4"/>
  <c r="R3463" i="4"/>
  <c r="P3464" i="4"/>
  <c r="R3464" i="4"/>
  <c r="P3465" i="4"/>
  <c r="R3465" i="4"/>
  <c r="P3466" i="4"/>
  <c r="R3466" i="4"/>
  <c r="P3467" i="4"/>
  <c r="R3467" i="4"/>
  <c r="P3468" i="4"/>
  <c r="R3468" i="4"/>
  <c r="P3469" i="4"/>
  <c r="R3469" i="4"/>
  <c r="P3470" i="4"/>
  <c r="R3470" i="4"/>
  <c r="P3471" i="4"/>
  <c r="R3471" i="4"/>
  <c r="P3472" i="4"/>
  <c r="R3472" i="4"/>
  <c r="P3473" i="4"/>
  <c r="R3473" i="4"/>
  <c r="P3474" i="4"/>
  <c r="R3474" i="4"/>
  <c r="P3475" i="4"/>
  <c r="R3475" i="4"/>
  <c r="P3476" i="4"/>
  <c r="R3476" i="4"/>
  <c r="P3477" i="4"/>
  <c r="R3477" i="4"/>
  <c r="P3478" i="4"/>
  <c r="R3478" i="4"/>
  <c r="P3479" i="4"/>
  <c r="R3479" i="4"/>
  <c r="P3480" i="4"/>
  <c r="R3480" i="4"/>
  <c r="P3481" i="4"/>
  <c r="R3481" i="4"/>
  <c r="P3482" i="4"/>
  <c r="R3482" i="4"/>
  <c r="P3483" i="4"/>
  <c r="R3483" i="4"/>
  <c r="P3484" i="4"/>
  <c r="R3484" i="4"/>
  <c r="P3485" i="4"/>
  <c r="R3485" i="4"/>
  <c r="P3486" i="4"/>
  <c r="R3486" i="4"/>
  <c r="P3487" i="4"/>
  <c r="R3487" i="4"/>
  <c r="P3488" i="4"/>
  <c r="R3488" i="4"/>
  <c r="P3489" i="4"/>
  <c r="R3489" i="4"/>
  <c r="P3490" i="4"/>
  <c r="R3490" i="4"/>
  <c r="P3491" i="4"/>
  <c r="R3491" i="4"/>
  <c r="P3492" i="4"/>
  <c r="R3492" i="4"/>
  <c r="P3493" i="4"/>
  <c r="R3493" i="4"/>
  <c r="P3494" i="4"/>
  <c r="R3494" i="4"/>
  <c r="P3495" i="4"/>
  <c r="R3495" i="4"/>
  <c r="P3496" i="4"/>
  <c r="R3496" i="4"/>
  <c r="P3497" i="4"/>
  <c r="R3497" i="4"/>
  <c r="P3498" i="4"/>
  <c r="R3498" i="4"/>
  <c r="P3499" i="4"/>
  <c r="R3499" i="4"/>
  <c r="P3500" i="4"/>
  <c r="R3500" i="4"/>
  <c r="P3501" i="4"/>
  <c r="R3501" i="4"/>
  <c r="P3502" i="4"/>
  <c r="R3502" i="4"/>
  <c r="P3503" i="4"/>
  <c r="R3503" i="4"/>
  <c r="P3504" i="4"/>
  <c r="R3504" i="4"/>
  <c r="P3505" i="4"/>
  <c r="R3505" i="4"/>
  <c r="P3506" i="4"/>
  <c r="R3506" i="4"/>
  <c r="P3507" i="4"/>
  <c r="R3507" i="4"/>
  <c r="P3508" i="4"/>
  <c r="R3508" i="4"/>
  <c r="P3509" i="4"/>
  <c r="R3509" i="4"/>
  <c r="P3510" i="4"/>
  <c r="R3510" i="4"/>
  <c r="P3511" i="4"/>
  <c r="R3511" i="4"/>
  <c r="P3512" i="4"/>
  <c r="R3512" i="4"/>
  <c r="P3513" i="4"/>
  <c r="R3513" i="4"/>
  <c r="P3514" i="4"/>
  <c r="R3514" i="4"/>
  <c r="P3515" i="4"/>
  <c r="R3515" i="4"/>
  <c r="P3516" i="4"/>
  <c r="R3516" i="4"/>
  <c r="P3517" i="4"/>
  <c r="R3517" i="4"/>
  <c r="P3518" i="4"/>
  <c r="R3518" i="4"/>
  <c r="P3519" i="4"/>
  <c r="R3519" i="4"/>
  <c r="P3520" i="4"/>
  <c r="R3520" i="4"/>
  <c r="P3521" i="4"/>
  <c r="R3521" i="4"/>
  <c r="P3522" i="4"/>
  <c r="R3522" i="4"/>
  <c r="P3523" i="4"/>
  <c r="R3523" i="4"/>
  <c r="P3524" i="4"/>
  <c r="R3524" i="4"/>
  <c r="P3525" i="4"/>
  <c r="R3525" i="4"/>
  <c r="P3526" i="4"/>
  <c r="R3526" i="4"/>
  <c r="P3527" i="4"/>
  <c r="R3527" i="4"/>
  <c r="P3528" i="4"/>
  <c r="R3528" i="4"/>
  <c r="P3529" i="4"/>
  <c r="R3529" i="4"/>
  <c r="P3530" i="4"/>
  <c r="R3530" i="4"/>
  <c r="P3531" i="4"/>
  <c r="R3531" i="4"/>
  <c r="P3532" i="4"/>
  <c r="R3532" i="4"/>
  <c r="P3533" i="4"/>
  <c r="R3533" i="4"/>
  <c r="P3534" i="4"/>
  <c r="R3534" i="4"/>
  <c r="P3535" i="4"/>
  <c r="R3535" i="4"/>
  <c r="P3536" i="4"/>
  <c r="R3536" i="4"/>
  <c r="P3537" i="4"/>
  <c r="R3537" i="4"/>
  <c r="P3538" i="4"/>
  <c r="R3538" i="4"/>
  <c r="P3539" i="4"/>
  <c r="R3539" i="4"/>
  <c r="P3540" i="4"/>
  <c r="R3540" i="4"/>
  <c r="P3541" i="4"/>
  <c r="R3541" i="4"/>
  <c r="P3542" i="4"/>
  <c r="R3542" i="4"/>
  <c r="P3543" i="4"/>
  <c r="R3543" i="4"/>
  <c r="P3544" i="4"/>
  <c r="R3544" i="4"/>
  <c r="P3545" i="4"/>
  <c r="R3545" i="4"/>
  <c r="P3546" i="4"/>
  <c r="R3546" i="4"/>
  <c r="P3547" i="4"/>
  <c r="R3547" i="4"/>
  <c r="P3548" i="4"/>
  <c r="R3548" i="4"/>
  <c r="P3549" i="4"/>
  <c r="R3549" i="4"/>
  <c r="P3550" i="4"/>
  <c r="R3550" i="4"/>
  <c r="P3551" i="4"/>
  <c r="R3551" i="4"/>
  <c r="P3552" i="4"/>
  <c r="R3552" i="4"/>
  <c r="P3553" i="4"/>
  <c r="R3553" i="4"/>
  <c r="P3554" i="4"/>
  <c r="R3554" i="4"/>
  <c r="P3555" i="4"/>
  <c r="R3555" i="4"/>
  <c r="R3437" i="4"/>
  <c r="I3438" i="4"/>
  <c r="J3438" i="4"/>
  <c r="K3438" i="4" s="1"/>
  <c r="I3439" i="4"/>
  <c r="J3439" i="4"/>
  <c r="K3439" i="4" s="1"/>
  <c r="I3440" i="4"/>
  <c r="J3440" i="4"/>
  <c r="K3440" i="4" s="1"/>
  <c r="L3440" i="4" s="1"/>
  <c r="I3441" i="4"/>
  <c r="J3441" i="4"/>
  <c r="K3441" i="4" s="1"/>
  <c r="I3442" i="4"/>
  <c r="J3442" i="4"/>
  <c r="K3442" i="4" s="1"/>
  <c r="I3443" i="4"/>
  <c r="J3443" i="4"/>
  <c r="K3443" i="4" s="1"/>
  <c r="I3444" i="4"/>
  <c r="J3444" i="4"/>
  <c r="K3444" i="4" s="1"/>
  <c r="I3445" i="4"/>
  <c r="J3445" i="4"/>
  <c r="K3445" i="4" s="1"/>
  <c r="L3445" i="4" s="1"/>
  <c r="I3446" i="4"/>
  <c r="J3446" i="4"/>
  <c r="K3446" i="4"/>
  <c r="L3446" i="4" s="1"/>
  <c r="I3447" i="4"/>
  <c r="J3447" i="4"/>
  <c r="K3447" i="4" s="1"/>
  <c r="L3447" i="4" s="1"/>
  <c r="I3448" i="4"/>
  <c r="J3448" i="4"/>
  <c r="K3448" i="4" s="1"/>
  <c r="I3449" i="4"/>
  <c r="J3449" i="4"/>
  <c r="K3449" i="4"/>
  <c r="M3449" i="4" s="1"/>
  <c r="I3450" i="4"/>
  <c r="J3450" i="4"/>
  <c r="K3450" i="4" s="1"/>
  <c r="I3451" i="4"/>
  <c r="J3451" i="4"/>
  <c r="K3451" i="4" s="1"/>
  <c r="L3451" i="4" s="1"/>
  <c r="I3452" i="4"/>
  <c r="J3452" i="4"/>
  <c r="K3452" i="4" s="1"/>
  <c r="L3452" i="4" s="1"/>
  <c r="I3453" i="4"/>
  <c r="J3453" i="4"/>
  <c r="K3453" i="4" s="1"/>
  <c r="I3454" i="4"/>
  <c r="J3454" i="4"/>
  <c r="K3454" i="4" s="1"/>
  <c r="I3455" i="4"/>
  <c r="J3455" i="4"/>
  <c r="K3455" i="4" s="1"/>
  <c r="I3456" i="4"/>
  <c r="J3456" i="4"/>
  <c r="K3456" i="4" s="1"/>
  <c r="L3456" i="4" s="1"/>
  <c r="I3457" i="4"/>
  <c r="J3457" i="4"/>
  <c r="K3457" i="4" s="1"/>
  <c r="I3458" i="4"/>
  <c r="J3458" i="4"/>
  <c r="K3458" i="4" s="1"/>
  <c r="I3459" i="4"/>
  <c r="J3459" i="4"/>
  <c r="K3459" i="4" s="1"/>
  <c r="I3460" i="4"/>
  <c r="J3460" i="4"/>
  <c r="K3460" i="4" s="1"/>
  <c r="I3461" i="4"/>
  <c r="J3461" i="4"/>
  <c r="K3461" i="4" s="1"/>
  <c r="L3461" i="4" s="1"/>
  <c r="I3462" i="4"/>
  <c r="J3462" i="4"/>
  <c r="K3462" i="4" s="1"/>
  <c r="L3462" i="4" s="1"/>
  <c r="I3463" i="4"/>
  <c r="J3463" i="4"/>
  <c r="K3463" i="4" s="1"/>
  <c r="L3463" i="4" s="1"/>
  <c r="I3464" i="4"/>
  <c r="J3464" i="4"/>
  <c r="K3464" i="4" s="1"/>
  <c r="I3465" i="4"/>
  <c r="J3465" i="4"/>
  <c r="K3465" i="4" s="1"/>
  <c r="I3466" i="4"/>
  <c r="J3466" i="4"/>
  <c r="K3466" i="4" s="1"/>
  <c r="I3467" i="4"/>
  <c r="J3467" i="4"/>
  <c r="K3467" i="4" s="1"/>
  <c r="I3468" i="4"/>
  <c r="J3468" i="4"/>
  <c r="K3468" i="4" s="1"/>
  <c r="L3468" i="4" s="1"/>
  <c r="I3469" i="4"/>
  <c r="J3469" i="4"/>
  <c r="K3469" i="4" s="1"/>
  <c r="I3470" i="4"/>
  <c r="J3470" i="4"/>
  <c r="K3470" i="4" s="1"/>
  <c r="I3471" i="4"/>
  <c r="J3471" i="4"/>
  <c r="K3471" i="4" s="1"/>
  <c r="I3472" i="4"/>
  <c r="J3472" i="4"/>
  <c r="K3472" i="4" s="1"/>
  <c r="L3472" i="4" s="1"/>
  <c r="I3473" i="4"/>
  <c r="J3473" i="4"/>
  <c r="K3473" i="4" s="1"/>
  <c r="I3474" i="4"/>
  <c r="J3474" i="4"/>
  <c r="K3474" i="4" s="1"/>
  <c r="I3475" i="4"/>
  <c r="J3475" i="4"/>
  <c r="K3475" i="4" s="1"/>
  <c r="I3476" i="4"/>
  <c r="J3476" i="4"/>
  <c r="K3476" i="4" s="1"/>
  <c r="I3477" i="4"/>
  <c r="J3477" i="4"/>
  <c r="K3477" i="4" s="1"/>
  <c r="L3477" i="4" s="1"/>
  <c r="I3478" i="4"/>
  <c r="J3478" i="4"/>
  <c r="K3478" i="4" s="1"/>
  <c r="I3479" i="4"/>
  <c r="J3479" i="4"/>
  <c r="K3479" i="4" s="1"/>
  <c r="L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L3483" i="4" s="1"/>
  <c r="I3484" i="4"/>
  <c r="J3484" i="4"/>
  <c r="K3484" i="4" s="1"/>
  <c r="L3484" i="4" s="1"/>
  <c r="I3485" i="4"/>
  <c r="J3485" i="4"/>
  <c r="K3485" i="4" s="1"/>
  <c r="I3486" i="4"/>
  <c r="J3486" i="4"/>
  <c r="K3486" i="4" s="1"/>
  <c r="I3487" i="4"/>
  <c r="J3487" i="4"/>
  <c r="K3487" i="4" s="1"/>
  <c r="I3488" i="4"/>
  <c r="J3488" i="4"/>
  <c r="K3488" i="4"/>
  <c r="L3488" i="4" s="1"/>
  <c r="I3489" i="4"/>
  <c r="J3489" i="4"/>
  <c r="K3489" i="4" s="1"/>
  <c r="I3490" i="4"/>
  <c r="J3490" i="4"/>
  <c r="K3490" i="4" s="1"/>
  <c r="I3491" i="4"/>
  <c r="J3491" i="4"/>
  <c r="K3491" i="4" s="1"/>
  <c r="I3492" i="4"/>
  <c r="J3492" i="4"/>
  <c r="K3492" i="4" s="1"/>
  <c r="I3493" i="4"/>
  <c r="J3493" i="4"/>
  <c r="K3493" i="4" s="1"/>
  <c r="L3493" i="4" s="1"/>
  <c r="I3494" i="4"/>
  <c r="J3494" i="4"/>
  <c r="K3494" i="4" s="1"/>
  <c r="L3494" i="4" s="1"/>
  <c r="I3495" i="4"/>
  <c r="J3495" i="4"/>
  <c r="K3495" i="4" s="1"/>
  <c r="L3495" i="4" s="1"/>
  <c r="I3496" i="4"/>
  <c r="J3496" i="4"/>
  <c r="K3496" i="4" s="1"/>
  <c r="I3497" i="4"/>
  <c r="J3497" i="4"/>
  <c r="K3497" i="4"/>
  <c r="M3497" i="4" s="1"/>
  <c r="I3498" i="4"/>
  <c r="J3498" i="4"/>
  <c r="K3498" i="4" s="1"/>
  <c r="I3499" i="4"/>
  <c r="J3499" i="4"/>
  <c r="K3499" i="4" s="1"/>
  <c r="I3500" i="4"/>
  <c r="J3500" i="4"/>
  <c r="K3500" i="4" s="1"/>
  <c r="L3500" i="4" s="1"/>
  <c r="I3501" i="4"/>
  <c r="J3501" i="4"/>
  <c r="K3501" i="4" s="1"/>
  <c r="I3502" i="4"/>
  <c r="J3502" i="4"/>
  <c r="K3502" i="4" s="1"/>
  <c r="I3503" i="4"/>
  <c r="J3503" i="4"/>
  <c r="K3503" i="4" s="1"/>
  <c r="I3504" i="4"/>
  <c r="J3504" i="4"/>
  <c r="K3504" i="4" s="1"/>
  <c r="L3504" i="4" s="1"/>
  <c r="I3505" i="4"/>
  <c r="J3505" i="4"/>
  <c r="K3505" i="4" s="1"/>
  <c r="I3506" i="4"/>
  <c r="J3506" i="4"/>
  <c r="K3506" i="4" s="1"/>
  <c r="I3507" i="4"/>
  <c r="J3507" i="4"/>
  <c r="K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L3511" i="4" s="1"/>
  <c r="I3512" i="4"/>
  <c r="J3512" i="4"/>
  <c r="K3512" i="4" s="1"/>
  <c r="I3513" i="4"/>
  <c r="J3513" i="4"/>
  <c r="K3513" i="4" s="1"/>
  <c r="I3514" i="4"/>
  <c r="J3514" i="4"/>
  <c r="K3514" i="4" s="1"/>
  <c r="I3515" i="4"/>
  <c r="J3515" i="4"/>
  <c r="K3515" i="4" s="1"/>
  <c r="I3516" i="4"/>
  <c r="J3516" i="4"/>
  <c r="K3516" i="4" s="1"/>
  <c r="L3516" i="4" s="1"/>
  <c r="I3517" i="4"/>
  <c r="J3517" i="4"/>
  <c r="K3517" i="4"/>
  <c r="L3517" i="4" s="1"/>
  <c r="I3518" i="4"/>
  <c r="J3518" i="4"/>
  <c r="K3518" i="4" s="1"/>
  <c r="I3519" i="4"/>
  <c r="J3519" i="4"/>
  <c r="K3519" i="4" s="1"/>
  <c r="I3520" i="4"/>
  <c r="J3520" i="4"/>
  <c r="K3520" i="4" s="1"/>
  <c r="I3521" i="4"/>
  <c r="J3521" i="4"/>
  <c r="K3521" i="4" s="1"/>
  <c r="I3522" i="4"/>
  <c r="J3522" i="4"/>
  <c r="K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L3527" i="4" s="1"/>
  <c r="I3528" i="4"/>
  <c r="J3528" i="4"/>
  <c r="K3528" i="4" s="1"/>
  <c r="I3529" i="4"/>
  <c r="J3529" i="4"/>
  <c r="K3529" i="4" s="1"/>
  <c r="M3529" i="4" s="1"/>
  <c r="I3530" i="4"/>
  <c r="J3530" i="4"/>
  <c r="K3530" i="4" s="1"/>
  <c r="I3531" i="4"/>
  <c r="J3531" i="4"/>
  <c r="K3531" i="4" s="1"/>
  <c r="I3532" i="4"/>
  <c r="J3532" i="4"/>
  <c r="K3532" i="4" s="1"/>
  <c r="L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I3536" i="4"/>
  <c r="J3536" i="4"/>
  <c r="K3536" i="4" s="1"/>
  <c r="I3537" i="4"/>
  <c r="J3537" i="4"/>
  <c r="K3537" i="4" s="1"/>
  <c r="I3538" i="4"/>
  <c r="J3538" i="4"/>
  <c r="K3538" i="4" s="1"/>
  <c r="L3538" i="4" s="1"/>
  <c r="I3539" i="4"/>
  <c r="J3539" i="4"/>
  <c r="K3539" i="4" s="1"/>
  <c r="L3539" i="4" s="1"/>
  <c r="I3540" i="4"/>
  <c r="J3540" i="4"/>
  <c r="K3540" i="4" s="1"/>
  <c r="I3541" i="4"/>
  <c r="J3541" i="4"/>
  <c r="K3541" i="4" s="1"/>
  <c r="M3541" i="4" s="1"/>
  <c r="I3542" i="4"/>
  <c r="J3542" i="4"/>
  <c r="K3542" i="4"/>
  <c r="M3542" i="4" s="1"/>
  <c r="I3543" i="4"/>
  <c r="J3543" i="4"/>
  <c r="K3543" i="4" s="1"/>
  <c r="L3543" i="4" s="1"/>
  <c r="I3544" i="4"/>
  <c r="J3544" i="4"/>
  <c r="K3544" i="4" s="1"/>
  <c r="I3545" i="4"/>
  <c r="J3545" i="4"/>
  <c r="K3545" i="4" s="1"/>
  <c r="I3546" i="4"/>
  <c r="J3546" i="4"/>
  <c r="K3546" i="4" s="1"/>
  <c r="I3547" i="4"/>
  <c r="J3547" i="4"/>
  <c r="K3547" i="4" s="1"/>
  <c r="L3547" i="4" s="1"/>
  <c r="I3548" i="4"/>
  <c r="J3548" i="4"/>
  <c r="K3548" i="4" s="1"/>
  <c r="L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I3552" i="4"/>
  <c r="J3552" i="4"/>
  <c r="K3552" i="4" s="1"/>
  <c r="L3552" i="4" s="1"/>
  <c r="I3553" i="4"/>
  <c r="J3553" i="4"/>
  <c r="K3553" i="4" s="1"/>
  <c r="I3554" i="4"/>
  <c r="J3554" i="4"/>
  <c r="K3554" i="4" s="1"/>
  <c r="L3554" i="4" s="1"/>
  <c r="I3555" i="4"/>
  <c r="J3555" i="4"/>
  <c r="K3555" i="4" s="1"/>
  <c r="J3437" i="4"/>
  <c r="I3437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439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M3552" i="4" l="1"/>
  <c r="L3529" i="4"/>
  <c r="M3516" i="4"/>
  <c r="M3547" i="4"/>
  <c r="M3484" i="4"/>
  <c r="M3517" i="4"/>
  <c r="L3497" i="4"/>
  <c r="L3542" i="4"/>
  <c r="L3467" i="4"/>
  <c r="M3467" i="4"/>
  <c r="L3513" i="4"/>
  <c r="M3513" i="4"/>
  <c r="M3533" i="4"/>
  <c r="M3539" i="4"/>
  <c r="M3532" i="4"/>
  <c r="M3548" i="4"/>
  <c r="M3546" i="4"/>
  <c r="L3546" i="4"/>
  <c r="L3510" i="4"/>
  <c r="M3510" i="4"/>
  <c r="L3499" i="4"/>
  <c r="M3499" i="4"/>
  <c r="L3545" i="4"/>
  <c r="M3545" i="4"/>
  <c r="M3520" i="4"/>
  <c r="L3520" i="4"/>
  <c r="M3481" i="4"/>
  <c r="L3481" i="4"/>
  <c r="L3531" i="4"/>
  <c r="M3531" i="4"/>
  <c r="M3465" i="4"/>
  <c r="L3465" i="4"/>
  <c r="L3478" i="4"/>
  <c r="M3478" i="4"/>
  <c r="L3515" i="4"/>
  <c r="M3515" i="4"/>
  <c r="L3526" i="4"/>
  <c r="M3526" i="4"/>
  <c r="L3536" i="4"/>
  <c r="M3536" i="4"/>
  <c r="M3500" i="4"/>
  <c r="M3483" i="4"/>
  <c r="M3494" i="4"/>
  <c r="M3549" i="4"/>
  <c r="L3541" i="4"/>
  <c r="M3468" i="4"/>
  <c r="L3449" i="4"/>
  <c r="M3451" i="4"/>
  <c r="M3452" i="4"/>
  <c r="M3514" i="4"/>
  <c r="L3514" i="4"/>
  <c r="L3534" i="4"/>
  <c r="M3534" i="4"/>
  <c r="L3518" i="4"/>
  <c r="M3518" i="4"/>
  <c r="L3491" i="4"/>
  <c r="M3491" i="4"/>
  <c r="L3473" i="4"/>
  <c r="M3473" i="4"/>
  <c r="L3455" i="4"/>
  <c r="M3455" i="4"/>
  <c r="L3444" i="4"/>
  <c r="M3444" i="4"/>
  <c r="L3490" i="4"/>
  <c r="M3490" i="4"/>
  <c r="L3454" i="4"/>
  <c r="M3454" i="4"/>
  <c r="L3443" i="4"/>
  <c r="M3443" i="4"/>
  <c r="M3501" i="4"/>
  <c r="L3501" i="4"/>
  <c r="L3442" i="4"/>
  <c r="M3442" i="4"/>
  <c r="L3551" i="4"/>
  <c r="M3551" i="4"/>
  <c r="M3471" i="4"/>
  <c r="L3471" i="4"/>
  <c r="L3460" i="4"/>
  <c r="M3460" i="4"/>
  <c r="L3448" i="4"/>
  <c r="M3448" i="4"/>
  <c r="M3466" i="4"/>
  <c r="L3466" i="4"/>
  <c r="L3528" i="4"/>
  <c r="M3528" i="4"/>
  <c r="L3522" i="4"/>
  <c r="M3522" i="4"/>
  <c r="L3512" i="4"/>
  <c r="M3512" i="4"/>
  <c r="L3506" i="4"/>
  <c r="M3506" i="4"/>
  <c r="L3441" i="4"/>
  <c r="M3441" i="4"/>
  <c r="M3544" i="4"/>
  <c r="L3544" i="4"/>
  <c r="L3508" i="4"/>
  <c r="M3508" i="4"/>
  <c r="M3453" i="4"/>
  <c r="L3453" i="4"/>
  <c r="L3537" i="4"/>
  <c r="M3537" i="4"/>
  <c r="L3470" i="4"/>
  <c r="M3470" i="4"/>
  <c r="L3459" i="4"/>
  <c r="M3459" i="4"/>
  <c r="M3482" i="4"/>
  <c r="L3482" i="4"/>
  <c r="M3530" i="4"/>
  <c r="L3530" i="4"/>
  <c r="L3521" i="4"/>
  <c r="M3521" i="4"/>
  <c r="L3487" i="4"/>
  <c r="M3487" i="4"/>
  <c r="L3476" i="4"/>
  <c r="M3476" i="4"/>
  <c r="L3464" i="4"/>
  <c r="M3464" i="4"/>
  <c r="M3523" i="4"/>
  <c r="L3523" i="4"/>
  <c r="L3486" i="4"/>
  <c r="M3486" i="4"/>
  <c r="L3457" i="4"/>
  <c r="M3457" i="4"/>
  <c r="L3439" i="4"/>
  <c r="M3439" i="4"/>
  <c r="L3502" i="4"/>
  <c r="M3502" i="4"/>
  <c r="L3496" i="4"/>
  <c r="M3496" i="4"/>
  <c r="L3507" i="4"/>
  <c r="M3507" i="4"/>
  <c r="L3505" i="4"/>
  <c r="M3505" i="4"/>
  <c r="M3555" i="4"/>
  <c r="L3555" i="4"/>
  <c r="M3469" i="4"/>
  <c r="L3469" i="4"/>
  <c r="L3458" i="4"/>
  <c r="M3458" i="4"/>
  <c r="M3498" i="4"/>
  <c r="L3498" i="4"/>
  <c r="L3475" i="4"/>
  <c r="M3475" i="4"/>
  <c r="L3489" i="4"/>
  <c r="M3489" i="4"/>
  <c r="L3503" i="4"/>
  <c r="M3503" i="4"/>
  <c r="M3485" i="4"/>
  <c r="L3485" i="4"/>
  <c r="L3438" i="4"/>
  <c r="M3438" i="4"/>
  <c r="M3450" i="4"/>
  <c r="L3450" i="4"/>
  <c r="L3524" i="4"/>
  <c r="M3524" i="4"/>
  <c r="L3550" i="4"/>
  <c r="M3550" i="4"/>
  <c r="L3540" i="4"/>
  <c r="M3540" i="4"/>
  <c r="L3553" i="4"/>
  <c r="M3553" i="4"/>
  <c r="L3535" i="4"/>
  <c r="M3535" i="4"/>
  <c r="M3519" i="4"/>
  <c r="L3519" i="4"/>
  <c r="L3492" i="4"/>
  <c r="M3492" i="4"/>
  <c r="L3480" i="4"/>
  <c r="M3480" i="4"/>
  <c r="L3474" i="4"/>
  <c r="M3474" i="4"/>
  <c r="M3504" i="4"/>
  <c r="M3488" i="4"/>
  <c r="M3472" i="4"/>
  <c r="M3456" i="4"/>
  <c r="M3440" i="4"/>
  <c r="M3462" i="4"/>
  <c r="M3446" i="4"/>
  <c r="M3554" i="4"/>
  <c r="M3538" i="4"/>
  <c r="M3525" i="4"/>
  <c r="M3509" i="4"/>
  <c r="M3493" i="4"/>
  <c r="M3477" i="4"/>
  <c r="M3461" i="4"/>
  <c r="M3445" i="4"/>
  <c r="M3543" i="4"/>
  <c r="M3527" i="4"/>
  <c r="M3511" i="4"/>
  <c r="M3495" i="4"/>
  <c r="M3479" i="4"/>
  <c r="M3463" i="4"/>
  <c r="M3447" i="4"/>
  <c r="P3436" i="4" l="1"/>
  <c r="B3437" i="4"/>
  <c r="C3437" i="4"/>
  <c r="E3437" i="4"/>
  <c r="K3437" i="4"/>
  <c r="M3437" i="4" s="1"/>
  <c r="P3437" i="4"/>
  <c r="E3438" i="4"/>
  <c r="R3436" i="4"/>
  <c r="J3436" i="4"/>
  <c r="K3436" i="4" s="1"/>
  <c r="I3436" i="4"/>
  <c r="E3436" i="4"/>
  <c r="C3436" i="4"/>
  <c r="B3436" i="4"/>
  <c r="B3404" i="4"/>
  <c r="P3387" i="4"/>
  <c r="P3384" i="4"/>
  <c r="P3383" i="4"/>
  <c r="B3434" i="4"/>
  <c r="C3434" i="4"/>
  <c r="E3434" i="4"/>
  <c r="I3434" i="4"/>
  <c r="J3434" i="4"/>
  <c r="K3434" i="4" s="1"/>
  <c r="P3434" i="4"/>
  <c r="R3434" i="4"/>
  <c r="B3435" i="4"/>
  <c r="C3435" i="4"/>
  <c r="E3435" i="4"/>
  <c r="I3435" i="4"/>
  <c r="J3435" i="4"/>
  <c r="K3435" i="4" s="1"/>
  <c r="P3435" i="4"/>
  <c r="R3435" i="4"/>
  <c r="I3337" i="4"/>
  <c r="J3337" i="4"/>
  <c r="K3337" i="4" s="1"/>
  <c r="L3337" i="4" s="1"/>
  <c r="P3337" i="4"/>
  <c r="R3337" i="4"/>
  <c r="I3338" i="4"/>
  <c r="J3338" i="4"/>
  <c r="K3338" i="4" s="1"/>
  <c r="P3338" i="4"/>
  <c r="R3338" i="4"/>
  <c r="I3339" i="4"/>
  <c r="J3339" i="4"/>
  <c r="K3339" i="4" s="1"/>
  <c r="L3339" i="4" s="1"/>
  <c r="P3339" i="4"/>
  <c r="R3339" i="4"/>
  <c r="I3340" i="4"/>
  <c r="J3340" i="4"/>
  <c r="K3340" i="4" s="1"/>
  <c r="P3340" i="4"/>
  <c r="R3340" i="4"/>
  <c r="I3341" i="4"/>
  <c r="J3341" i="4"/>
  <c r="K3341" i="4" s="1"/>
  <c r="L3341" i="4" s="1"/>
  <c r="P3341" i="4"/>
  <c r="R3341" i="4"/>
  <c r="I3342" i="4"/>
  <c r="J3342" i="4"/>
  <c r="K3342" i="4" s="1"/>
  <c r="P3342" i="4"/>
  <c r="R3342" i="4"/>
  <c r="I3343" i="4"/>
  <c r="J3343" i="4"/>
  <c r="K3343" i="4" s="1"/>
  <c r="L3343" i="4" s="1"/>
  <c r="P3343" i="4"/>
  <c r="R3343" i="4"/>
  <c r="I3344" i="4"/>
  <c r="J3344" i="4"/>
  <c r="K3344" i="4" s="1"/>
  <c r="P3344" i="4"/>
  <c r="R3344" i="4"/>
  <c r="I3345" i="4"/>
  <c r="J3345" i="4"/>
  <c r="K3345" i="4" s="1"/>
  <c r="L3345" i="4" s="1"/>
  <c r="P3345" i="4"/>
  <c r="R3345" i="4"/>
  <c r="I3346" i="4"/>
  <c r="J3346" i="4"/>
  <c r="K3346" i="4" s="1"/>
  <c r="P3346" i="4"/>
  <c r="R3346" i="4"/>
  <c r="I3347" i="4"/>
  <c r="J3347" i="4"/>
  <c r="K3347" i="4" s="1"/>
  <c r="L3347" i="4" s="1"/>
  <c r="P3347" i="4"/>
  <c r="R3347" i="4"/>
  <c r="I3348" i="4"/>
  <c r="J3348" i="4"/>
  <c r="K3348" i="4" s="1"/>
  <c r="P3348" i="4"/>
  <c r="R3348" i="4"/>
  <c r="I3349" i="4"/>
  <c r="J3349" i="4"/>
  <c r="K3349" i="4" s="1"/>
  <c r="L3349" i="4" s="1"/>
  <c r="P3349" i="4"/>
  <c r="R3349" i="4"/>
  <c r="I3350" i="4"/>
  <c r="J3350" i="4"/>
  <c r="K3350" i="4" s="1"/>
  <c r="P3350" i="4"/>
  <c r="R3350" i="4"/>
  <c r="I3351" i="4"/>
  <c r="J3351" i="4"/>
  <c r="K3351" i="4" s="1"/>
  <c r="L3351" i="4" s="1"/>
  <c r="P3351" i="4"/>
  <c r="R3351" i="4"/>
  <c r="I3352" i="4"/>
  <c r="J3352" i="4"/>
  <c r="K3352" i="4" s="1"/>
  <c r="P3352" i="4"/>
  <c r="R3352" i="4"/>
  <c r="I3353" i="4"/>
  <c r="J3353" i="4"/>
  <c r="K3353" i="4" s="1"/>
  <c r="L3353" i="4" s="1"/>
  <c r="P3353" i="4"/>
  <c r="R3353" i="4"/>
  <c r="I3354" i="4"/>
  <c r="J3354" i="4"/>
  <c r="K3354" i="4" s="1"/>
  <c r="P3354" i="4"/>
  <c r="R3354" i="4"/>
  <c r="I3355" i="4"/>
  <c r="J3355" i="4"/>
  <c r="K3355" i="4" s="1"/>
  <c r="L3355" i="4" s="1"/>
  <c r="P3355" i="4"/>
  <c r="R3355" i="4"/>
  <c r="I3356" i="4"/>
  <c r="J3356" i="4"/>
  <c r="K3356" i="4" s="1"/>
  <c r="P3356" i="4"/>
  <c r="R3356" i="4"/>
  <c r="I3357" i="4"/>
  <c r="J3357" i="4"/>
  <c r="K3357" i="4" s="1"/>
  <c r="L3357" i="4" s="1"/>
  <c r="P3357" i="4"/>
  <c r="R3357" i="4"/>
  <c r="I3358" i="4"/>
  <c r="J3358" i="4"/>
  <c r="K3358" i="4" s="1"/>
  <c r="P3358" i="4"/>
  <c r="R3358" i="4"/>
  <c r="I3359" i="4"/>
  <c r="J3359" i="4"/>
  <c r="K3359" i="4" s="1"/>
  <c r="P3359" i="4"/>
  <c r="R3359" i="4"/>
  <c r="I3360" i="4"/>
  <c r="J3360" i="4"/>
  <c r="K3360" i="4" s="1"/>
  <c r="P3360" i="4"/>
  <c r="R3360" i="4"/>
  <c r="I3361" i="4"/>
  <c r="J3361" i="4"/>
  <c r="K3361" i="4" s="1"/>
  <c r="P3361" i="4"/>
  <c r="R3361" i="4"/>
  <c r="I3362" i="4"/>
  <c r="J3362" i="4"/>
  <c r="K3362" i="4" s="1"/>
  <c r="P3362" i="4"/>
  <c r="R3362" i="4"/>
  <c r="I3363" i="4"/>
  <c r="J3363" i="4"/>
  <c r="K3363" i="4" s="1"/>
  <c r="P3363" i="4"/>
  <c r="R3363" i="4"/>
  <c r="I3364" i="4"/>
  <c r="J3364" i="4"/>
  <c r="K3364" i="4" s="1"/>
  <c r="P3364" i="4"/>
  <c r="R3364" i="4"/>
  <c r="I3365" i="4"/>
  <c r="J3365" i="4"/>
  <c r="K3365" i="4" s="1"/>
  <c r="P3365" i="4"/>
  <c r="R3365" i="4"/>
  <c r="I3366" i="4"/>
  <c r="J3366" i="4"/>
  <c r="K3366" i="4" s="1"/>
  <c r="P3366" i="4"/>
  <c r="R3366" i="4"/>
  <c r="I3367" i="4"/>
  <c r="J3367" i="4"/>
  <c r="K3367" i="4" s="1"/>
  <c r="P3367" i="4"/>
  <c r="R3367" i="4"/>
  <c r="I3368" i="4"/>
  <c r="J3368" i="4"/>
  <c r="K3368" i="4" s="1"/>
  <c r="P3368" i="4"/>
  <c r="R3368" i="4"/>
  <c r="I3369" i="4"/>
  <c r="J3369" i="4"/>
  <c r="K3369" i="4" s="1"/>
  <c r="P3369" i="4"/>
  <c r="R3369" i="4"/>
  <c r="I3370" i="4"/>
  <c r="J3370" i="4"/>
  <c r="K3370" i="4" s="1"/>
  <c r="P3370" i="4"/>
  <c r="R3370" i="4"/>
  <c r="I3371" i="4"/>
  <c r="J3371" i="4"/>
  <c r="K3371" i="4" s="1"/>
  <c r="P3371" i="4"/>
  <c r="R3371" i="4"/>
  <c r="I3372" i="4"/>
  <c r="J3372" i="4"/>
  <c r="K3372" i="4" s="1"/>
  <c r="P3372" i="4"/>
  <c r="R3372" i="4"/>
  <c r="I3373" i="4"/>
  <c r="J3373" i="4"/>
  <c r="K3373" i="4" s="1"/>
  <c r="P3373" i="4"/>
  <c r="R3373" i="4"/>
  <c r="I3374" i="4"/>
  <c r="J3374" i="4"/>
  <c r="K3374" i="4" s="1"/>
  <c r="P3374" i="4"/>
  <c r="R3374" i="4"/>
  <c r="I3375" i="4"/>
  <c r="J3375" i="4"/>
  <c r="K3375" i="4" s="1"/>
  <c r="P3375" i="4"/>
  <c r="R3375" i="4"/>
  <c r="I3376" i="4"/>
  <c r="J3376" i="4"/>
  <c r="K3376" i="4" s="1"/>
  <c r="P3376" i="4"/>
  <c r="R3376" i="4"/>
  <c r="I3377" i="4"/>
  <c r="J3377" i="4"/>
  <c r="K3377" i="4" s="1"/>
  <c r="P3377" i="4"/>
  <c r="R3377" i="4"/>
  <c r="I3378" i="4"/>
  <c r="J3378" i="4"/>
  <c r="K3378" i="4" s="1"/>
  <c r="P3378" i="4"/>
  <c r="R3378" i="4"/>
  <c r="I3379" i="4"/>
  <c r="J3379" i="4"/>
  <c r="K3379" i="4" s="1"/>
  <c r="P3379" i="4"/>
  <c r="R3379" i="4"/>
  <c r="I3380" i="4"/>
  <c r="J3380" i="4"/>
  <c r="K3380" i="4" s="1"/>
  <c r="P3380" i="4"/>
  <c r="R3380" i="4"/>
  <c r="I3381" i="4"/>
  <c r="J3381" i="4"/>
  <c r="K3381" i="4" s="1"/>
  <c r="P3381" i="4"/>
  <c r="R3381" i="4"/>
  <c r="I3382" i="4"/>
  <c r="J3382" i="4"/>
  <c r="K3382" i="4" s="1"/>
  <c r="P3382" i="4"/>
  <c r="R3382" i="4"/>
  <c r="I3383" i="4"/>
  <c r="J3383" i="4"/>
  <c r="K3383" i="4" s="1"/>
  <c r="R3383" i="4"/>
  <c r="I3384" i="4"/>
  <c r="J3384" i="4"/>
  <c r="K3384" i="4" s="1"/>
  <c r="R3384" i="4"/>
  <c r="I3385" i="4"/>
  <c r="J3385" i="4"/>
  <c r="K3385" i="4" s="1"/>
  <c r="P3385" i="4"/>
  <c r="R3385" i="4"/>
  <c r="I3386" i="4"/>
  <c r="J3386" i="4"/>
  <c r="K3386" i="4" s="1"/>
  <c r="P3386" i="4"/>
  <c r="R3386" i="4"/>
  <c r="I3387" i="4"/>
  <c r="J3387" i="4"/>
  <c r="K3387" i="4" s="1"/>
  <c r="R3387" i="4"/>
  <c r="I3388" i="4"/>
  <c r="J3388" i="4"/>
  <c r="K3388" i="4" s="1"/>
  <c r="P3388" i="4"/>
  <c r="R3388" i="4"/>
  <c r="I3389" i="4"/>
  <c r="J3389" i="4"/>
  <c r="K3389" i="4" s="1"/>
  <c r="P3389" i="4"/>
  <c r="R3389" i="4"/>
  <c r="I3390" i="4"/>
  <c r="J3390" i="4"/>
  <c r="K3390" i="4" s="1"/>
  <c r="P3390" i="4"/>
  <c r="R3390" i="4"/>
  <c r="I3391" i="4"/>
  <c r="J3391" i="4"/>
  <c r="K3391" i="4" s="1"/>
  <c r="P3391" i="4"/>
  <c r="R3391" i="4"/>
  <c r="I3392" i="4"/>
  <c r="J3392" i="4"/>
  <c r="K3392" i="4" s="1"/>
  <c r="P3392" i="4"/>
  <c r="R3392" i="4"/>
  <c r="I3393" i="4"/>
  <c r="J3393" i="4"/>
  <c r="K3393" i="4" s="1"/>
  <c r="P3393" i="4"/>
  <c r="R3393" i="4"/>
  <c r="I3394" i="4"/>
  <c r="J3394" i="4"/>
  <c r="K3394" i="4" s="1"/>
  <c r="P3394" i="4"/>
  <c r="R3394" i="4"/>
  <c r="I3395" i="4"/>
  <c r="J3395" i="4"/>
  <c r="K3395" i="4" s="1"/>
  <c r="P3395" i="4"/>
  <c r="R3395" i="4"/>
  <c r="I3396" i="4"/>
  <c r="J3396" i="4"/>
  <c r="K3396" i="4" s="1"/>
  <c r="P3396" i="4"/>
  <c r="R3396" i="4"/>
  <c r="I3397" i="4"/>
  <c r="J3397" i="4"/>
  <c r="K3397" i="4" s="1"/>
  <c r="P3397" i="4"/>
  <c r="R3397" i="4"/>
  <c r="I3398" i="4"/>
  <c r="J3398" i="4"/>
  <c r="K3398" i="4" s="1"/>
  <c r="P3398" i="4"/>
  <c r="R3398" i="4"/>
  <c r="I3399" i="4"/>
  <c r="J3399" i="4"/>
  <c r="K3399" i="4" s="1"/>
  <c r="P3399" i="4"/>
  <c r="R3399" i="4"/>
  <c r="I3400" i="4"/>
  <c r="J3400" i="4"/>
  <c r="K3400" i="4" s="1"/>
  <c r="P3400" i="4"/>
  <c r="R3400" i="4"/>
  <c r="I3401" i="4"/>
  <c r="J3401" i="4"/>
  <c r="K3401" i="4" s="1"/>
  <c r="P3401" i="4"/>
  <c r="R3401" i="4"/>
  <c r="I3402" i="4"/>
  <c r="J3402" i="4"/>
  <c r="K3402" i="4" s="1"/>
  <c r="P3402" i="4"/>
  <c r="R3402" i="4"/>
  <c r="I3403" i="4"/>
  <c r="J3403" i="4"/>
  <c r="K3403" i="4" s="1"/>
  <c r="P3403" i="4"/>
  <c r="R3403" i="4"/>
  <c r="I3404" i="4"/>
  <c r="J3404" i="4"/>
  <c r="P3404" i="4"/>
  <c r="R3404" i="4"/>
  <c r="I3405" i="4"/>
  <c r="J3405" i="4"/>
  <c r="K3405" i="4" s="1"/>
  <c r="P3405" i="4"/>
  <c r="R3405" i="4"/>
  <c r="I3406" i="4"/>
  <c r="J3406" i="4"/>
  <c r="K3406" i="4" s="1"/>
  <c r="P3406" i="4"/>
  <c r="R3406" i="4"/>
  <c r="I3407" i="4"/>
  <c r="J3407" i="4"/>
  <c r="K3407" i="4" s="1"/>
  <c r="P3407" i="4"/>
  <c r="R3407" i="4"/>
  <c r="I3408" i="4"/>
  <c r="J3408" i="4"/>
  <c r="K3408" i="4" s="1"/>
  <c r="P3408" i="4"/>
  <c r="R3408" i="4"/>
  <c r="I3409" i="4"/>
  <c r="J3409" i="4"/>
  <c r="K3409" i="4" s="1"/>
  <c r="P3409" i="4"/>
  <c r="R3409" i="4"/>
  <c r="I3410" i="4"/>
  <c r="J3410" i="4"/>
  <c r="K3410" i="4" s="1"/>
  <c r="P3410" i="4"/>
  <c r="R3410" i="4"/>
  <c r="I3411" i="4"/>
  <c r="J3411" i="4"/>
  <c r="K3411" i="4" s="1"/>
  <c r="P3411" i="4"/>
  <c r="R3411" i="4"/>
  <c r="I3412" i="4"/>
  <c r="J3412" i="4"/>
  <c r="K3412" i="4" s="1"/>
  <c r="L3412" i="4" s="1"/>
  <c r="P3412" i="4"/>
  <c r="R3412" i="4"/>
  <c r="I3413" i="4"/>
  <c r="J3413" i="4"/>
  <c r="K3413" i="4" s="1"/>
  <c r="P3413" i="4"/>
  <c r="R3413" i="4"/>
  <c r="I3414" i="4"/>
  <c r="J3414" i="4"/>
  <c r="K3414" i="4" s="1"/>
  <c r="L3414" i="4" s="1"/>
  <c r="P3414" i="4"/>
  <c r="R3414" i="4"/>
  <c r="I3415" i="4"/>
  <c r="J3415" i="4"/>
  <c r="K3415" i="4" s="1"/>
  <c r="P3415" i="4"/>
  <c r="R3415" i="4"/>
  <c r="I3416" i="4"/>
  <c r="J3416" i="4"/>
  <c r="K3416" i="4" s="1"/>
  <c r="L3416" i="4" s="1"/>
  <c r="P3416" i="4"/>
  <c r="R3416" i="4"/>
  <c r="I3417" i="4"/>
  <c r="J3417" i="4"/>
  <c r="K3417" i="4" s="1"/>
  <c r="P3417" i="4"/>
  <c r="R3417" i="4"/>
  <c r="I3418" i="4"/>
  <c r="J3418" i="4"/>
  <c r="K3418" i="4" s="1"/>
  <c r="L3418" i="4" s="1"/>
  <c r="P3418" i="4"/>
  <c r="R3418" i="4"/>
  <c r="I3419" i="4"/>
  <c r="J3419" i="4"/>
  <c r="K3419" i="4" s="1"/>
  <c r="P3419" i="4"/>
  <c r="R3419" i="4"/>
  <c r="I3420" i="4"/>
  <c r="J3420" i="4"/>
  <c r="K3420" i="4" s="1"/>
  <c r="L3420" i="4" s="1"/>
  <c r="P3420" i="4"/>
  <c r="R3420" i="4"/>
  <c r="I3421" i="4"/>
  <c r="J3421" i="4"/>
  <c r="K3421" i="4" s="1"/>
  <c r="P3421" i="4"/>
  <c r="R3421" i="4"/>
  <c r="I3422" i="4"/>
  <c r="J3422" i="4"/>
  <c r="K3422" i="4" s="1"/>
  <c r="L3422" i="4" s="1"/>
  <c r="P3422" i="4"/>
  <c r="R3422" i="4"/>
  <c r="I3423" i="4"/>
  <c r="J3423" i="4"/>
  <c r="K3423" i="4" s="1"/>
  <c r="P3423" i="4"/>
  <c r="R3423" i="4"/>
  <c r="I3424" i="4"/>
  <c r="J3424" i="4"/>
  <c r="K3424" i="4" s="1"/>
  <c r="L3424" i="4" s="1"/>
  <c r="P3424" i="4"/>
  <c r="R3424" i="4"/>
  <c r="I3425" i="4"/>
  <c r="J3425" i="4"/>
  <c r="K3425" i="4" s="1"/>
  <c r="P3425" i="4"/>
  <c r="R3425" i="4"/>
  <c r="I3426" i="4"/>
  <c r="J3426" i="4"/>
  <c r="K3426" i="4" s="1"/>
  <c r="L3426" i="4" s="1"/>
  <c r="P3426" i="4"/>
  <c r="R3426" i="4"/>
  <c r="I3427" i="4"/>
  <c r="J3427" i="4"/>
  <c r="K3427" i="4" s="1"/>
  <c r="P3427" i="4"/>
  <c r="R3427" i="4"/>
  <c r="I3428" i="4"/>
  <c r="J3428" i="4"/>
  <c r="K3428" i="4" s="1"/>
  <c r="L3428" i="4" s="1"/>
  <c r="P3428" i="4"/>
  <c r="R3428" i="4"/>
  <c r="I3429" i="4"/>
  <c r="J3429" i="4"/>
  <c r="K3429" i="4" s="1"/>
  <c r="P3429" i="4"/>
  <c r="R3429" i="4"/>
  <c r="I3430" i="4"/>
  <c r="J3430" i="4"/>
  <c r="K3430" i="4" s="1"/>
  <c r="L3430" i="4" s="1"/>
  <c r="P3430" i="4"/>
  <c r="R3430" i="4"/>
  <c r="I3431" i="4"/>
  <c r="J3431" i="4"/>
  <c r="K3431" i="4" s="1"/>
  <c r="P3431" i="4"/>
  <c r="R3431" i="4"/>
  <c r="I3432" i="4"/>
  <c r="J3432" i="4"/>
  <c r="K3432" i="4" s="1"/>
  <c r="P3432" i="4"/>
  <c r="R3432" i="4"/>
  <c r="I3433" i="4"/>
  <c r="J3433" i="4"/>
  <c r="K3433" i="4" s="1"/>
  <c r="P3433" i="4"/>
  <c r="R3433" i="4"/>
  <c r="B3337" i="4"/>
  <c r="C3337" i="4"/>
  <c r="E3337" i="4"/>
  <c r="B3338" i="4"/>
  <c r="C3338" i="4"/>
  <c r="E3338" i="4"/>
  <c r="B3339" i="4"/>
  <c r="C3339" i="4"/>
  <c r="E3339" i="4"/>
  <c r="B3340" i="4"/>
  <c r="C3340" i="4"/>
  <c r="E3340" i="4"/>
  <c r="B3341" i="4"/>
  <c r="C3341" i="4"/>
  <c r="E3341" i="4"/>
  <c r="B3342" i="4"/>
  <c r="C3342" i="4"/>
  <c r="E3342" i="4"/>
  <c r="B3343" i="4"/>
  <c r="C3343" i="4"/>
  <c r="E3343" i="4"/>
  <c r="B3344" i="4"/>
  <c r="C3344" i="4"/>
  <c r="E3344" i="4"/>
  <c r="B3345" i="4"/>
  <c r="C3345" i="4"/>
  <c r="E3345" i="4"/>
  <c r="B3346" i="4"/>
  <c r="C3346" i="4"/>
  <c r="E3346" i="4"/>
  <c r="B3347" i="4"/>
  <c r="C3347" i="4"/>
  <c r="E3347" i="4"/>
  <c r="B3348" i="4"/>
  <c r="C3348" i="4"/>
  <c r="E3348" i="4"/>
  <c r="B3349" i="4"/>
  <c r="C3349" i="4"/>
  <c r="E3349" i="4"/>
  <c r="B3350" i="4"/>
  <c r="C3350" i="4"/>
  <c r="E3350" i="4"/>
  <c r="B3351" i="4"/>
  <c r="C3351" i="4"/>
  <c r="E3351" i="4"/>
  <c r="B3352" i="4"/>
  <c r="C3352" i="4"/>
  <c r="E3352" i="4"/>
  <c r="B3353" i="4"/>
  <c r="C3353" i="4"/>
  <c r="E3353" i="4"/>
  <c r="B3354" i="4"/>
  <c r="C3354" i="4"/>
  <c r="E3354" i="4"/>
  <c r="B3355" i="4"/>
  <c r="C3355" i="4"/>
  <c r="E3355" i="4"/>
  <c r="B3356" i="4"/>
  <c r="C3356" i="4"/>
  <c r="E3356" i="4"/>
  <c r="B3357" i="4"/>
  <c r="C3357" i="4"/>
  <c r="E3357" i="4"/>
  <c r="B3358" i="4"/>
  <c r="C3358" i="4"/>
  <c r="E3358" i="4"/>
  <c r="B3359" i="4"/>
  <c r="C3359" i="4"/>
  <c r="E3359" i="4"/>
  <c r="B3360" i="4"/>
  <c r="C3360" i="4"/>
  <c r="E3360" i="4"/>
  <c r="B3361" i="4"/>
  <c r="C3361" i="4"/>
  <c r="E3361" i="4"/>
  <c r="B3362" i="4"/>
  <c r="C3362" i="4"/>
  <c r="E3362" i="4"/>
  <c r="B3363" i="4"/>
  <c r="C3363" i="4"/>
  <c r="E3363" i="4"/>
  <c r="B3364" i="4"/>
  <c r="C3364" i="4"/>
  <c r="E3364" i="4"/>
  <c r="B3365" i="4"/>
  <c r="C3365" i="4"/>
  <c r="E3365" i="4"/>
  <c r="B3366" i="4"/>
  <c r="C3366" i="4"/>
  <c r="E3366" i="4"/>
  <c r="B3367" i="4"/>
  <c r="C3367" i="4"/>
  <c r="E3367" i="4"/>
  <c r="B3368" i="4"/>
  <c r="C3368" i="4"/>
  <c r="E3368" i="4"/>
  <c r="B3369" i="4"/>
  <c r="C3369" i="4"/>
  <c r="E3369" i="4"/>
  <c r="B3370" i="4"/>
  <c r="C3370" i="4"/>
  <c r="E3370" i="4"/>
  <c r="B3371" i="4"/>
  <c r="C3371" i="4"/>
  <c r="E3371" i="4"/>
  <c r="B3372" i="4"/>
  <c r="C3372" i="4"/>
  <c r="E3372" i="4"/>
  <c r="B3373" i="4"/>
  <c r="C3373" i="4"/>
  <c r="E3373" i="4"/>
  <c r="B3374" i="4"/>
  <c r="C3374" i="4"/>
  <c r="E3374" i="4"/>
  <c r="B3375" i="4"/>
  <c r="C3375" i="4"/>
  <c r="E3375" i="4"/>
  <c r="B3376" i="4"/>
  <c r="C3376" i="4"/>
  <c r="E3376" i="4"/>
  <c r="B3377" i="4"/>
  <c r="C3377" i="4"/>
  <c r="E3377" i="4"/>
  <c r="B3378" i="4"/>
  <c r="C3378" i="4"/>
  <c r="E3378" i="4"/>
  <c r="B3379" i="4"/>
  <c r="C3379" i="4"/>
  <c r="E3379" i="4"/>
  <c r="B3380" i="4"/>
  <c r="C3380" i="4"/>
  <c r="E3380" i="4"/>
  <c r="B3381" i="4"/>
  <c r="C3381" i="4"/>
  <c r="E3381" i="4"/>
  <c r="B3382" i="4"/>
  <c r="C3382" i="4"/>
  <c r="E3382" i="4"/>
  <c r="B3383" i="4"/>
  <c r="C3383" i="4"/>
  <c r="E3383" i="4"/>
  <c r="B3384" i="4"/>
  <c r="C3384" i="4"/>
  <c r="E3384" i="4"/>
  <c r="B3385" i="4"/>
  <c r="C3385" i="4"/>
  <c r="E3385" i="4"/>
  <c r="B3386" i="4"/>
  <c r="C3386" i="4"/>
  <c r="E3386" i="4"/>
  <c r="B3387" i="4"/>
  <c r="C3387" i="4"/>
  <c r="E3387" i="4"/>
  <c r="B3388" i="4"/>
  <c r="C3388" i="4"/>
  <c r="E3388" i="4"/>
  <c r="B3389" i="4"/>
  <c r="C3389" i="4"/>
  <c r="E3389" i="4"/>
  <c r="B3390" i="4"/>
  <c r="C3390" i="4"/>
  <c r="E3390" i="4"/>
  <c r="B3391" i="4"/>
  <c r="C3391" i="4"/>
  <c r="E3391" i="4"/>
  <c r="B3392" i="4"/>
  <c r="C3392" i="4"/>
  <c r="E3392" i="4"/>
  <c r="B3393" i="4"/>
  <c r="C3393" i="4"/>
  <c r="E3393" i="4"/>
  <c r="B3394" i="4"/>
  <c r="C3394" i="4"/>
  <c r="E3394" i="4"/>
  <c r="B3395" i="4"/>
  <c r="C3395" i="4"/>
  <c r="E3395" i="4"/>
  <c r="B3396" i="4"/>
  <c r="C3396" i="4"/>
  <c r="E3396" i="4"/>
  <c r="B3397" i="4"/>
  <c r="C3397" i="4"/>
  <c r="E3397" i="4"/>
  <c r="B3398" i="4"/>
  <c r="C3398" i="4"/>
  <c r="E3398" i="4"/>
  <c r="B3399" i="4"/>
  <c r="C3399" i="4"/>
  <c r="E3399" i="4"/>
  <c r="B3400" i="4"/>
  <c r="C3400" i="4"/>
  <c r="E3400" i="4"/>
  <c r="B3401" i="4"/>
  <c r="C3401" i="4"/>
  <c r="E3401" i="4"/>
  <c r="B3402" i="4"/>
  <c r="C3402" i="4"/>
  <c r="E3402" i="4"/>
  <c r="B3403" i="4"/>
  <c r="C3403" i="4"/>
  <c r="E3403" i="4"/>
  <c r="E3404" i="4"/>
  <c r="B3405" i="4"/>
  <c r="C3405" i="4"/>
  <c r="E3405" i="4"/>
  <c r="B3406" i="4"/>
  <c r="C3406" i="4"/>
  <c r="E3406" i="4"/>
  <c r="B3407" i="4"/>
  <c r="C3407" i="4"/>
  <c r="E3407" i="4"/>
  <c r="B3408" i="4"/>
  <c r="C3408" i="4"/>
  <c r="E3408" i="4"/>
  <c r="B3409" i="4"/>
  <c r="C3409" i="4"/>
  <c r="E3409" i="4"/>
  <c r="B3410" i="4"/>
  <c r="C3410" i="4"/>
  <c r="E3410" i="4"/>
  <c r="B3411" i="4"/>
  <c r="C3411" i="4"/>
  <c r="E3411" i="4"/>
  <c r="B3412" i="4"/>
  <c r="C3412" i="4"/>
  <c r="E3412" i="4"/>
  <c r="B3413" i="4"/>
  <c r="C3413" i="4"/>
  <c r="E3413" i="4"/>
  <c r="B3414" i="4"/>
  <c r="C3414" i="4"/>
  <c r="E3414" i="4"/>
  <c r="B3415" i="4"/>
  <c r="C3415" i="4"/>
  <c r="E3415" i="4"/>
  <c r="B3416" i="4"/>
  <c r="C3416" i="4"/>
  <c r="E3416" i="4"/>
  <c r="B3417" i="4"/>
  <c r="C3417" i="4"/>
  <c r="E3417" i="4"/>
  <c r="B3418" i="4"/>
  <c r="C3418" i="4"/>
  <c r="E3418" i="4"/>
  <c r="B3419" i="4"/>
  <c r="C3419" i="4"/>
  <c r="E3419" i="4"/>
  <c r="B3420" i="4"/>
  <c r="C3420" i="4"/>
  <c r="E3420" i="4"/>
  <c r="B3421" i="4"/>
  <c r="C3421" i="4"/>
  <c r="E3421" i="4"/>
  <c r="B3422" i="4"/>
  <c r="C3422" i="4"/>
  <c r="E3422" i="4"/>
  <c r="B3423" i="4"/>
  <c r="C3423" i="4"/>
  <c r="E3423" i="4"/>
  <c r="B3424" i="4"/>
  <c r="C3424" i="4"/>
  <c r="E3424" i="4"/>
  <c r="B3425" i="4"/>
  <c r="C3425" i="4"/>
  <c r="E3425" i="4"/>
  <c r="B3426" i="4"/>
  <c r="C3426" i="4"/>
  <c r="E3426" i="4"/>
  <c r="B3427" i="4"/>
  <c r="C3427" i="4"/>
  <c r="E3427" i="4"/>
  <c r="B3428" i="4"/>
  <c r="C3428" i="4"/>
  <c r="E3428" i="4"/>
  <c r="B3429" i="4"/>
  <c r="C3429" i="4"/>
  <c r="E3429" i="4"/>
  <c r="B3430" i="4"/>
  <c r="C3430" i="4"/>
  <c r="E3430" i="4"/>
  <c r="B3431" i="4"/>
  <c r="C3431" i="4"/>
  <c r="E3431" i="4"/>
  <c r="B3432" i="4"/>
  <c r="C3432" i="4"/>
  <c r="E3432" i="4"/>
  <c r="B3433" i="4"/>
  <c r="C3433" i="4"/>
  <c r="E3433" i="4"/>
  <c r="P3336" i="4"/>
  <c r="R3336" i="4"/>
  <c r="J3336" i="4"/>
  <c r="K3336" i="4" s="1"/>
  <c r="I3336" i="4"/>
  <c r="E3336" i="4"/>
  <c r="B3336" i="4"/>
  <c r="C3336" i="4"/>
  <c r="L3437" i="4" l="1"/>
  <c r="M3436" i="4"/>
  <c r="L3436" i="4"/>
  <c r="C3404" i="4"/>
  <c r="K3404" i="4"/>
  <c r="M3428" i="4"/>
  <c r="M3424" i="4"/>
  <c r="M3412" i="4"/>
  <c r="M3422" i="4"/>
  <c r="M3426" i="4"/>
  <c r="M3420" i="4"/>
  <c r="L3435" i="4"/>
  <c r="M3435" i="4"/>
  <c r="L3434" i="4"/>
  <c r="M3434" i="4"/>
  <c r="L3391" i="4"/>
  <c r="M3391" i="4"/>
  <c r="L3395" i="4"/>
  <c r="M3395" i="4"/>
  <c r="L3421" i="4"/>
  <c r="M3421" i="4"/>
  <c r="L3387" i="4"/>
  <c r="M3387" i="4"/>
  <c r="L3383" i="4"/>
  <c r="M3383" i="4"/>
  <c r="L3371" i="4"/>
  <c r="M3371" i="4"/>
  <c r="L3379" i="4"/>
  <c r="M3379" i="4"/>
  <c r="L3427" i="4"/>
  <c r="M3427" i="4"/>
  <c r="L3423" i="4"/>
  <c r="M3423" i="4"/>
  <c r="L3401" i="4"/>
  <c r="M3401" i="4"/>
  <c r="L3419" i="4"/>
  <c r="M3419" i="4"/>
  <c r="L3393" i="4"/>
  <c r="M3393" i="4"/>
  <c r="L3415" i="4"/>
  <c r="M3415" i="4"/>
  <c r="L3381" i="4"/>
  <c r="M3381" i="4"/>
  <c r="L3411" i="4"/>
  <c r="M3411" i="4"/>
  <c r="L3432" i="4"/>
  <c r="M3432" i="4"/>
  <c r="L3431" i="4"/>
  <c r="M3431" i="4"/>
  <c r="L3403" i="4"/>
  <c r="M3403" i="4"/>
  <c r="L3397" i="4"/>
  <c r="M3397" i="4"/>
  <c r="L3390" i="4"/>
  <c r="M3390" i="4"/>
  <c r="L3365" i="4"/>
  <c r="M3365" i="4"/>
  <c r="L3404" i="4"/>
  <c r="M3404" i="4"/>
  <c r="L3372" i="4"/>
  <c r="M3372" i="4"/>
  <c r="L3361" i="4"/>
  <c r="M3361" i="4"/>
  <c r="L3350" i="4"/>
  <c r="M3350" i="4"/>
  <c r="L3386" i="4"/>
  <c r="M3386" i="4"/>
  <c r="L3375" i="4"/>
  <c r="M3375" i="4"/>
  <c r="L3368" i="4"/>
  <c r="M3368" i="4"/>
  <c r="L3346" i="4"/>
  <c r="M3346" i="4"/>
  <c r="L3382" i="4"/>
  <c r="M3382" i="4"/>
  <c r="L3433" i="4"/>
  <c r="M3433" i="4"/>
  <c r="L3407" i="4"/>
  <c r="M3407" i="4"/>
  <c r="L3389" i="4"/>
  <c r="M3389" i="4"/>
  <c r="L3396" i="4"/>
  <c r="M3396" i="4"/>
  <c r="L3364" i="4"/>
  <c r="M3364" i="4"/>
  <c r="L3360" i="4"/>
  <c r="M3360" i="4"/>
  <c r="L3342" i="4"/>
  <c r="M3342" i="4"/>
  <c r="L3410" i="4"/>
  <c r="M3410" i="4"/>
  <c r="L3385" i="4"/>
  <c r="M3385" i="4"/>
  <c r="L3413" i="4"/>
  <c r="M3413" i="4"/>
  <c r="L3399" i="4"/>
  <c r="M3399" i="4"/>
  <c r="L3367" i="4"/>
  <c r="M3367" i="4"/>
  <c r="L3400" i="4"/>
  <c r="M3400" i="4"/>
  <c r="L3392" i="4"/>
  <c r="M3392" i="4"/>
  <c r="M3416" i="4"/>
  <c r="L3406" i="4"/>
  <c r="M3406" i="4"/>
  <c r="L3374" i="4"/>
  <c r="M3374" i="4"/>
  <c r="L3352" i="4"/>
  <c r="M3352" i="4"/>
  <c r="L3338" i="4"/>
  <c r="M3338" i="4"/>
  <c r="M3414" i="4"/>
  <c r="L3417" i="4"/>
  <c r="M3417" i="4"/>
  <c r="L3378" i="4"/>
  <c r="M3378" i="4"/>
  <c r="L3356" i="4"/>
  <c r="M3356" i="4"/>
  <c r="L3429" i="4"/>
  <c r="M3429" i="4"/>
  <c r="L3388" i="4"/>
  <c r="M3388" i="4"/>
  <c r="L3363" i="4"/>
  <c r="M3363" i="4"/>
  <c r="L3359" i="4"/>
  <c r="M3359" i="4"/>
  <c r="L3409" i="4"/>
  <c r="M3409" i="4"/>
  <c r="L3402" i="4"/>
  <c r="M3402" i="4"/>
  <c r="L3377" i="4"/>
  <c r="M3377" i="4"/>
  <c r="L3370" i="4"/>
  <c r="M3370" i="4"/>
  <c r="L3348" i="4"/>
  <c r="M3348" i="4"/>
  <c r="L3384" i="4"/>
  <c r="M3384" i="4"/>
  <c r="L3398" i="4"/>
  <c r="M3398" i="4"/>
  <c r="L3373" i="4"/>
  <c r="M3373" i="4"/>
  <c r="L3366" i="4"/>
  <c r="M3366" i="4"/>
  <c r="L3344" i="4"/>
  <c r="M3344" i="4"/>
  <c r="M3430" i="4"/>
  <c r="L3425" i="4"/>
  <c r="M3425" i="4"/>
  <c r="L3405" i="4"/>
  <c r="M3405" i="4"/>
  <c r="L3380" i="4"/>
  <c r="M3380" i="4"/>
  <c r="L3362" i="4"/>
  <c r="M3362" i="4"/>
  <c r="L3358" i="4"/>
  <c r="M3358" i="4"/>
  <c r="M3418" i="4"/>
  <c r="L3394" i="4"/>
  <c r="M3394" i="4"/>
  <c r="L3369" i="4"/>
  <c r="M3369" i="4"/>
  <c r="L3340" i="4"/>
  <c r="M3340" i="4"/>
  <c r="L3408" i="4"/>
  <c r="M3408" i="4"/>
  <c r="L3376" i="4"/>
  <c r="M3376" i="4"/>
  <c r="L3354" i="4"/>
  <c r="M3354" i="4"/>
  <c r="M3357" i="4"/>
  <c r="M3355" i="4"/>
  <c r="M3353" i="4"/>
  <c r="M3351" i="4"/>
  <c r="M3349" i="4"/>
  <c r="M3347" i="4"/>
  <c r="M3345" i="4"/>
  <c r="M3343" i="4"/>
  <c r="M3341" i="4"/>
  <c r="M3339" i="4"/>
  <c r="M3337" i="4"/>
  <c r="M3336" i="4"/>
  <c r="L3336" i="4"/>
  <c r="B3335" i="4"/>
  <c r="C3335" i="4"/>
  <c r="E3335" i="4"/>
  <c r="I3335" i="4"/>
  <c r="J3335" i="4"/>
  <c r="K3335" i="4" s="1"/>
  <c r="P3335" i="4"/>
  <c r="R3335" i="4"/>
  <c r="B3312" i="4"/>
  <c r="C3312" i="4"/>
  <c r="E3312" i="4"/>
  <c r="I3312" i="4"/>
  <c r="J3312" i="4"/>
  <c r="K3312" i="4" s="1"/>
  <c r="P3312" i="4"/>
  <c r="R3312" i="4"/>
  <c r="B3313" i="4"/>
  <c r="C3313" i="4"/>
  <c r="E3313" i="4"/>
  <c r="I3313" i="4"/>
  <c r="J3313" i="4"/>
  <c r="K3313" i="4" s="1"/>
  <c r="P3313" i="4"/>
  <c r="R3313" i="4"/>
  <c r="B3314" i="4"/>
  <c r="C3314" i="4"/>
  <c r="E3314" i="4"/>
  <c r="I3314" i="4"/>
  <c r="J3314" i="4"/>
  <c r="K3314" i="4" s="1"/>
  <c r="P3314" i="4"/>
  <c r="R3314" i="4"/>
  <c r="B3315" i="4"/>
  <c r="C3315" i="4"/>
  <c r="E3315" i="4"/>
  <c r="I3315" i="4"/>
  <c r="J3315" i="4"/>
  <c r="K3315" i="4" s="1"/>
  <c r="P3315" i="4"/>
  <c r="R3315" i="4"/>
  <c r="B3316" i="4"/>
  <c r="C3316" i="4"/>
  <c r="E3316" i="4"/>
  <c r="I3316" i="4"/>
  <c r="J3316" i="4"/>
  <c r="K3316" i="4" s="1"/>
  <c r="P3316" i="4"/>
  <c r="R3316" i="4"/>
  <c r="B3317" i="4"/>
  <c r="C3317" i="4"/>
  <c r="E3317" i="4"/>
  <c r="I3317" i="4"/>
  <c r="J3317" i="4"/>
  <c r="K3317" i="4" s="1"/>
  <c r="P3317" i="4"/>
  <c r="R3317" i="4"/>
  <c r="B3318" i="4"/>
  <c r="C3318" i="4"/>
  <c r="E3318" i="4"/>
  <c r="I3318" i="4"/>
  <c r="J3318" i="4"/>
  <c r="K3318" i="4" s="1"/>
  <c r="P3318" i="4"/>
  <c r="R3318" i="4"/>
  <c r="B3319" i="4"/>
  <c r="C3319" i="4"/>
  <c r="E3319" i="4"/>
  <c r="I3319" i="4"/>
  <c r="J3319" i="4"/>
  <c r="K3319" i="4" s="1"/>
  <c r="P3319" i="4"/>
  <c r="R3319" i="4"/>
  <c r="B3320" i="4"/>
  <c r="C3320" i="4"/>
  <c r="E3320" i="4"/>
  <c r="I3320" i="4"/>
  <c r="J3320" i="4"/>
  <c r="K3320" i="4" s="1"/>
  <c r="L3320" i="4" s="1"/>
  <c r="P3320" i="4"/>
  <c r="R3320" i="4"/>
  <c r="B3321" i="4"/>
  <c r="C3321" i="4"/>
  <c r="E3321" i="4"/>
  <c r="I3321" i="4"/>
  <c r="J3321" i="4"/>
  <c r="K3321" i="4" s="1"/>
  <c r="L3321" i="4" s="1"/>
  <c r="P3321" i="4"/>
  <c r="R3321" i="4"/>
  <c r="B3322" i="4"/>
  <c r="C3322" i="4"/>
  <c r="E3322" i="4"/>
  <c r="I3322" i="4"/>
  <c r="J3322" i="4"/>
  <c r="K3322" i="4" s="1"/>
  <c r="P3322" i="4"/>
  <c r="R3322" i="4"/>
  <c r="B3323" i="4"/>
  <c r="C3323" i="4"/>
  <c r="E3323" i="4"/>
  <c r="I3323" i="4"/>
  <c r="J3323" i="4"/>
  <c r="K3323" i="4" s="1"/>
  <c r="P3323" i="4"/>
  <c r="R3323" i="4"/>
  <c r="B3324" i="4"/>
  <c r="C3324" i="4"/>
  <c r="E3324" i="4"/>
  <c r="I3324" i="4"/>
  <c r="J3324" i="4"/>
  <c r="K3324" i="4" s="1"/>
  <c r="P3324" i="4"/>
  <c r="R3324" i="4"/>
  <c r="B3325" i="4"/>
  <c r="C3325" i="4"/>
  <c r="E3325" i="4"/>
  <c r="I3325" i="4"/>
  <c r="J3325" i="4"/>
  <c r="K3325" i="4" s="1"/>
  <c r="P3325" i="4"/>
  <c r="R3325" i="4"/>
  <c r="B3326" i="4"/>
  <c r="C3326" i="4"/>
  <c r="E3326" i="4"/>
  <c r="I3326" i="4"/>
  <c r="J3326" i="4"/>
  <c r="K3326" i="4" s="1"/>
  <c r="L3326" i="4" s="1"/>
  <c r="P3326" i="4"/>
  <c r="R3326" i="4"/>
  <c r="B3327" i="4"/>
  <c r="C3327" i="4"/>
  <c r="E3327" i="4"/>
  <c r="I3327" i="4"/>
  <c r="J3327" i="4"/>
  <c r="K3327" i="4" s="1"/>
  <c r="P3327" i="4"/>
  <c r="R3327" i="4"/>
  <c r="B3328" i="4"/>
  <c r="C3328" i="4"/>
  <c r="E3328" i="4"/>
  <c r="I3328" i="4"/>
  <c r="J3328" i="4"/>
  <c r="K3328" i="4" s="1"/>
  <c r="L3328" i="4" s="1"/>
  <c r="P3328" i="4"/>
  <c r="R3328" i="4"/>
  <c r="B3329" i="4"/>
  <c r="C3329" i="4"/>
  <c r="E3329" i="4"/>
  <c r="I3329" i="4"/>
  <c r="J3329" i="4"/>
  <c r="K3329" i="4" s="1"/>
  <c r="P3329" i="4"/>
  <c r="R3329" i="4"/>
  <c r="B3330" i="4"/>
  <c r="C3330" i="4"/>
  <c r="E3330" i="4"/>
  <c r="I3330" i="4"/>
  <c r="J3330" i="4"/>
  <c r="K3330" i="4" s="1"/>
  <c r="P3330" i="4"/>
  <c r="R3330" i="4"/>
  <c r="B3331" i="4"/>
  <c r="C3331" i="4"/>
  <c r="E3331" i="4"/>
  <c r="I3331" i="4"/>
  <c r="J3331" i="4"/>
  <c r="K3331" i="4" s="1"/>
  <c r="P3331" i="4"/>
  <c r="R3331" i="4"/>
  <c r="B3332" i="4"/>
  <c r="C3332" i="4"/>
  <c r="E3332" i="4"/>
  <c r="I3332" i="4"/>
  <c r="J3332" i="4"/>
  <c r="K3332" i="4" s="1"/>
  <c r="P3332" i="4"/>
  <c r="R3332" i="4"/>
  <c r="B3333" i="4"/>
  <c r="C3333" i="4"/>
  <c r="E3333" i="4"/>
  <c r="I3333" i="4"/>
  <c r="J3333" i="4"/>
  <c r="K3333" i="4" s="1"/>
  <c r="L3333" i="4" s="1"/>
  <c r="P3333" i="4"/>
  <c r="R3333" i="4"/>
  <c r="B3272" i="4"/>
  <c r="C3272" i="4"/>
  <c r="E3272" i="4"/>
  <c r="I3272" i="4"/>
  <c r="J3272" i="4"/>
  <c r="P3272" i="4"/>
  <c r="R3272" i="4"/>
  <c r="B3273" i="4"/>
  <c r="C3273" i="4"/>
  <c r="E3273" i="4"/>
  <c r="I3273" i="4"/>
  <c r="J3273" i="4"/>
  <c r="P3273" i="4"/>
  <c r="R3273" i="4"/>
  <c r="B3274" i="4"/>
  <c r="C3274" i="4"/>
  <c r="E3274" i="4"/>
  <c r="I3274" i="4"/>
  <c r="J3274" i="4"/>
  <c r="P3274" i="4"/>
  <c r="R3274" i="4"/>
  <c r="B3275" i="4"/>
  <c r="C3275" i="4"/>
  <c r="E3275" i="4"/>
  <c r="I3275" i="4"/>
  <c r="J3275" i="4"/>
  <c r="L3275" i="4" s="1"/>
  <c r="P3275" i="4"/>
  <c r="R3275" i="4"/>
  <c r="B3276" i="4"/>
  <c r="C3276" i="4"/>
  <c r="E3276" i="4"/>
  <c r="I3276" i="4"/>
  <c r="J3276" i="4"/>
  <c r="P3276" i="4"/>
  <c r="R3276" i="4"/>
  <c r="B3277" i="4"/>
  <c r="C3277" i="4"/>
  <c r="E3277" i="4"/>
  <c r="I3277" i="4"/>
  <c r="J3277" i="4"/>
  <c r="P3277" i="4"/>
  <c r="R3277" i="4"/>
  <c r="B3278" i="4"/>
  <c r="C3278" i="4"/>
  <c r="E3278" i="4"/>
  <c r="I3278" i="4"/>
  <c r="J3278" i="4"/>
  <c r="P3278" i="4"/>
  <c r="R3278" i="4"/>
  <c r="B3279" i="4"/>
  <c r="C3279" i="4"/>
  <c r="E3279" i="4"/>
  <c r="I3279" i="4"/>
  <c r="J3279" i="4"/>
  <c r="K3279" i="4" s="1"/>
  <c r="P3279" i="4"/>
  <c r="R3279" i="4"/>
  <c r="B3280" i="4"/>
  <c r="C3280" i="4"/>
  <c r="E3280" i="4"/>
  <c r="I3280" i="4"/>
  <c r="J3280" i="4"/>
  <c r="K3280" i="4" s="1"/>
  <c r="P3280" i="4"/>
  <c r="R3280" i="4"/>
  <c r="B3281" i="4"/>
  <c r="C3281" i="4"/>
  <c r="E3281" i="4"/>
  <c r="I3281" i="4"/>
  <c r="J3281" i="4"/>
  <c r="K3281" i="4" s="1"/>
  <c r="L3281" i="4" s="1"/>
  <c r="P3281" i="4"/>
  <c r="R3281" i="4"/>
  <c r="B3282" i="4"/>
  <c r="C3282" i="4"/>
  <c r="E3282" i="4"/>
  <c r="I3282" i="4"/>
  <c r="J3282" i="4"/>
  <c r="K3282" i="4" s="1"/>
  <c r="L3282" i="4" s="1"/>
  <c r="P3282" i="4"/>
  <c r="R3282" i="4"/>
  <c r="B3283" i="4"/>
  <c r="C3283" i="4"/>
  <c r="E3283" i="4"/>
  <c r="I3283" i="4"/>
  <c r="J3283" i="4"/>
  <c r="K3283" i="4" s="1"/>
  <c r="P3283" i="4"/>
  <c r="R3283" i="4"/>
  <c r="B3284" i="4"/>
  <c r="C3284" i="4"/>
  <c r="E3284" i="4"/>
  <c r="I3284" i="4"/>
  <c r="J3284" i="4"/>
  <c r="K3284" i="4" s="1"/>
  <c r="P3284" i="4"/>
  <c r="R3284" i="4"/>
  <c r="B3285" i="4"/>
  <c r="C3285" i="4"/>
  <c r="E3285" i="4"/>
  <c r="I3285" i="4"/>
  <c r="J3285" i="4"/>
  <c r="K3285" i="4" s="1"/>
  <c r="P3285" i="4"/>
  <c r="R3285" i="4"/>
  <c r="B3286" i="4"/>
  <c r="C3286" i="4"/>
  <c r="E3286" i="4"/>
  <c r="I3286" i="4"/>
  <c r="J3286" i="4"/>
  <c r="K3286" i="4" s="1"/>
  <c r="L3286" i="4" s="1"/>
  <c r="P3286" i="4"/>
  <c r="R3286" i="4"/>
  <c r="B3287" i="4"/>
  <c r="C3287" i="4"/>
  <c r="E3287" i="4"/>
  <c r="I3287" i="4"/>
  <c r="J3287" i="4"/>
  <c r="K3287" i="4" s="1"/>
  <c r="P3287" i="4"/>
  <c r="R3287" i="4"/>
  <c r="B3288" i="4"/>
  <c r="C3288" i="4"/>
  <c r="E3288" i="4"/>
  <c r="I3288" i="4"/>
  <c r="J3288" i="4"/>
  <c r="K3288" i="4" s="1"/>
  <c r="P3288" i="4"/>
  <c r="R3288" i="4"/>
  <c r="B3289" i="4"/>
  <c r="C3289" i="4"/>
  <c r="E3289" i="4"/>
  <c r="I3289" i="4"/>
  <c r="J3289" i="4"/>
  <c r="K3289" i="4" s="1"/>
  <c r="P3289" i="4"/>
  <c r="R3289" i="4"/>
  <c r="B3290" i="4"/>
  <c r="C3290" i="4"/>
  <c r="E3290" i="4"/>
  <c r="I3290" i="4"/>
  <c r="J3290" i="4"/>
  <c r="K3290" i="4" s="1"/>
  <c r="L3290" i="4" s="1"/>
  <c r="P3290" i="4"/>
  <c r="R3290" i="4"/>
  <c r="B3291" i="4"/>
  <c r="C3291" i="4"/>
  <c r="E3291" i="4"/>
  <c r="I3291" i="4"/>
  <c r="J3291" i="4"/>
  <c r="K3291" i="4" s="1"/>
  <c r="L3291" i="4" s="1"/>
  <c r="P3291" i="4"/>
  <c r="R3291" i="4"/>
  <c r="B3292" i="4"/>
  <c r="C3292" i="4"/>
  <c r="E3292" i="4"/>
  <c r="I3292" i="4"/>
  <c r="J3292" i="4"/>
  <c r="K3292" i="4"/>
  <c r="L3292" i="4" s="1"/>
  <c r="P3292" i="4"/>
  <c r="R3292" i="4"/>
  <c r="B3293" i="4"/>
  <c r="C3293" i="4"/>
  <c r="E3293" i="4"/>
  <c r="I3293" i="4"/>
  <c r="J3293" i="4"/>
  <c r="K3293" i="4" s="1"/>
  <c r="P3293" i="4"/>
  <c r="R3293" i="4"/>
  <c r="B3294" i="4"/>
  <c r="C3294" i="4"/>
  <c r="E3294" i="4"/>
  <c r="I3294" i="4"/>
  <c r="J3294" i="4"/>
  <c r="K3294" i="4" s="1"/>
  <c r="P3294" i="4"/>
  <c r="R3294" i="4"/>
  <c r="B3295" i="4"/>
  <c r="C3295" i="4"/>
  <c r="E3295" i="4"/>
  <c r="I3295" i="4"/>
  <c r="J3295" i="4"/>
  <c r="K3295" i="4" s="1"/>
  <c r="P3295" i="4"/>
  <c r="R3295" i="4"/>
  <c r="B3296" i="4"/>
  <c r="C3296" i="4"/>
  <c r="E3296" i="4"/>
  <c r="I3296" i="4"/>
  <c r="J3296" i="4"/>
  <c r="K3296" i="4" s="1"/>
  <c r="P3296" i="4"/>
  <c r="R3296" i="4"/>
  <c r="B3297" i="4"/>
  <c r="C3297" i="4"/>
  <c r="E3297" i="4"/>
  <c r="I3297" i="4"/>
  <c r="J3297" i="4"/>
  <c r="K3297" i="4" s="1"/>
  <c r="P3297" i="4"/>
  <c r="R3297" i="4"/>
  <c r="B3298" i="4"/>
  <c r="C3298" i="4"/>
  <c r="E3298" i="4"/>
  <c r="I3298" i="4"/>
  <c r="J3298" i="4"/>
  <c r="K3298" i="4" s="1"/>
  <c r="L3298" i="4" s="1"/>
  <c r="P3298" i="4"/>
  <c r="R3298" i="4"/>
  <c r="B3299" i="4"/>
  <c r="C3299" i="4"/>
  <c r="E3299" i="4"/>
  <c r="I3299" i="4"/>
  <c r="J3299" i="4"/>
  <c r="K3299" i="4" s="1"/>
  <c r="P3299" i="4"/>
  <c r="R3299" i="4"/>
  <c r="B3300" i="4"/>
  <c r="C3300" i="4"/>
  <c r="E3300" i="4"/>
  <c r="I3300" i="4"/>
  <c r="J3300" i="4"/>
  <c r="K3300" i="4" s="1"/>
  <c r="P3300" i="4"/>
  <c r="R3300" i="4"/>
  <c r="B3301" i="4"/>
  <c r="C3301" i="4"/>
  <c r="E3301" i="4"/>
  <c r="I3301" i="4"/>
  <c r="J3301" i="4"/>
  <c r="K3301" i="4" s="1"/>
  <c r="P3301" i="4"/>
  <c r="R3301" i="4"/>
  <c r="B3302" i="4"/>
  <c r="C3302" i="4"/>
  <c r="E3302" i="4"/>
  <c r="I3302" i="4"/>
  <c r="J3302" i="4"/>
  <c r="K3302" i="4" s="1"/>
  <c r="L3302" i="4" s="1"/>
  <c r="P3302" i="4"/>
  <c r="R3302" i="4"/>
  <c r="B3303" i="4"/>
  <c r="C3303" i="4"/>
  <c r="E3303" i="4"/>
  <c r="I3303" i="4"/>
  <c r="J3303" i="4"/>
  <c r="K3303" i="4" s="1"/>
  <c r="P3303" i="4"/>
  <c r="R3303" i="4"/>
  <c r="B3304" i="4"/>
  <c r="C3304" i="4"/>
  <c r="E3304" i="4"/>
  <c r="I3304" i="4"/>
  <c r="J3304" i="4"/>
  <c r="K3304" i="4" s="1"/>
  <c r="P3304" i="4"/>
  <c r="R3304" i="4"/>
  <c r="B3305" i="4"/>
  <c r="C3305" i="4"/>
  <c r="E3305" i="4"/>
  <c r="I3305" i="4"/>
  <c r="J3305" i="4"/>
  <c r="K3305" i="4" s="1"/>
  <c r="P3305" i="4"/>
  <c r="R3305" i="4"/>
  <c r="B3306" i="4"/>
  <c r="C3306" i="4"/>
  <c r="E3306" i="4"/>
  <c r="I3306" i="4"/>
  <c r="J3306" i="4"/>
  <c r="K3306" i="4" s="1"/>
  <c r="P3306" i="4"/>
  <c r="R3306" i="4"/>
  <c r="B3307" i="4"/>
  <c r="C3307" i="4"/>
  <c r="E3307" i="4"/>
  <c r="I3307" i="4"/>
  <c r="J3307" i="4"/>
  <c r="K3307" i="4" s="1"/>
  <c r="P3307" i="4"/>
  <c r="R3307" i="4"/>
  <c r="B3308" i="4"/>
  <c r="C3308" i="4"/>
  <c r="E3308" i="4"/>
  <c r="I3308" i="4"/>
  <c r="J3308" i="4"/>
  <c r="K3308" i="4" s="1"/>
  <c r="P3308" i="4"/>
  <c r="R3308" i="4"/>
  <c r="B3309" i="4"/>
  <c r="C3309" i="4"/>
  <c r="E3309" i="4"/>
  <c r="I3309" i="4"/>
  <c r="J3309" i="4"/>
  <c r="K3309" i="4" s="1"/>
  <c r="L3309" i="4" s="1"/>
  <c r="P3309" i="4"/>
  <c r="R3309" i="4"/>
  <c r="B3310" i="4"/>
  <c r="C3310" i="4"/>
  <c r="E3310" i="4"/>
  <c r="I3310" i="4"/>
  <c r="J3310" i="4"/>
  <c r="K3310" i="4" s="1"/>
  <c r="P3310" i="4"/>
  <c r="R3310" i="4"/>
  <c r="B3311" i="4"/>
  <c r="C3311" i="4"/>
  <c r="E3311" i="4"/>
  <c r="I3311" i="4"/>
  <c r="J3311" i="4"/>
  <c r="K3311" i="4" s="1"/>
  <c r="P3311" i="4"/>
  <c r="R3311" i="4"/>
  <c r="B3334" i="4"/>
  <c r="C3334" i="4"/>
  <c r="E3334" i="4"/>
  <c r="I3334" i="4"/>
  <c r="J3334" i="4"/>
  <c r="K3334" i="4" s="1"/>
  <c r="L3334" i="4" s="1"/>
  <c r="P3334" i="4"/>
  <c r="R3334" i="4"/>
  <c r="M3335" i="4" l="1"/>
  <c r="L3335" i="4"/>
  <c r="M3330" i="4"/>
  <c r="L3330" i="4"/>
  <c r="M3333" i="4"/>
  <c r="M3292" i="4"/>
  <c r="M3334" i="4"/>
  <c r="M3281" i="4"/>
  <c r="L3325" i="4"/>
  <c r="M3325" i="4"/>
  <c r="L3324" i="4"/>
  <c r="M3324" i="4"/>
  <c r="M3327" i="4"/>
  <c r="L3327" i="4"/>
  <c r="M3320" i="4"/>
  <c r="L3319" i="4"/>
  <c r="M3319" i="4"/>
  <c r="M3321" i="4"/>
  <c r="M3309" i="4"/>
  <c r="M3308" i="4"/>
  <c r="L3308" i="4"/>
  <c r="M3311" i="4"/>
  <c r="L3311" i="4"/>
  <c r="M3306" i="4"/>
  <c r="L3306" i="4"/>
  <c r="M3303" i="4"/>
  <c r="L3303" i="4"/>
  <c r="L3329" i="4"/>
  <c r="M3329" i="4"/>
  <c r="L3313" i="4"/>
  <c r="M3313" i="4"/>
  <c r="L3322" i="4"/>
  <c r="M3322" i="4"/>
  <c r="L3332" i="4"/>
  <c r="M3332" i="4"/>
  <c r="L3315" i="4"/>
  <c r="M3315" i="4"/>
  <c r="M3318" i="4"/>
  <c r="L3318" i="4"/>
  <c r="L3312" i="4"/>
  <c r="M3312" i="4"/>
  <c r="M3323" i="4"/>
  <c r="L3323" i="4"/>
  <c r="L3316" i="4"/>
  <c r="M3316" i="4"/>
  <c r="L3314" i="4"/>
  <c r="M3314" i="4"/>
  <c r="L3331" i="4"/>
  <c r="M3331" i="4"/>
  <c r="L3317" i="4"/>
  <c r="M3317" i="4"/>
  <c r="M3328" i="4"/>
  <c r="M3326" i="4"/>
  <c r="L3307" i="4"/>
  <c r="M3307" i="4"/>
  <c r="L3297" i="4"/>
  <c r="M3297" i="4"/>
  <c r="L3296" i="4"/>
  <c r="M3296" i="4"/>
  <c r="M3290" i="4"/>
  <c r="L3295" i="4"/>
  <c r="M3295" i="4"/>
  <c r="M3293" i="4"/>
  <c r="L3293" i="4"/>
  <c r="L3287" i="4"/>
  <c r="M3287" i="4"/>
  <c r="M3291" i="4"/>
  <c r="L3280" i="4"/>
  <c r="M3280" i="4"/>
  <c r="M3279" i="4"/>
  <c r="L3279" i="4"/>
  <c r="M3275" i="4"/>
  <c r="L3310" i="4"/>
  <c r="M3310" i="4"/>
  <c r="L3273" i="4"/>
  <c r="M3273" i="4"/>
  <c r="M3283" i="4"/>
  <c r="L3283" i="4"/>
  <c r="L3304" i="4"/>
  <c r="M3304" i="4"/>
  <c r="L3285" i="4"/>
  <c r="M3285" i="4"/>
  <c r="L3272" i="4"/>
  <c r="M3272" i="4"/>
  <c r="L3284" i="4"/>
  <c r="M3284" i="4"/>
  <c r="M3274" i="4"/>
  <c r="L3274" i="4"/>
  <c r="L3278" i="4"/>
  <c r="M3278" i="4"/>
  <c r="L3289" i="4"/>
  <c r="M3289" i="4"/>
  <c r="L3277" i="4"/>
  <c r="M3277" i="4"/>
  <c r="L3300" i="4"/>
  <c r="M3300" i="4"/>
  <c r="L3294" i="4"/>
  <c r="M3294" i="4"/>
  <c r="L3288" i="4"/>
  <c r="M3288" i="4"/>
  <c r="L3276" i="4"/>
  <c r="M3276" i="4"/>
  <c r="M3299" i="4"/>
  <c r="L3299" i="4"/>
  <c r="L3305" i="4"/>
  <c r="M3305" i="4"/>
  <c r="L3301" i="4"/>
  <c r="M3301" i="4"/>
  <c r="M3298" i="4"/>
  <c r="M3282" i="4"/>
  <c r="M3302" i="4"/>
  <c r="M3286" i="4"/>
  <c r="B3257" i="4" l="1"/>
  <c r="C3257" i="4"/>
  <c r="E3257" i="4"/>
  <c r="I3257" i="4"/>
  <c r="J3257" i="4"/>
  <c r="K3257" i="4" s="1"/>
  <c r="P3257" i="4"/>
  <c r="R3257" i="4"/>
  <c r="B3258" i="4"/>
  <c r="C3258" i="4"/>
  <c r="E3258" i="4"/>
  <c r="I3258" i="4"/>
  <c r="J3258" i="4"/>
  <c r="K3258" i="4" s="1"/>
  <c r="P3258" i="4"/>
  <c r="R3258" i="4"/>
  <c r="B3259" i="4"/>
  <c r="C3259" i="4"/>
  <c r="E3259" i="4"/>
  <c r="I3259" i="4"/>
  <c r="J3259" i="4"/>
  <c r="K3259" i="4" s="1"/>
  <c r="P3259" i="4"/>
  <c r="R3259" i="4"/>
  <c r="B3260" i="4"/>
  <c r="C3260" i="4"/>
  <c r="E3260" i="4"/>
  <c r="I3260" i="4"/>
  <c r="J3260" i="4"/>
  <c r="K3260" i="4" s="1"/>
  <c r="M3260" i="4" s="1"/>
  <c r="P3260" i="4"/>
  <c r="R3260" i="4"/>
  <c r="B3261" i="4"/>
  <c r="C3261" i="4"/>
  <c r="E3261" i="4"/>
  <c r="I3261" i="4"/>
  <c r="J3261" i="4"/>
  <c r="K3261" i="4" s="1"/>
  <c r="L3261" i="4" s="1"/>
  <c r="P3261" i="4"/>
  <c r="R3261" i="4"/>
  <c r="B3262" i="4"/>
  <c r="C3262" i="4"/>
  <c r="E3262" i="4"/>
  <c r="I3262" i="4"/>
  <c r="J3262" i="4"/>
  <c r="K3262" i="4" s="1"/>
  <c r="M3262" i="4" s="1"/>
  <c r="P3262" i="4"/>
  <c r="R3262" i="4"/>
  <c r="B3263" i="4"/>
  <c r="C3263" i="4"/>
  <c r="E3263" i="4"/>
  <c r="I3263" i="4"/>
  <c r="J3263" i="4"/>
  <c r="K3263" i="4" s="1"/>
  <c r="P3263" i="4"/>
  <c r="R3263" i="4"/>
  <c r="B3264" i="4"/>
  <c r="C3264" i="4"/>
  <c r="E3264" i="4"/>
  <c r="I3264" i="4"/>
  <c r="J3264" i="4"/>
  <c r="K3264" i="4" s="1"/>
  <c r="P3264" i="4"/>
  <c r="R3264" i="4"/>
  <c r="B3265" i="4"/>
  <c r="C3265" i="4"/>
  <c r="E3265" i="4"/>
  <c r="I3265" i="4"/>
  <c r="J3265" i="4"/>
  <c r="K3265" i="4" s="1"/>
  <c r="P3265" i="4"/>
  <c r="R3265" i="4"/>
  <c r="B3266" i="4"/>
  <c r="C3266" i="4"/>
  <c r="E3266" i="4"/>
  <c r="I3266" i="4"/>
  <c r="J3266" i="4"/>
  <c r="K3266" i="4" s="1"/>
  <c r="P3266" i="4"/>
  <c r="R3266" i="4"/>
  <c r="B3267" i="4"/>
  <c r="C3267" i="4"/>
  <c r="E3267" i="4"/>
  <c r="I3267" i="4"/>
  <c r="J3267" i="4"/>
  <c r="K3267" i="4" s="1"/>
  <c r="P3267" i="4"/>
  <c r="R3267" i="4"/>
  <c r="B3268" i="4"/>
  <c r="C3268" i="4"/>
  <c r="E3268" i="4"/>
  <c r="I3268" i="4"/>
  <c r="J3268" i="4"/>
  <c r="K3268" i="4" s="1"/>
  <c r="P3268" i="4"/>
  <c r="R3268" i="4"/>
  <c r="B3269" i="4"/>
  <c r="C3269" i="4"/>
  <c r="E3269" i="4"/>
  <c r="I3269" i="4"/>
  <c r="J3269" i="4"/>
  <c r="K3269" i="4" s="1"/>
  <c r="P3269" i="4"/>
  <c r="R3269" i="4"/>
  <c r="B3270" i="4"/>
  <c r="C3270" i="4"/>
  <c r="E3270" i="4"/>
  <c r="I3270" i="4"/>
  <c r="J3270" i="4"/>
  <c r="K3270" i="4" s="1"/>
  <c r="L3270" i="4" s="1"/>
  <c r="P3270" i="4"/>
  <c r="R3270" i="4"/>
  <c r="B3271" i="4"/>
  <c r="C3271" i="4"/>
  <c r="E3271" i="4"/>
  <c r="I3271" i="4"/>
  <c r="J3271" i="4"/>
  <c r="L3271" i="4" s="1"/>
  <c r="P3271" i="4"/>
  <c r="R3271" i="4"/>
  <c r="P3256" i="4"/>
  <c r="R3256" i="4"/>
  <c r="I3256" i="4"/>
  <c r="J3256" i="4"/>
  <c r="K3256" i="4" s="1"/>
  <c r="E3256" i="4"/>
  <c r="B3256" i="4"/>
  <c r="C3256" i="4"/>
  <c r="L3269" i="4" l="1"/>
  <c r="M3269" i="4"/>
  <c r="M3267" i="4"/>
  <c r="L3267" i="4"/>
  <c r="L3265" i="4"/>
  <c r="M3265" i="4"/>
  <c r="M3268" i="4"/>
  <c r="L3268" i="4"/>
  <c r="L3263" i="4"/>
  <c r="M3263" i="4"/>
  <c r="M3266" i="4"/>
  <c r="L3266" i="4"/>
  <c r="M3270" i="4"/>
  <c r="L3262" i="4"/>
  <c r="L3260" i="4"/>
  <c r="L3259" i="4"/>
  <c r="M3259" i="4"/>
  <c r="L3257" i="4"/>
  <c r="M3257" i="4"/>
  <c r="L3258" i="4"/>
  <c r="M3258" i="4"/>
  <c r="L3264" i="4"/>
  <c r="M3264" i="4"/>
  <c r="M3261" i="4"/>
  <c r="M3271" i="4"/>
  <c r="L3256" i="4"/>
  <c r="M3256" i="4"/>
  <c r="B3230" i="4"/>
  <c r="C3230" i="4"/>
  <c r="E3230" i="4"/>
  <c r="I3230" i="4"/>
  <c r="J3230" i="4"/>
  <c r="K3230" i="4" s="1"/>
  <c r="P3230" i="4"/>
  <c r="R3230" i="4"/>
  <c r="B3231" i="4"/>
  <c r="C3231" i="4"/>
  <c r="E3231" i="4"/>
  <c r="I3231" i="4"/>
  <c r="J3231" i="4"/>
  <c r="K3231" i="4" s="1"/>
  <c r="P3231" i="4"/>
  <c r="R3231" i="4"/>
  <c r="B3232" i="4"/>
  <c r="C3232" i="4"/>
  <c r="E3232" i="4"/>
  <c r="I3232" i="4"/>
  <c r="J3232" i="4"/>
  <c r="K3232" i="4" s="1"/>
  <c r="P3232" i="4"/>
  <c r="R3232" i="4"/>
  <c r="B3233" i="4"/>
  <c r="C3233" i="4"/>
  <c r="E3233" i="4"/>
  <c r="I3233" i="4"/>
  <c r="J3233" i="4"/>
  <c r="K3233" i="4" s="1"/>
  <c r="P3233" i="4"/>
  <c r="R3233" i="4"/>
  <c r="B3234" i="4"/>
  <c r="C3234" i="4"/>
  <c r="E3234" i="4"/>
  <c r="I3234" i="4"/>
  <c r="J3234" i="4"/>
  <c r="K3234" i="4" s="1"/>
  <c r="P3234" i="4"/>
  <c r="R3234" i="4"/>
  <c r="B3235" i="4"/>
  <c r="C3235" i="4"/>
  <c r="E3235" i="4"/>
  <c r="I3235" i="4"/>
  <c r="J3235" i="4"/>
  <c r="K3235" i="4" s="1"/>
  <c r="P3235" i="4"/>
  <c r="R3235" i="4"/>
  <c r="B3236" i="4"/>
  <c r="C3236" i="4"/>
  <c r="E3236" i="4"/>
  <c r="I3236" i="4"/>
  <c r="J3236" i="4"/>
  <c r="K3236" i="4" s="1"/>
  <c r="P3236" i="4"/>
  <c r="R3236" i="4"/>
  <c r="B3237" i="4"/>
  <c r="C3237" i="4"/>
  <c r="E3237" i="4"/>
  <c r="I3237" i="4"/>
  <c r="J3237" i="4"/>
  <c r="K3237" i="4" s="1"/>
  <c r="L3237" i="4" s="1"/>
  <c r="P3237" i="4"/>
  <c r="R3237" i="4"/>
  <c r="B3238" i="4"/>
  <c r="C3238" i="4"/>
  <c r="E3238" i="4"/>
  <c r="I3238" i="4"/>
  <c r="J3238" i="4"/>
  <c r="K3238" i="4" s="1"/>
  <c r="L3238" i="4" s="1"/>
  <c r="P3238" i="4"/>
  <c r="R3238" i="4"/>
  <c r="B3239" i="4"/>
  <c r="C3239" i="4"/>
  <c r="E3239" i="4"/>
  <c r="I3239" i="4"/>
  <c r="J3239" i="4"/>
  <c r="K3239" i="4" s="1"/>
  <c r="P3239" i="4"/>
  <c r="R3239" i="4"/>
  <c r="B3240" i="4"/>
  <c r="C3240" i="4"/>
  <c r="E3240" i="4"/>
  <c r="I3240" i="4"/>
  <c r="J3240" i="4"/>
  <c r="K3240" i="4" s="1"/>
  <c r="P3240" i="4"/>
  <c r="R3240" i="4"/>
  <c r="B3241" i="4"/>
  <c r="C3241" i="4"/>
  <c r="E3241" i="4"/>
  <c r="I3241" i="4"/>
  <c r="J3241" i="4"/>
  <c r="K3241" i="4"/>
  <c r="M3241" i="4" s="1"/>
  <c r="P3241" i="4"/>
  <c r="R3241" i="4"/>
  <c r="B3242" i="4"/>
  <c r="C3242" i="4"/>
  <c r="E3242" i="4"/>
  <c r="I3242" i="4"/>
  <c r="J3242" i="4"/>
  <c r="K3242" i="4" s="1"/>
  <c r="P3242" i="4"/>
  <c r="R3242" i="4"/>
  <c r="B3243" i="4"/>
  <c r="C3243" i="4"/>
  <c r="E3243" i="4"/>
  <c r="I3243" i="4"/>
  <c r="J3243" i="4"/>
  <c r="K3243" i="4" s="1"/>
  <c r="P3243" i="4"/>
  <c r="R3243" i="4"/>
  <c r="B3244" i="4"/>
  <c r="C3244" i="4"/>
  <c r="E3244" i="4"/>
  <c r="I3244" i="4"/>
  <c r="J3244" i="4"/>
  <c r="K3244" i="4" s="1"/>
  <c r="L3244" i="4" s="1"/>
  <c r="P3244" i="4"/>
  <c r="R3244" i="4"/>
  <c r="B3245" i="4"/>
  <c r="C3245" i="4"/>
  <c r="E3245" i="4"/>
  <c r="I3245" i="4"/>
  <c r="J3245" i="4"/>
  <c r="K3245" i="4" s="1"/>
  <c r="P3245" i="4"/>
  <c r="R3245" i="4"/>
  <c r="B3246" i="4"/>
  <c r="C3246" i="4"/>
  <c r="E3246" i="4"/>
  <c r="I3246" i="4"/>
  <c r="J3246" i="4"/>
  <c r="K3246" i="4" s="1"/>
  <c r="P3246" i="4"/>
  <c r="R3246" i="4"/>
  <c r="B3247" i="4"/>
  <c r="C3247" i="4"/>
  <c r="E3247" i="4"/>
  <c r="I3247" i="4"/>
  <c r="J3247" i="4"/>
  <c r="K3247" i="4" s="1"/>
  <c r="P3247" i="4"/>
  <c r="R3247" i="4"/>
  <c r="B3248" i="4"/>
  <c r="C3248" i="4"/>
  <c r="E3248" i="4"/>
  <c r="I3248" i="4"/>
  <c r="J3248" i="4"/>
  <c r="K3248" i="4" s="1"/>
  <c r="P3248" i="4"/>
  <c r="R3248" i="4"/>
  <c r="B3249" i="4"/>
  <c r="C3249" i="4"/>
  <c r="E3249" i="4"/>
  <c r="I3249" i="4"/>
  <c r="J3249" i="4"/>
  <c r="K3249" i="4" s="1"/>
  <c r="L3249" i="4" s="1"/>
  <c r="P3249" i="4"/>
  <c r="R3249" i="4"/>
  <c r="B3250" i="4"/>
  <c r="C3250" i="4"/>
  <c r="E3250" i="4"/>
  <c r="I3250" i="4"/>
  <c r="J3250" i="4"/>
  <c r="K3250" i="4" s="1"/>
  <c r="P3250" i="4"/>
  <c r="R3250" i="4"/>
  <c r="B3251" i="4"/>
  <c r="C3251" i="4"/>
  <c r="E3251" i="4"/>
  <c r="I3251" i="4"/>
  <c r="J3251" i="4"/>
  <c r="K3251" i="4" s="1"/>
  <c r="L3251" i="4" s="1"/>
  <c r="P3251" i="4"/>
  <c r="R3251" i="4"/>
  <c r="B3252" i="4"/>
  <c r="C3252" i="4"/>
  <c r="E3252" i="4"/>
  <c r="I3252" i="4"/>
  <c r="J3252" i="4"/>
  <c r="K3252" i="4" s="1"/>
  <c r="M3252" i="4" s="1"/>
  <c r="P3252" i="4"/>
  <c r="R3252" i="4"/>
  <c r="B3253" i="4"/>
  <c r="C3253" i="4"/>
  <c r="E3253" i="4"/>
  <c r="I3253" i="4"/>
  <c r="J3253" i="4"/>
  <c r="K3253" i="4" s="1"/>
  <c r="L3253" i="4" s="1"/>
  <c r="P3253" i="4"/>
  <c r="R3253" i="4"/>
  <c r="B3254" i="4"/>
  <c r="C3254" i="4"/>
  <c r="E3254" i="4"/>
  <c r="I3254" i="4"/>
  <c r="J3254" i="4"/>
  <c r="K3254" i="4" s="1"/>
  <c r="P3254" i="4"/>
  <c r="R3254" i="4"/>
  <c r="B3255" i="4"/>
  <c r="C3255" i="4"/>
  <c r="E3255" i="4"/>
  <c r="I3255" i="4"/>
  <c r="J3255" i="4"/>
  <c r="K3255" i="4" s="1"/>
  <c r="L3255" i="4" s="1"/>
  <c r="P3255" i="4"/>
  <c r="R3255" i="4"/>
  <c r="L3243" i="4" l="1"/>
  <c r="M3243" i="4"/>
  <c r="L3241" i="4"/>
  <c r="L3252" i="4"/>
  <c r="M3254" i="4"/>
  <c r="L3254" i="4"/>
  <c r="L3232" i="4"/>
  <c r="M3232" i="4"/>
  <c r="M3255" i="4"/>
  <c r="M3253" i="4"/>
  <c r="M3251" i="4"/>
  <c r="M3249" i="4"/>
  <c r="L3248" i="4"/>
  <c r="M3248" i="4"/>
  <c r="L3245" i="4"/>
  <c r="M3245" i="4"/>
  <c r="L3242" i="4"/>
  <c r="M3242" i="4"/>
  <c r="M3239" i="4"/>
  <c r="L3239" i="4"/>
  <c r="M3238" i="4"/>
  <c r="L3236" i="4"/>
  <c r="M3236" i="4"/>
  <c r="L3233" i="4"/>
  <c r="M3233" i="4"/>
  <c r="L3235" i="4"/>
  <c r="M3235" i="4"/>
  <c r="L3231" i="4"/>
  <c r="M3231" i="4"/>
  <c r="L3234" i="4"/>
  <c r="M3234" i="4"/>
  <c r="L3240" i="4"/>
  <c r="M3240" i="4"/>
  <c r="M3247" i="4"/>
  <c r="L3247" i="4"/>
  <c r="L3250" i="4"/>
  <c r="M3250" i="4"/>
  <c r="M3230" i="4"/>
  <c r="L3230" i="4"/>
  <c r="L3246" i="4"/>
  <c r="M3246" i="4"/>
  <c r="M3237" i="4"/>
  <c r="M3244" i="4"/>
  <c r="B3194" i="4"/>
  <c r="C3194" i="4"/>
  <c r="E3194" i="4"/>
  <c r="I3194" i="4"/>
  <c r="J3194" i="4"/>
  <c r="K3194" i="4" s="1"/>
  <c r="P3194" i="4"/>
  <c r="R3194" i="4"/>
  <c r="B3195" i="4"/>
  <c r="C3195" i="4"/>
  <c r="E3195" i="4"/>
  <c r="I3195" i="4"/>
  <c r="J3195" i="4"/>
  <c r="K3195" i="4" s="1"/>
  <c r="P3195" i="4"/>
  <c r="R3195" i="4"/>
  <c r="B3196" i="4"/>
  <c r="C3196" i="4"/>
  <c r="E3196" i="4"/>
  <c r="I3196" i="4"/>
  <c r="J3196" i="4"/>
  <c r="K3196" i="4" s="1"/>
  <c r="P3196" i="4"/>
  <c r="R3196" i="4"/>
  <c r="B3197" i="4"/>
  <c r="C3197" i="4"/>
  <c r="E3197" i="4"/>
  <c r="I3197" i="4"/>
  <c r="J3197" i="4"/>
  <c r="K3197" i="4" s="1"/>
  <c r="P3197" i="4"/>
  <c r="R3197" i="4"/>
  <c r="B3198" i="4"/>
  <c r="C3198" i="4"/>
  <c r="E3198" i="4"/>
  <c r="I3198" i="4"/>
  <c r="J3198" i="4"/>
  <c r="K3198" i="4" s="1"/>
  <c r="P3198" i="4"/>
  <c r="R3198" i="4"/>
  <c r="B3199" i="4"/>
  <c r="C3199" i="4"/>
  <c r="E3199" i="4"/>
  <c r="I3199" i="4"/>
  <c r="J3199" i="4"/>
  <c r="K3199" i="4" s="1"/>
  <c r="P3199" i="4"/>
  <c r="R3199" i="4"/>
  <c r="B3200" i="4"/>
  <c r="C3200" i="4"/>
  <c r="E3200" i="4"/>
  <c r="I3200" i="4"/>
  <c r="J3200" i="4"/>
  <c r="K3200" i="4" s="1"/>
  <c r="P3200" i="4"/>
  <c r="R3200" i="4"/>
  <c r="B3201" i="4"/>
  <c r="C3201" i="4"/>
  <c r="E3201" i="4"/>
  <c r="I3201" i="4"/>
  <c r="J3201" i="4"/>
  <c r="K3201" i="4" s="1"/>
  <c r="M3201" i="4" s="1"/>
  <c r="P3201" i="4"/>
  <c r="R3201" i="4"/>
  <c r="B3202" i="4"/>
  <c r="C3202" i="4"/>
  <c r="E3202" i="4"/>
  <c r="I3202" i="4"/>
  <c r="J3202" i="4"/>
  <c r="K3202" i="4" s="1"/>
  <c r="P3202" i="4"/>
  <c r="R3202" i="4"/>
  <c r="B3203" i="4"/>
  <c r="C3203" i="4"/>
  <c r="E3203" i="4"/>
  <c r="I3203" i="4"/>
  <c r="J3203" i="4"/>
  <c r="K3203" i="4" s="1"/>
  <c r="L3203" i="4" s="1"/>
  <c r="P3203" i="4"/>
  <c r="R3203" i="4"/>
  <c r="B3204" i="4"/>
  <c r="C3204" i="4"/>
  <c r="E3204" i="4"/>
  <c r="I3204" i="4"/>
  <c r="J3204" i="4"/>
  <c r="K3204" i="4" s="1"/>
  <c r="P3204" i="4"/>
  <c r="R3204" i="4"/>
  <c r="B3205" i="4"/>
  <c r="C3205" i="4"/>
  <c r="E3205" i="4"/>
  <c r="I3205" i="4"/>
  <c r="J3205" i="4"/>
  <c r="K3205" i="4" s="1"/>
  <c r="P3205" i="4"/>
  <c r="R3205" i="4"/>
  <c r="B3206" i="4"/>
  <c r="C3206" i="4"/>
  <c r="E3206" i="4"/>
  <c r="I3206" i="4"/>
  <c r="J3206" i="4"/>
  <c r="K3206" i="4" s="1"/>
  <c r="P3206" i="4"/>
  <c r="R3206" i="4"/>
  <c r="B3207" i="4"/>
  <c r="C3207" i="4"/>
  <c r="E3207" i="4"/>
  <c r="I3207" i="4"/>
  <c r="J3207" i="4"/>
  <c r="K3207" i="4" s="1"/>
  <c r="P3207" i="4"/>
  <c r="R3207" i="4"/>
  <c r="B3208" i="4"/>
  <c r="C3208" i="4"/>
  <c r="E3208" i="4"/>
  <c r="I3208" i="4"/>
  <c r="J3208" i="4"/>
  <c r="K3208" i="4" s="1"/>
  <c r="L3208" i="4" s="1"/>
  <c r="P3208" i="4"/>
  <c r="R3208" i="4"/>
  <c r="B3209" i="4"/>
  <c r="C3209" i="4"/>
  <c r="E3209" i="4"/>
  <c r="I3209" i="4"/>
  <c r="J3209" i="4"/>
  <c r="K3209" i="4" s="1"/>
  <c r="P3209" i="4"/>
  <c r="R3209" i="4"/>
  <c r="B3210" i="4"/>
  <c r="C3210" i="4"/>
  <c r="E3210" i="4"/>
  <c r="I3210" i="4"/>
  <c r="J3210" i="4"/>
  <c r="K3210" i="4" s="1"/>
  <c r="L3210" i="4" s="1"/>
  <c r="P3210" i="4"/>
  <c r="R3210" i="4"/>
  <c r="B3211" i="4"/>
  <c r="C3211" i="4"/>
  <c r="E3211" i="4"/>
  <c r="I3211" i="4"/>
  <c r="J3211" i="4"/>
  <c r="K3211" i="4" s="1"/>
  <c r="P3211" i="4"/>
  <c r="R3211" i="4"/>
  <c r="B3212" i="4"/>
  <c r="C3212" i="4"/>
  <c r="E3212" i="4"/>
  <c r="I3212" i="4"/>
  <c r="J3212" i="4"/>
  <c r="K3212" i="4" s="1"/>
  <c r="M3212" i="4" s="1"/>
  <c r="P3212" i="4"/>
  <c r="R3212" i="4"/>
  <c r="B3213" i="4"/>
  <c r="C3213" i="4"/>
  <c r="E3213" i="4"/>
  <c r="I3213" i="4"/>
  <c r="J3213" i="4"/>
  <c r="K3213" i="4" s="1"/>
  <c r="P3213" i="4"/>
  <c r="R3213" i="4"/>
  <c r="B3214" i="4"/>
  <c r="C3214" i="4"/>
  <c r="E3214" i="4"/>
  <c r="I3214" i="4"/>
  <c r="J3214" i="4"/>
  <c r="K3214" i="4" s="1"/>
  <c r="P3214" i="4"/>
  <c r="R3214" i="4"/>
  <c r="B3215" i="4"/>
  <c r="C3215" i="4"/>
  <c r="E3215" i="4"/>
  <c r="I3215" i="4"/>
  <c r="J3215" i="4"/>
  <c r="K3215" i="4" s="1"/>
  <c r="P3215" i="4"/>
  <c r="R3215" i="4"/>
  <c r="B3216" i="4"/>
  <c r="C3216" i="4"/>
  <c r="E3216" i="4"/>
  <c r="I3216" i="4"/>
  <c r="J3216" i="4"/>
  <c r="K3216" i="4" s="1"/>
  <c r="P3216" i="4"/>
  <c r="R3216" i="4"/>
  <c r="B3217" i="4"/>
  <c r="C3217" i="4"/>
  <c r="E3217" i="4"/>
  <c r="I3217" i="4"/>
  <c r="J3217" i="4"/>
  <c r="K3217" i="4" s="1"/>
  <c r="P3217" i="4"/>
  <c r="R3217" i="4"/>
  <c r="B3218" i="4"/>
  <c r="C3218" i="4"/>
  <c r="E3218" i="4"/>
  <c r="I3218" i="4"/>
  <c r="J3218" i="4"/>
  <c r="K3218" i="4" s="1"/>
  <c r="L3218" i="4" s="1"/>
  <c r="P3218" i="4"/>
  <c r="R3218" i="4"/>
  <c r="B3219" i="4"/>
  <c r="C3219" i="4"/>
  <c r="E3219" i="4"/>
  <c r="I3219" i="4"/>
  <c r="J3219" i="4"/>
  <c r="K3219" i="4" s="1"/>
  <c r="L3219" i="4" s="1"/>
  <c r="P3219" i="4"/>
  <c r="R3219" i="4"/>
  <c r="B3220" i="4"/>
  <c r="C3220" i="4"/>
  <c r="E3220" i="4"/>
  <c r="I3220" i="4"/>
  <c r="J3220" i="4"/>
  <c r="K3220" i="4" s="1"/>
  <c r="P3220" i="4"/>
  <c r="R3220" i="4"/>
  <c r="B3221" i="4"/>
  <c r="C3221" i="4"/>
  <c r="E3221" i="4"/>
  <c r="I3221" i="4"/>
  <c r="J3221" i="4"/>
  <c r="K3221" i="4" s="1"/>
  <c r="P3221" i="4"/>
  <c r="R3221" i="4"/>
  <c r="B3222" i="4"/>
  <c r="C3222" i="4"/>
  <c r="E3222" i="4"/>
  <c r="I3222" i="4"/>
  <c r="J3222" i="4"/>
  <c r="K3222" i="4" s="1"/>
  <c r="L3222" i="4" s="1"/>
  <c r="P3222" i="4"/>
  <c r="R3222" i="4"/>
  <c r="B3223" i="4"/>
  <c r="C3223" i="4"/>
  <c r="E3223" i="4"/>
  <c r="I3223" i="4"/>
  <c r="J3223" i="4"/>
  <c r="K3223" i="4" s="1"/>
  <c r="P3223" i="4"/>
  <c r="R3223" i="4"/>
  <c r="B3224" i="4"/>
  <c r="C3224" i="4"/>
  <c r="E3224" i="4"/>
  <c r="I3224" i="4"/>
  <c r="J3224" i="4"/>
  <c r="K3224" i="4" s="1"/>
  <c r="P3224" i="4"/>
  <c r="R3224" i="4"/>
  <c r="B3225" i="4"/>
  <c r="C3225" i="4"/>
  <c r="E3225" i="4"/>
  <c r="I3225" i="4"/>
  <c r="J3225" i="4"/>
  <c r="K3225" i="4" s="1"/>
  <c r="P3225" i="4"/>
  <c r="R3225" i="4"/>
  <c r="B3226" i="4"/>
  <c r="C3226" i="4"/>
  <c r="E3226" i="4"/>
  <c r="I3226" i="4"/>
  <c r="J3226" i="4"/>
  <c r="K3226" i="4" s="1"/>
  <c r="L3226" i="4" s="1"/>
  <c r="P3226" i="4"/>
  <c r="R3226" i="4"/>
  <c r="B3227" i="4"/>
  <c r="C3227" i="4"/>
  <c r="E3227" i="4"/>
  <c r="I3227" i="4"/>
  <c r="J3227" i="4"/>
  <c r="K3227" i="4" s="1"/>
  <c r="P3227" i="4"/>
  <c r="R3227" i="4"/>
  <c r="B3228" i="4"/>
  <c r="C3228" i="4"/>
  <c r="E3228" i="4"/>
  <c r="I3228" i="4"/>
  <c r="J3228" i="4"/>
  <c r="K3228" i="4" s="1"/>
  <c r="P3228" i="4"/>
  <c r="R3228" i="4"/>
  <c r="B3229" i="4"/>
  <c r="C3229" i="4"/>
  <c r="E3229" i="4"/>
  <c r="I3229" i="4"/>
  <c r="J3229" i="4"/>
  <c r="K3229" i="4" s="1"/>
  <c r="P3229" i="4"/>
  <c r="R3229" i="4"/>
  <c r="R3193" i="4"/>
  <c r="J3193" i="4"/>
  <c r="I3193" i="4"/>
  <c r="E3193" i="4"/>
  <c r="L3212" i="4" l="1"/>
  <c r="L3201" i="4"/>
  <c r="M3221" i="4"/>
  <c r="L3221" i="4"/>
  <c r="L3228" i="4"/>
  <c r="M3228" i="4"/>
  <c r="L3220" i="4"/>
  <c r="M3220" i="4"/>
  <c r="M3218" i="4"/>
  <c r="M3222" i="4"/>
  <c r="M3219" i="4"/>
  <c r="M3215" i="4"/>
  <c r="L3215" i="4"/>
  <c r="L3216" i="4"/>
  <c r="M3216" i="4"/>
  <c r="M3217" i="4"/>
  <c r="L3217" i="4"/>
  <c r="M3205" i="4"/>
  <c r="L3205" i="4"/>
  <c r="M3199" i="4"/>
  <c r="L3199" i="4"/>
  <c r="L3202" i="4"/>
  <c r="M3202" i="4"/>
  <c r="L3200" i="4"/>
  <c r="M3200" i="4"/>
  <c r="L3196" i="4"/>
  <c r="M3196" i="4"/>
  <c r="L3194" i="4"/>
  <c r="M3194" i="4"/>
  <c r="L3195" i="4"/>
  <c r="M3195" i="4"/>
  <c r="L3197" i="4"/>
  <c r="M3197" i="4"/>
  <c r="L3223" i="4"/>
  <c r="M3223" i="4"/>
  <c r="L3204" i="4"/>
  <c r="M3204" i="4"/>
  <c r="L3225" i="4"/>
  <c r="M3225" i="4"/>
  <c r="L3227" i="4"/>
  <c r="M3227" i="4"/>
  <c r="L3198" i="4"/>
  <c r="M3198" i="4"/>
  <c r="L3224" i="4"/>
  <c r="M3224" i="4"/>
  <c r="L3207" i="4"/>
  <c r="M3207" i="4"/>
  <c r="M3213" i="4"/>
  <c r="L3213" i="4"/>
  <c r="M3209" i="4"/>
  <c r="L3209" i="4"/>
  <c r="L3211" i="4"/>
  <c r="M3211" i="4"/>
  <c r="M3206" i="4"/>
  <c r="L3206" i="4"/>
  <c r="L3229" i="4"/>
  <c r="M3229" i="4"/>
  <c r="L3214" i="4"/>
  <c r="M3214" i="4"/>
  <c r="M3203" i="4"/>
  <c r="M3226" i="4"/>
  <c r="M3210" i="4"/>
  <c r="M3208" i="4"/>
  <c r="B3188" i="4" l="1"/>
  <c r="C3188" i="4"/>
  <c r="E3188" i="4"/>
  <c r="I3188" i="4"/>
  <c r="J3188" i="4"/>
  <c r="K3188" i="4" s="1"/>
  <c r="P3188" i="4"/>
  <c r="R3188" i="4"/>
  <c r="B3189" i="4"/>
  <c r="C3189" i="4"/>
  <c r="E3189" i="4"/>
  <c r="I3189" i="4"/>
  <c r="J3189" i="4"/>
  <c r="K3189" i="4" s="1"/>
  <c r="P3189" i="4"/>
  <c r="R3189" i="4"/>
  <c r="B3190" i="4"/>
  <c r="C3190" i="4"/>
  <c r="E3190" i="4"/>
  <c r="I3190" i="4"/>
  <c r="J3190" i="4"/>
  <c r="K3190" i="4" s="1"/>
  <c r="P3190" i="4"/>
  <c r="R3190" i="4"/>
  <c r="B3191" i="4"/>
  <c r="C3191" i="4"/>
  <c r="E3191" i="4"/>
  <c r="I3191" i="4"/>
  <c r="J3191" i="4"/>
  <c r="K3191" i="4" s="1"/>
  <c r="P3191" i="4"/>
  <c r="R3191" i="4"/>
  <c r="B3192" i="4"/>
  <c r="C3192" i="4"/>
  <c r="E3192" i="4"/>
  <c r="I3192" i="4"/>
  <c r="J3192" i="4"/>
  <c r="K3192" i="4" s="1"/>
  <c r="P3192" i="4"/>
  <c r="R3192" i="4"/>
  <c r="B3193" i="4"/>
  <c r="C3193" i="4"/>
  <c r="K3193" i="4"/>
  <c r="P3193" i="4"/>
  <c r="P3186" i="4"/>
  <c r="R3186" i="4"/>
  <c r="P3187" i="4"/>
  <c r="R3187" i="4"/>
  <c r="I3186" i="4"/>
  <c r="J3186" i="4"/>
  <c r="K3186" i="4" s="1"/>
  <c r="I3187" i="4"/>
  <c r="J3187" i="4"/>
  <c r="K3187" i="4" s="1"/>
  <c r="C3186" i="4"/>
  <c r="E3186" i="4"/>
  <c r="C3187" i="4"/>
  <c r="E3187" i="4"/>
  <c r="B3186" i="4"/>
  <c r="B3187" i="4"/>
  <c r="L3191" i="4" l="1"/>
  <c r="M3191" i="4"/>
  <c r="L3188" i="4"/>
  <c r="M3188" i="4"/>
  <c r="M3193" i="4"/>
  <c r="L3193" i="4"/>
  <c r="L3189" i="4"/>
  <c r="M3189" i="4"/>
  <c r="L3190" i="4"/>
  <c r="M3190" i="4"/>
  <c r="L3192" i="4"/>
  <c r="M3192" i="4"/>
  <c r="L3187" i="4"/>
  <c r="M3187" i="4"/>
  <c r="L3186" i="4"/>
  <c r="M3186" i="4"/>
  <c r="B3174" i="4" l="1"/>
  <c r="C3174" i="4"/>
  <c r="E3174" i="4"/>
  <c r="I3174" i="4"/>
  <c r="J3174" i="4"/>
  <c r="K3174" i="4" s="1"/>
  <c r="P3174" i="4"/>
  <c r="R3174" i="4"/>
  <c r="B3175" i="4"/>
  <c r="C3175" i="4"/>
  <c r="E3175" i="4"/>
  <c r="I3175" i="4"/>
  <c r="J3175" i="4"/>
  <c r="K3175" i="4" s="1"/>
  <c r="P3175" i="4"/>
  <c r="R3175" i="4"/>
  <c r="B3176" i="4"/>
  <c r="C3176" i="4"/>
  <c r="E3176" i="4"/>
  <c r="I3176" i="4"/>
  <c r="J3176" i="4"/>
  <c r="K3176" i="4" s="1"/>
  <c r="L3176" i="4" s="1"/>
  <c r="P3176" i="4"/>
  <c r="R3176" i="4"/>
  <c r="B3177" i="4"/>
  <c r="C3177" i="4"/>
  <c r="E3177" i="4"/>
  <c r="I3177" i="4"/>
  <c r="J3177" i="4"/>
  <c r="K3177" i="4" s="1"/>
  <c r="M3177" i="4" s="1"/>
  <c r="P3177" i="4"/>
  <c r="R3177" i="4"/>
  <c r="B3178" i="4"/>
  <c r="C3178" i="4"/>
  <c r="E3178" i="4"/>
  <c r="I3178" i="4"/>
  <c r="J3178" i="4"/>
  <c r="K3178" i="4" s="1"/>
  <c r="P3178" i="4"/>
  <c r="R3178" i="4"/>
  <c r="B3179" i="4"/>
  <c r="C3179" i="4"/>
  <c r="E3179" i="4"/>
  <c r="I3179" i="4"/>
  <c r="J3179" i="4"/>
  <c r="K3179" i="4" s="1"/>
  <c r="P3179" i="4"/>
  <c r="R3179" i="4"/>
  <c r="B3180" i="4"/>
  <c r="C3180" i="4"/>
  <c r="E3180" i="4"/>
  <c r="I3180" i="4"/>
  <c r="J3180" i="4"/>
  <c r="K3180" i="4" s="1"/>
  <c r="P3180" i="4"/>
  <c r="R3180" i="4"/>
  <c r="B3181" i="4"/>
  <c r="C3181" i="4"/>
  <c r="E3181" i="4"/>
  <c r="I3181" i="4"/>
  <c r="J3181" i="4"/>
  <c r="K3181" i="4" s="1"/>
  <c r="P3181" i="4"/>
  <c r="R3181" i="4"/>
  <c r="B3182" i="4"/>
  <c r="C3182" i="4"/>
  <c r="E3182" i="4"/>
  <c r="I3182" i="4"/>
  <c r="J3182" i="4"/>
  <c r="K3182" i="4" s="1"/>
  <c r="P3182" i="4"/>
  <c r="R3182" i="4"/>
  <c r="B3183" i="4"/>
  <c r="C3183" i="4"/>
  <c r="E3183" i="4"/>
  <c r="I3183" i="4"/>
  <c r="J3183" i="4"/>
  <c r="K3183" i="4" s="1"/>
  <c r="P3183" i="4"/>
  <c r="R3183" i="4"/>
  <c r="B3184" i="4"/>
  <c r="C3184" i="4"/>
  <c r="E3184" i="4"/>
  <c r="I3184" i="4"/>
  <c r="J3184" i="4"/>
  <c r="K3184" i="4" s="1"/>
  <c r="L3184" i="4" s="1"/>
  <c r="P3184" i="4"/>
  <c r="R3184" i="4"/>
  <c r="B3185" i="4"/>
  <c r="C3185" i="4"/>
  <c r="E3185" i="4"/>
  <c r="I3185" i="4"/>
  <c r="J3185" i="4"/>
  <c r="K3185" i="4" s="1"/>
  <c r="P3185" i="4"/>
  <c r="R3185" i="4"/>
  <c r="B3148" i="4"/>
  <c r="C3148" i="4"/>
  <c r="E3148" i="4"/>
  <c r="I3148" i="4"/>
  <c r="J3148" i="4"/>
  <c r="K3148" i="4" s="1"/>
  <c r="P3148" i="4"/>
  <c r="R3148" i="4"/>
  <c r="B3149" i="4"/>
  <c r="C3149" i="4"/>
  <c r="E3149" i="4"/>
  <c r="I3149" i="4"/>
  <c r="J3149" i="4"/>
  <c r="K3149" i="4" s="1"/>
  <c r="P3149" i="4"/>
  <c r="R3149" i="4"/>
  <c r="B3150" i="4"/>
  <c r="C3150" i="4"/>
  <c r="E3150" i="4"/>
  <c r="I3150" i="4"/>
  <c r="J3150" i="4"/>
  <c r="K3150" i="4" s="1"/>
  <c r="P3150" i="4"/>
  <c r="R3150" i="4"/>
  <c r="B3151" i="4"/>
  <c r="C3151" i="4"/>
  <c r="E3151" i="4"/>
  <c r="I3151" i="4"/>
  <c r="J3151" i="4"/>
  <c r="K3151" i="4" s="1"/>
  <c r="P3151" i="4"/>
  <c r="R3151" i="4"/>
  <c r="B3152" i="4"/>
  <c r="C3152" i="4"/>
  <c r="E3152" i="4"/>
  <c r="I3152" i="4"/>
  <c r="J3152" i="4"/>
  <c r="K3152" i="4" s="1"/>
  <c r="P3152" i="4"/>
  <c r="R3152" i="4"/>
  <c r="B3153" i="4"/>
  <c r="C3153" i="4"/>
  <c r="E3153" i="4"/>
  <c r="I3153" i="4"/>
  <c r="J3153" i="4"/>
  <c r="K3153" i="4" s="1"/>
  <c r="P3153" i="4"/>
  <c r="R3153" i="4"/>
  <c r="B3154" i="4"/>
  <c r="C3154" i="4"/>
  <c r="E3154" i="4"/>
  <c r="I3154" i="4"/>
  <c r="J3154" i="4"/>
  <c r="K3154" i="4" s="1"/>
  <c r="P3154" i="4"/>
  <c r="R3154" i="4"/>
  <c r="B3155" i="4"/>
  <c r="C3155" i="4"/>
  <c r="E3155" i="4"/>
  <c r="I3155" i="4"/>
  <c r="J3155" i="4"/>
  <c r="K3155" i="4" s="1"/>
  <c r="L3155" i="4" s="1"/>
  <c r="P3155" i="4"/>
  <c r="R3155" i="4"/>
  <c r="B3156" i="4"/>
  <c r="C3156" i="4"/>
  <c r="E3156" i="4"/>
  <c r="I3156" i="4"/>
  <c r="J3156" i="4"/>
  <c r="K3156" i="4" s="1"/>
  <c r="P3156" i="4"/>
  <c r="R3156" i="4"/>
  <c r="B3157" i="4"/>
  <c r="C3157" i="4"/>
  <c r="E3157" i="4"/>
  <c r="I3157" i="4"/>
  <c r="J3157" i="4"/>
  <c r="K3157" i="4" s="1"/>
  <c r="P3157" i="4"/>
  <c r="R3157" i="4"/>
  <c r="B3158" i="4"/>
  <c r="C3158" i="4"/>
  <c r="E3158" i="4"/>
  <c r="I3158" i="4"/>
  <c r="J3158" i="4"/>
  <c r="K3158" i="4" s="1"/>
  <c r="P3158" i="4"/>
  <c r="R3158" i="4"/>
  <c r="B3159" i="4"/>
  <c r="C3159" i="4"/>
  <c r="E3159" i="4"/>
  <c r="I3159" i="4"/>
  <c r="J3159" i="4"/>
  <c r="K3159" i="4" s="1"/>
  <c r="P3159" i="4"/>
  <c r="R3159" i="4"/>
  <c r="B3160" i="4"/>
  <c r="C3160" i="4"/>
  <c r="E3160" i="4"/>
  <c r="I3160" i="4"/>
  <c r="J3160" i="4"/>
  <c r="K3160" i="4" s="1"/>
  <c r="P3160" i="4"/>
  <c r="R3160" i="4"/>
  <c r="B3161" i="4"/>
  <c r="C3161" i="4"/>
  <c r="E3161" i="4"/>
  <c r="I3161" i="4"/>
  <c r="J3161" i="4"/>
  <c r="K3161" i="4" s="1"/>
  <c r="P3161" i="4"/>
  <c r="R3161" i="4"/>
  <c r="B3162" i="4"/>
  <c r="C3162" i="4"/>
  <c r="E3162" i="4"/>
  <c r="I3162" i="4"/>
  <c r="J3162" i="4"/>
  <c r="K3162" i="4" s="1"/>
  <c r="L3162" i="4" s="1"/>
  <c r="P3162" i="4"/>
  <c r="R3162" i="4"/>
  <c r="B3163" i="4"/>
  <c r="C3163" i="4"/>
  <c r="E3163" i="4"/>
  <c r="I3163" i="4"/>
  <c r="J3163" i="4"/>
  <c r="K3163" i="4" s="1"/>
  <c r="P3163" i="4"/>
  <c r="R3163" i="4"/>
  <c r="B3164" i="4"/>
  <c r="C3164" i="4"/>
  <c r="E3164" i="4"/>
  <c r="I3164" i="4"/>
  <c r="J3164" i="4"/>
  <c r="K3164" i="4" s="1"/>
  <c r="L3164" i="4" s="1"/>
  <c r="P3164" i="4"/>
  <c r="R3164" i="4"/>
  <c r="B3165" i="4"/>
  <c r="C3165" i="4"/>
  <c r="E3165" i="4"/>
  <c r="I3165" i="4"/>
  <c r="J3165" i="4"/>
  <c r="K3165" i="4" s="1"/>
  <c r="P3165" i="4"/>
  <c r="R3165" i="4"/>
  <c r="B3166" i="4"/>
  <c r="C3166" i="4"/>
  <c r="E3166" i="4"/>
  <c r="I3166" i="4"/>
  <c r="J3166" i="4"/>
  <c r="K3166" i="4" s="1"/>
  <c r="L3166" i="4" s="1"/>
  <c r="P3166" i="4"/>
  <c r="R3166" i="4"/>
  <c r="B3167" i="4"/>
  <c r="C3167" i="4"/>
  <c r="E3167" i="4"/>
  <c r="I3167" i="4"/>
  <c r="J3167" i="4"/>
  <c r="K3167" i="4" s="1"/>
  <c r="P3167" i="4"/>
  <c r="R3167" i="4"/>
  <c r="B3168" i="4"/>
  <c r="C3168" i="4"/>
  <c r="E3168" i="4"/>
  <c r="I3168" i="4"/>
  <c r="J3168" i="4"/>
  <c r="K3168" i="4" s="1"/>
  <c r="P3168" i="4"/>
  <c r="R3168" i="4"/>
  <c r="B3169" i="4"/>
  <c r="C3169" i="4"/>
  <c r="E3169" i="4"/>
  <c r="I3169" i="4"/>
  <c r="J3169" i="4"/>
  <c r="K3169" i="4" s="1"/>
  <c r="P3169" i="4"/>
  <c r="R3169" i="4"/>
  <c r="B3170" i="4"/>
  <c r="C3170" i="4"/>
  <c r="E3170" i="4"/>
  <c r="I3170" i="4"/>
  <c r="J3170" i="4"/>
  <c r="K3170" i="4" s="1"/>
  <c r="P3170" i="4"/>
  <c r="R3170" i="4"/>
  <c r="B3171" i="4"/>
  <c r="C3171" i="4"/>
  <c r="E3171" i="4"/>
  <c r="I3171" i="4"/>
  <c r="J3171" i="4"/>
  <c r="K3171" i="4" s="1"/>
  <c r="L3171" i="4" s="1"/>
  <c r="P3171" i="4"/>
  <c r="R3171" i="4"/>
  <c r="B3172" i="4"/>
  <c r="C3172" i="4"/>
  <c r="E3172" i="4"/>
  <c r="I3172" i="4"/>
  <c r="J3172" i="4"/>
  <c r="K3172" i="4" s="1"/>
  <c r="P3172" i="4"/>
  <c r="R3172" i="4"/>
  <c r="O2899" i="4"/>
  <c r="O2900" i="4"/>
  <c r="O2901" i="4"/>
  <c r="O2902" i="4"/>
  <c r="O2903" i="4"/>
  <c r="O2904" i="4"/>
  <c r="B3094" i="4"/>
  <c r="C3094" i="4"/>
  <c r="E3094" i="4"/>
  <c r="I3094" i="4"/>
  <c r="J3094" i="4"/>
  <c r="K3094" i="4" s="1"/>
  <c r="P3094" i="4"/>
  <c r="R3094" i="4"/>
  <c r="B3095" i="4"/>
  <c r="C3095" i="4"/>
  <c r="E3095" i="4"/>
  <c r="I3095" i="4"/>
  <c r="J3095" i="4"/>
  <c r="K3095" i="4" s="1"/>
  <c r="P3095" i="4"/>
  <c r="R3095" i="4"/>
  <c r="B3096" i="4"/>
  <c r="C3096" i="4"/>
  <c r="E3096" i="4"/>
  <c r="I3096" i="4"/>
  <c r="J3096" i="4"/>
  <c r="K3096" i="4" s="1"/>
  <c r="P3096" i="4"/>
  <c r="R3096" i="4"/>
  <c r="B3097" i="4"/>
  <c r="C3097" i="4"/>
  <c r="E3097" i="4"/>
  <c r="I3097" i="4"/>
  <c r="J3097" i="4"/>
  <c r="K3097" i="4" s="1"/>
  <c r="P3097" i="4"/>
  <c r="R3097" i="4"/>
  <c r="B3098" i="4"/>
  <c r="C3098" i="4"/>
  <c r="E3098" i="4"/>
  <c r="I3098" i="4"/>
  <c r="J3098" i="4"/>
  <c r="K3098" i="4" s="1"/>
  <c r="P3098" i="4"/>
  <c r="R3098" i="4"/>
  <c r="B3099" i="4"/>
  <c r="C3099" i="4"/>
  <c r="E3099" i="4"/>
  <c r="I3099" i="4"/>
  <c r="J3099" i="4"/>
  <c r="K3099" i="4" s="1"/>
  <c r="P3099" i="4"/>
  <c r="R3099" i="4"/>
  <c r="B3100" i="4"/>
  <c r="C3100" i="4"/>
  <c r="E3100" i="4"/>
  <c r="I3100" i="4"/>
  <c r="J3100" i="4"/>
  <c r="K3100" i="4" s="1"/>
  <c r="P3100" i="4"/>
  <c r="R3100" i="4"/>
  <c r="B3101" i="4"/>
  <c r="C3101" i="4"/>
  <c r="E3101" i="4"/>
  <c r="I3101" i="4"/>
  <c r="J3101" i="4"/>
  <c r="K3101" i="4" s="1"/>
  <c r="P3101" i="4"/>
  <c r="R3101" i="4"/>
  <c r="B3102" i="4"/>
  <c r="C3102" i="4"/>
  <c r="E3102" i="4"/>
  <c r="I3102" i="4"/>
  <c r="J3102" i="4"/>
  <c r="K3102" i="4" s="1"/>
  <c r="L3102" i="4" s="1"/>
  <c r="P3102" i="4"/>
  <c r="R3102" i="4"/>
  <c r="B3103" i="4"/>
  <c r="C3103" i="4"/>
  <c r="E3103" i="4"/>
  <c r="I3103" i="4"/>
  <c r="J3103" i="4"/>
  <c r="K3103" i="4" s="1"/>
  <c r="P3103" i="4"/>
  <c r="R3103" i="4"/>
  <c r="B3104" i="4"/>
  <c r="C3104" i="4"/>
  <c r="E3104" i="4"/>
  <c r="I3104" i="4"/>
  <c r="J3104" i="4"/>
  <c r="K3104" i="4" s="1"/>
  <c r="P3104" i="4"/>
  <c r="R3104" i="4"/>
  <c r="B3105" i="4"/>
  <c r="C3105" i="4"/>
  <c r="E3105" i="4"/>
  <c r="I3105" i="4"/>
  <c r="J3105" i="4"/>
  <c r="K3105" i="4" s="1"/>
  <c r="P3105" i="4"/>
  <c r="R3105" i="4"/>
  <c r="B3106" i="4"/>
  <c r="C3106" i="4"/>
  <c r="E3106" i="4"/>
  <c r="I3106" i="4"/>
  <c r="J3106" i="4"/>
  <c r="K3106" i="4" s="1"/>
  <c r="P3106" i="4"/>
  <c r="R3106" i="4"/>
  <c r="B3107" i="4"/>
  <c r="C3107" i="4"/>
  <c r="E3107" i="4"/>
  <c r="I3107" i="4"/>
  <c r="J3107" i="4"/>
  <c r="K3107" i="4" s="1"/>
  <c r="L3107" i="4" s="1"/>
  <c r="P3107" i="4"/>
  <c r="R3107" i="4"/>
  <c r="B3108" i="4"/>
  <c r="C3108" i="4"/>
  <c r="E3108" i="4"/>
  <c r="I3108" i="4"/>
  <c r="J3108" i="4"/>
  <c r="K3108" i="4" s="1"/>
  <c r="P3108" i="4"/>
  <c r="R3108" i="4"/>
  <c r="B3109" i="4"/>
  <c r="C3109" i="4"/>
  <c r="E3109" i="4"/>
  <c r="I3109" i="4"/>
  <c r="J3109" i="4"/>
  <c r="K3109" i="4" s="1"/>
  <c r="M3109" i="4" s="1"/>
  <c r="P3109" i="4"/>
  <c r="R3109" i="4"/>
  <c r="B3110" i="4"/>
  <c r="C3110" i="4"/>
  <c r="E3110" i="4"/>
  <c r="I3110" i="4"/>
  <c r="J3110" i="4"/>
  <c r="K3110" i="4" s="1"/>
  <c r="P3110" i="4"/>
  <c r="R3110" i="4"/>
  <c r="B3111" i="4"/>
  <c r="C3111" i="4"/>
  <c r="E3111" i="4"/>
  <c r="I3111" i="4"/>
  <c r="J3111" i="4"/>
  <c r="K3111" i="4" s="1"/>
  <c r="P3111" i="4"/>
  <c r="R3111" i="4"/>
  <c r="B3112" i="4"/>
  <c r="C3112" i="4"/>
  <c r="E3112" i="4"/>
  <c r="I3112" i="4"/>
  <c r="J3112" i="4"/>
  <c r="K3112" i="4" s="1"/>
  <c r="P3112" i="4"/>
  <c r="R3112" i="4"/>
  <c r="B3113" i="4"/>
  <c r="C3113" i="4"/>
  <c r="E3113" i="4"/>
  <c r="I3113" i="4"/>
  <c r="J3113" i="4"/>
  <c r="K3113" i="4" s="1"/>
  <c r="L3113" i="4" s="1"/>
  <c r="P3113" i="4"/>
  <c r="R3113" i="4"/>
  <c r="B3114" i="4"/>
  <c r="C3114" i="4"/>
  <c r="E3114" i="4"/>
  <c r="I3114" i="4"/>
  <c r="J3114" i="4"/>
  <c r="K3114" i="4" s="1"/>
  <c r="L3114" i="4" s="1"/>
  <c r="P3114" i="4"/>
  <c r="R3114" i="4"/>
  <c r="B3115" i="4"/>
  <c r="C3115" i="4"/>
  <c r="E3115" i="4"/>
  <c r="I3115" i="4"/>
  <c r="J3115" i="4"/>
  <c r="K3115" i="4" s="1"/>
  <c r="M3115" i="4" s="1"/>
  <c r="P3115" i="4"/>
  <c r="R3115" i="4"/>
  <c r="B3116" i="4"/>
  <c r="C3116" i="4"/>
  <c r="E3116" i="4"/>
  <c r="I3116" i="4"/>
  <c r="J3116" i="4"/>
  <c r="K3116" i="4" s="1"/>
  <c r="P3116" i="4"/>
  <c r="R3116" i="4"/>
  <c r="B3117" i="4"/>
  <c r="C3117" i="4"/>
  <c r="E3117" i="4"/>
  <c r="I3117" i="4"/>
  <c r="J3117" i="4"/>
  <c r="K3117" i="4" s="1"/>
  <c r="P3117" i="4"/>
  <c r="R3117" i="4"/>
  <c r="B3118" i="4"/>
  <c r="C3118" i="4"/>
  <c r="E3118" i="4"/>
  <c r="I3118" i="4"/>
  <c r="J3118" i="4"/>
  <c r="K3118" i="4" s="1"/>
  <c r="L3118" i="4" s="1"/>
  <c r="P3118" i="4"/>
  <c r="R3118" i="4"/>
  <c r="B3119" i="4"/>
  <c r="C3119" i="4"/>
  <c r="E3119" i="4"/>
  <c r="I3119" i="4"/>
  <c r="J3119" i="4"/>
  <c r="K3119" i="4" s="1"/>
  <c r="L3119" i="4" s="1"/>
  <c r="P3119" i="4"/>
  <c r="R3119" i="4"/>
  <c r="B3120" i="4"/>
  <c r="C3120" i="4"/>
  <c r="E3120" i="4"/>
  <c r="I3120" i="4"/>
  <c r="J3120" i="4"/>
  <c r="K3120" i="4" s="1"/>
  <c r="P3120" i="4"/>
  <c r="R3120" i="4"/>
  <c r="B3121" i="4"/>
  <c r="C3121" i="4"/>
  <c r="E3121" i="4"/>
  <c r="I3121" i="4"/>
  <c r="J3121" i="4"/>
  <c r="K3121" i="4" s="1"/>
  <c r="P3121" i="4"/>
  <c r="R3121" i="4"/>
  <c r="B3122" i="4"/>
  <c r="C3122" i="4"/>
  <c r="E3122" i="4"/>
  <c r="I3122" i="4"/>
  <c r="J3122" i="4"/>
  <c r="K3122" i="4" s="1"/>
  <c r="P3122" i="4"/>
  <c r="R3122" i="4"/>
  <c r="B3123" i="4"/>
  <c r="C3123" i="4"/>
  <c r="E3123" i="4"/>
  <c r="I3123" i="4"/>
  <c r="J3123" i="4"/>
  <c r="K3123" i="4" s="1"/>
  <c r="L3123" i="4" s="1"/>
  <c r="P3123" i="4"/>
  <c r="R3123" i="4"/>
  <c r="B3124" i="4"/>
  <c r="C3124" i="4"/>
  <c r="E3124" i="4"/>
  <c r="I3124" i="4"/>
  <c r="J3124" i="4"/>
  <c r="K3124" i="4" s="1"/>
  <c r="P3124" i="4"/>
  <c r="R3124" i="4"/>
  <c r="B3125" i="4"/>
  <c r="C3125" i="4"/>
  <c r="E3125" i="4"/>
  <c r="I3125" i="4"/>
  <c r="J3125" i="4"/>
  <c r="K3125" i="4" s="1"/>
  <c r="L3125" i="4" s="1"/>
  <c r="P3125" i="4"/>
  <c r="R3125" i="4"/>
  <c r="B3126" i="4"/>
  <c r="C3126" i="4"/>
  <c r="E3126" i="4"/>
  <c r="I3126" i="4"/>
  <c r="J3126" i="4"/>
  <c r="K3126" i="4" s="1"/>
  <c r="P3126" i="4"/>
  <c r="R3126" i="4"/>
  <c r="B3127" i="4"/>
  <c r="C3127" i="4"/>
  <c r="E3127" i="4"/>
  <c r="I3127" i="4"/>
  <c r="J3127" i="4"/>
  <c r="K3127" i="4" s="1"/>
  <c r="P3127" i="4"/>
  <c r="R3127" i="4"/>
  <c r="B3128" i="4"/>
  <c r="C3128" i="4"/>
  <c r="E3128" i="4"/>
  <c r="I3128" i="4"/>
  <c r="J3128" i="4"/>
  <c r="K3128" i="4" s="1"/>
  <c r="L3128" i="4" s="1"/>
  <c r="P3128" i="4"/>
  <c r="R3128" i="4"/>
  <c r="B3129" i="4"/>
  <c r="C3129" i="4"/>
  <c r="E3129" i="4"/>
  <c r="I3129" i="4"/>
  <c r="J3129" i="4"/>
  <c r="K3129" i="4" s="1"/>
  <c r="L3129" i="4" s="1"/>
  <c r="P3129" i="4"/>
  <c r="R3129" i="4"/>
  <c r="B3130" i="4"/>
  <c r="C3130" i="4"/>
  <c r="E3130" i="4"/>
  <c r="I3130" i="4"/>
  <c r="J3130" i="4"/>
  <c r="K3130" i="4" s="1"/>
  <c r="L3130" i="4" s="1"/>
  <c r="P3130" i="4"/>
  <c r="R3130" i="4"/>
  <c r="B3131" i="4"/>
  <c r="C3131" i="4"/>
  <c r="E3131" i="4"/>
  <c r="I3131" i="4"/>
  <c r="J3131" i="4"/>
  <c r="K3131" i="4" s="1"/>
  <c r="M3131" i="4" s="1"/>
  <c r="P3131" i="4"/>
  <c r="R3131" i="4"/>
  <c r="B3132" i="4"/>
  <c r="C3132" i="4"/>
  <c r="E3132" i="4"/>
  <c r="I3132" i="4"/>
  <c r="J3132" i="4"/>
  <c r="K3132" i="4" s="1"/>
  <c r="P3132" i="4"/>
  <c r="R3132" i="4"/>
  <c r="B3133" i="4"/>
  <c r="C3133" i="4"/>
  <c r="E3133" i="4"/>
  <c r="I3133" i="4"/>
  <c r="J3133" i="4"/>
  <c r="K3133" i="4" s="1"/>
  <c r="P3133" i="4"/>
  <c r="R3133" i="4"/>
  <c r="B3134" i="4"/>
  <c r="C3134" i="4"/>
  <c r="E3134" i="4"/>
  <c r="I3134" i="4"/>
  <c r="J3134" i="4"/>
  <c r="K3134" i="4" s="1"/>
  <c r="L3134" i="4" s="1"/>
  <c r="P3134" i="4"/>
  <c r="R3134" i="4"/>
  <c r="B3135" i="4"/>
  <c r="C3135" i="4"/>
  <c r="E3135" i="4"/>
  <c r="I3135" i="4"/>
  <c r="J3135" i="4"/>
  <c r="K3135" i="4" s="1"/>
  <c r="P3135" i="4"/>
  <c r="R3135" i="4"/>
  <c r="B3136" i="4"/>
  <c r="C3136" i="4"/>
  <c r="E3136" i="4"/>
  <c r="I3136" i="4"/>
  <c r="J3136" i="4"/>
  <c r="K3136" i="4" s="1"/>
  <c r="P3136" i="4"/>
  <c r="R3136" i="4"/>
  <c r="B3137" i="4"/>
  <c r="C3137" i="4"/>
  <c r="E3137" i="4"/>
  <c r="I3137" i="4"/>
  <c r="J3137" i="4"/>
  <c r="K3137" i="4" s="1"/>
  <c r="P3137" i="4"/>
  <c r="R3137" i="4"/>
  <c r="B3138" i="4"/>
  <c r="C3138" i="4"/>
  <c r="E3138" i="4"/>
  <c r="I3138" i="4"/>
  <c r="J3138" i="4"/>
  <c r="K3138" i="4" s="1"/>
  <c r="P3138" i="4"/>
  <c r="R3138" i="4"/>
  <c r="B3139" i="4"/>
  <c r="C3139" i="4"/>
  <c r="E3139" i="4"/>
  <c r="I3139" i="4"/>
  <c r="J3139" i="4"/>
  <c r="K3139" i="4" s="1"/>
  <c r="P3139" i="4"/>
  <c r="R3139" i="4"/>
  <c r="B3140" i="4"/>
  <c r="C3140" i="4"/>
  <c r="E3140" i="4"/>
  <c r="I3140" i="4"/>
  <c r="J3140" i="4"/>
  <c r="K3140" i="4" s="1"/>
  <c r="P3140" i="4"/>
  <c r="R3140" i="4"/>
  <c r="B3141" i="4"/>
  <c r="C3141" i="4"/>
  <c r="E3141" i="4"/>
  <c r="I3141" i="4"/>
  <c r="J3141" i="4"/>
  <c r="K3141" i="4" s="1"/>
  <c r="M3141" i="4" s="1"/>
  <c r="P3141" i="4"/>
  <c r="R3141" i="4"/>
  <c r="B3142" i="4"/>
  <c r="C3142" i="4"/>
  <c r="E3142" i="4"/>
  <c r="I3142" i="4"/>
  <c r="J3142" i="4"/>
  <c r="K3142" i="4" s="1"/>
  <c r="P3142" i="4"/>
  <c r="R3142" i="4"/>
  <c r="B3143" i="4"/>
  <c r="C3143" i="4"/>
  <c r="E3143" i="4"/>
  <c r="I3143" i="4"/>
  <c r="J3143" i="4"/>
  <c r="K3143" i="4" s="1"/>
  <c r="P3143" i="4"/>
  <c r="R3143" i="4"/>
  <c r="B3144" i="4"/>
  <c r="C3144" i="4"/>
  <c r="E3144" i="4"/>
  <c r="I3144" i="4"/>
  <c r="J3144" i="4"/>
  <c r="K3144" i="4" s="1"/>
  <c r="L3144" i="4" s="1"/>
  <c r="P3144" i="4"/>
  <c r="R3144" i="4"/>
  <c r="B3145" i="4"/>
  <c r="C3145" i="4"/>
  <c r="E3145" i="4"/>
  <c r="I3145" i="4"/>
  <c r="J3145" i="4"/>
  <c r="K3145" i="4" s="1"/>
  <c r="P3145" i="4"/>
  <c r="R3145" i="4"/>
  <c r="B3146" i="4"/>
  <c r="C3146" i="4"/>
  <c r="E3146" i="4"/>
  <c r="I3146" i="4"/>
  <c r="J3146" i="4"/>
  <c r="K3146" i="4" s="1"/>
  <c r="P3146" i="4"/>
  <c r="R3146" i="4"/>
  <c r="B3147" i="4"/>
  <c r="C3147" i="4"/>
  <c r="E3147" i="4"/>
  <c r="I3147" i="4"/>
  <c r="J3147" i="4"/>
  <c r="K3147" i="4" s="1"/>
  <c r="M3147" i="4" s="1"/>
  <c r="P3147" i="4"/>
  <c r="R3147" i="4"/>
  <c r="B3173" i="4"/>
  <c r="C3173" i="4"/>
  <c r="E3173" i="4"/>
  <c r="I3173" i="4"/>
  <c r="J3173" i="4"/>
  <c r="K3173" i="4" s="1"/>
  <c r="P3173" i="4"/>
  <c r="R3173" i="4"/>
  <c r="R3093" i="4"/>
  <c r="P3093" i="4"/>
  <c r="I3093" i="4"/>
  <c r="J3093" i="4"/>
  <c r="K3093" i="4" s="1"/>
  <c r="E3093" i="4"/>
  <c r="B3093" i="4"/>
  <c r="C3093" i="4"/>
  <c r="C3092" i="4"/>
  <c r="L3182" i="4" l="1"/>
  <c r="M3182" i="4"/>
  <c r="M3184" i="4"/>
  <c r="M3185" i="4"/>
  <c r="L3185" i="4"/>
  <c r="M3181" i="4"/>
  <c r="L3181" i="4"/>
  <c r="L3177" i="4"/>
  <c r="L3174" i="4"/>
  <c r="M3174" i="4"/>
  <c r="L3175" i="4"/>
  <c r="M3175" i="4"/>
  <c r="L3180" i="4"/>
  <c r="M3180" i="4"/>
  <c r="L3183" i="4"/>
  <c r="M3183" i="4"/>
  <c r="L3178" i="4"/>
  <c r="M3178" i="4"/>
  <c r="M3179" i="4"/>
  <c r="L3179" i="4"/>
  <c r="M3176" i="4"/>
  <c r="M3159" i="4"/>
  <c r="L3159" i="4"/>
  <c r="M3160" i="4"/>
  <c r="L3160" i="4"/>
  <c r="L3151" i="4"/>
  <c r="M3151" i="4"/>
  <c r="L3157" i="4"/>
  <c r="M3157" i="4"/>
  <c r="L3156" i="4"/>
  <c r="M3156" i="4"/>
  <c r="M3172" i="4"/>
  <c r="L3172" i="4"/>
  <c r="L3163" i="4"/>
  <c r="M3163" i="4"/>
  <c r="L3148" i="4"/>
  <c r="M3148" i="4"/>
  <c r="L3150" i="4"/>
  <c r="M3150" i="4"/>
  <c r="L3145" i="4"/>
  <c r="M3145" i="4"/>
  <c r="L3169" i="4"/>
  <c r="M3169" i="4"/>
  <c r="M3166" i="4"/>
  <c r="L3141" i="4"/>
  <c r="L3149" i="4"/>
  <c r="M3149" i="4"/>
  <c r="M3170" i="4"/>
  <c r="L3170" i="4"/>
  <c r="L3158" i="4"/>
  <c r="M3158" i="4"/>
  <c r="L3168" i="4"/>
  <c r="M3168" i="4"/>
  <c r="L3152" i="4"/>
  <c r="M3152" i="4"/>
  <c r="L3167" i="4"/>
  <c r="M3167" i="4"/>
  <c r="L3154" i="4"/>
  <c r="M3154" i="4"/>
  <c r="L3165" i="4"/>
  <c r="M3165" i="4"/>
  <c r="L3161" i="4"/>
  <c r="M3161" i="4"/>
  <c r="M3153" i="4"/>
  <c r="L3153" i="4"/>
  <c r="M3164" i="4"/>
  <c r="M3171" i="4"/>
  <c r="M3155" i="4"/>
  <c r="M3162" i="4"/>
  <c r="L3135" i="4"/>
  <c r="M3135" i="4"/>
  <c r="L3139" i="4"/>
  <c r="M3139" i="4"/>
  <c r="L3115" i="4"/>
  <c r="M3113" i="4"/>
  <c r="M3119" i="4"/>
  <c r="M3125" i="4"/>
  <c r="L3131" i="4"/>
  <c r="M3129" i="4"/>
  <c r="M3123" i="4"/>
  <c r="L3109" i="4"/>
  <c r="M3107" i="4"/>
  <c r="L3103" i="4"/>
  <c r="M3103" i="4"/>
  <c r="L3146" i="4"/>
  <c r="M3146" i="4"/>
  <c r="L3104" i="4"/>
  <c r="M3104" i="4"/>
  <c r="L3147" i="4"/>
  <c r="M3144" i="4"/>
  <c r="M3128" i="4"/>
  <c r="M3099" i="4"/>
  <c r="L3099" i="4"/>
  <c r="L3098" i="4"/>
  <c r="M3098" i="4"/>
  <c r="L3097" i="4"/>
  <c r="M3097" i="4"/>
  <c r="M3105" i="4"/>
  <c r="L3105" i="4"/>
  <c r="L3117" i="4"/>
  <c r="M3117" i="4"/>
  <c r="L3111" i="4"/>
  <c r="M3111" i="4"/>
  <c r="L3101" i="4"/>
  <c r="M3101" i="4"/>
  <c r="L3108" i="4"/>
  <c r="M3108" i="4"/>
  <c r="L3106" i="4"/>
  <c r="M3106" i="4"/>
  <c r="M3112" i="4"/>
  <c r="L3112" i="4"/>
  <c r="L3094" i="4"/>
  <c r="M3094" i="4"/>
  <c r="L3100" i="4"/>
  <c r="M3100" i="4"/>
  <c r="L3096" i="4"/>
  <c r="M3096" i="4"/>
  <c r="L3133" i="4"/>
  <c r="M3133" i="4"/>
  <c r="L3095" i="4"/>
  <c r="M3095" i="4"/>
  <c r="M3121" i="4"/>
  <c r="L3121" i="4"/>
  <c r="L3127" i="4"/>
  <c r="M3127" i="4"/>
  <c r="M3173" i="4"/>
  <c r="L3173" i="4"/>
  <c r="L3126" i="4"/>
  <c r="M3126" i="4"/>
  <c r="L3138" i="4"/>
  <c r="M3138" i="4"/>
  <c r="L3143" i="4"/>
  <c r="M3143" i="4"/>
  <c r="M3132" i="4"/>
  <c r="L3132" i="4"/>
  <c r="L3120" i="4"/>
  <c r="M3120" i="4"/>
  <c r="L3124" i="4"/>
  <c r="M3124" i="4"/>
  <c r="M3137" i="4"/>
  <c r="L3137" i="4"/>
  <c r="L3110" i="4"/>
  <c r="M3110" i="4"/>
  <c r="L3116" i="4"/>
  <c r="M3116" i="4"/>
  <c r="L3136" i="4"/>
  <c r="M3136" i="4"/>
  <c r="L3142" i="4"/>
  <c r="M3142" i="4"/>
  <c r="L3140" i="4"/>
  <c r="M3140" i="4"/>
  <c r="M3122" i="4"/>
  <c r="L3122" i="4"/>
  <c r="M3134" i="4"/>
  <c r="M3118" i="4"/>
  <c r="M3102" i="4"/>
  <c r="M3130" i="4"/>
  <c r="M3114" i="4"/>
  <c r="L3093" i="4"/>
  <c r="M3093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K3043" i="4" s="1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770" i="4" l="1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559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559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l="1"/>
  <c r="P1263" i="4"/>
  <c r="P1400" i="4"/>
  <c r="O3563" i="4"/>
  <c r="O3566" i="4" s="1"/>
  <c r="P2238" i="4"/>
  <c r="Q3149" i="4" l="1"/>
  <c r="P3559" i="4"/>
  <c r="Q3559" i="4"/>
  <c r="Q3150" i="4" l="1"/>
  <c r="Q3151" i="4" l="1"/>
  <c r="Q3152" i="4" l="1"/>
  <c r="Q3153" i="4" l="1"/>
  <c r="Q3154" i="4" l="1"/>
  <c r="Q3155" i="4" l="1"/>
  <c r="Q3156" i="4" l="1"/>
  <c r="Q3157" i="4" l="1"/>
  <c r="Q3158" i="4" l="1"/>
  <c r="Q3159" i="4" l="1"/>
  <c r="Q3160" i="4" l="1"/>
  <c r="Q3161" i="4" l="1"/>
  <c r="Q3162" i="4" l="1"/>
  <c r="Q3163" i="4" l="1"/>
  <c r="Q3164" i="4" l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Q3439" i="4" s="1"/>
  <c r="Q3440" i="4" s="1"/>
  <c r="Q3441" i="4" s="1"/>
  <c r="Q3442" i="4" s="1"/>
  <c r="Q3443" i="4" s="1"/>
  <c r="Q3444" i="4" s="1"/>
  <c r="Q3445" i="4" s="1"/>
  <c r="Q3446" i="4" s="1"/>
  <c r="Q3447" i="4" s="1"/>
  <c r="Q3448" i="4" s="1"/>
  <c r="Q3449" i="4" s="1"/>
  <c r="Q3450" i="4" s="1"/>
  <c r="Q3451" i="4" s="1"/>
  <c r="Q3452" i="4" s="1"/>
  <c r="Q3453" i="4" s="1"/>
  <c r="Q3454" i="4" s="1"/>
  <c r="Q3455" i="4" s="1"/>
  <c r="Q3456" i="4" s="1"/>
  <c r="Q3457" i="4" s="1"/>
  <c r="Q3458" i="4" s="1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Q3481" i="4" s="1"/>
  <c r="Q3482" i="4" s="1"/>
  <c r="Q3483" i="4" s="1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Q3506" i="4" s="1"/>
  <c r="Q3507" i="4" s="1"/>
  <c r="Q3508" i="4" s="1"/>
  <c r="Q3509" i="4" s="1"/>
  <c r="Q3510" i="4" s="1"/>
  <c r="Q3511" i="4" s="1"/>
  <c r="Q3512" i="4" s="1"/>
  <c r="Q3513" i="4" s="1"/>
  <c r="Q3514" i="4" s="1"/>
  <c r="Q3515" i="4" s="1"/>
  <c r="Q3516" i="4" s="1"/>
  <c r="Q3517" i="4" s="1"/>
  <c r="Q3518" i="4" s="1"/>
  <c r="Q3519" i="4" s="1"/>
  <c r="Q3520" i="4" s="1"/>
  <c r="Q3521" i="4" s="1"/>
  <c r="Q3522" i="4" s="1"/>
  <c r="Q3523" i="4" s="1"/>
  <c r="Q3524" i="4" s="1"/>
  <c r="Q3525" i="4" s="1"/>
  <c r="Q3526" i="4" s="1"/>
  <c r="Q3527" i="4" s="1"/>
  <c r="Q3528" i="4" s="1"/>
  <c r="Q3529" i="4" s="1"/>
  <c r="Q3530" i="4" s="1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Q3553" i="4" s="1"/>
  <c r="Q3554" i="4" s="1"/>
  <c r="Q3555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<sst xmlns="http://schemas.openxmlformats.org/spreadsheetml/2006/main" count="19554" uniqueCount="3077">
  <si>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</si>
  <si>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</si>
  <si>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</si>
  <si>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</si>
  <si>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</si>
  <si>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</si>
  <si>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</si>
  <si>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</si>
  <si>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</si>
  <si>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</si>
  <si>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</si>
  <si>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</si>
  <si>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</si>
  <si>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</si>
  <si>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</si>
  <si>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</si>
  <si>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</si>
  <si>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</si>
  <si>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</si>
  <si>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</si>
  <si>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</si>
  <si>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</si>
  <si>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</si>
  <si>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</si>
  <si>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</si>
  <si>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</si>
  <si>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</si>
  <si>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</si>
  <si>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</si>
  <si>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</si>
  <si>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</si>
  <si>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</si>
  <si>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</si>
  <si>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</si>
  <si>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</si>
  <si>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</si>
  <si>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</si>
  <si>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</si>
  <si>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</si>
  <si>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</si>
  <si>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</si>
  <si>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</si>
  <si>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</si>
  <si>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</si>
  <si>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</si>
  <si>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</si>
  <si>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</si>
  <si>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</si>
  <si>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</si>
  <si>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</si>
  <si>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</si>
  <si>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</si>
  <si>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</si>
  <si>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</si>
  <si>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</si>
  <si>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</si>
  <si>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</si>
  <si>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</si>
  <si>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</si>
  <si>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</si>
  <si>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</si>
  <si>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</si>
  <si>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</si>
  <si>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</si>
  <si>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</si>
  <si>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</si>
  <si>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</si>
  <si>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</si>
  <si>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</si>
  <si>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</si>
  <si>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</si>
  <si>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</si>
  <si>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</si>
  <si>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</si>
  <si>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</si>
  <si>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</si>
  <si>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</si>
  <si>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</si>
  <si>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</si>
  <si>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</si>
  <si>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</si>
  <si>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</si>
  <si>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</si>
  <si>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</si>
  <si>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</si>
  <si>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</si>
  <si>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</si>
  <si>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</si>
  <si>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</si>
  <si>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</si>
  <si>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</si>
  <si>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</si>
  <si>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</si>
  <si>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</si>
  <si>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</si>
  <si>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</si>
  <si>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</si>
  <si>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</si>
  <si>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</si>
  <si>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</si>
  <si>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</si>
  <si>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</si>
  <si>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</si>
  <si>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</si>
  <si>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</si>
  <si>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</si>
  <si>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</si>
  <si>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</si>
  <si>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</si>
  <si>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</si>
  <si>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</si>
  <si>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</si>
  <si>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</si>
  <si>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</si>
  <si>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</si>
  <si>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</si>
  <si>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</si>
  <si>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</si>
  <si>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</si>
  <si>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</si>
  <si>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</si>
  <si>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</si>
  <si>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</si>
  <si>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</si>
  <si>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</si>
  <si>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</si>
  <si>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</si>
  <si>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</si>
  <si>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</si>
  <si>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</si>
  <si>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</si>
  <si>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</si>
  <si>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</si>
  <si>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</si>
  <si>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</si>
  <si>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</si>
  <si>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</si>
  <si>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</si>
  <si>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</si>
  <si>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</si>
  <si>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</si>
  <si>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</si>
  <si>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</si>
  <si>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</si>
  <si>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</si>
  <si>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</si>
  <si>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</si>
  <si>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</si>
  <si>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</si>
  <si>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</si>
  <si>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</si>
  <si>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</si>
  <si>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</si>
  <si>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</si>
  <si>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</si>
  <si>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</si>
  <si>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</si>
  <si>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</si>
  <si>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</si>
  <si>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</si>
  <si>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</si>
  <si>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</si>
  <si>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</si>
  <si>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</si>
  <si>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</si>
  <si>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</si>
  <si>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</si>
  <si>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</si>
  <si>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</si>
  <si>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</si>
  <si>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</si>
  <si>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</si>
  <si>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</si>
  <si>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</si>
  <si>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</si>
  <si>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</si>
  <si>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</si>
  <si>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</si>
  <si>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</si>
  <si>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</si>
  <si>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</si>
  <si>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</si>
  <si>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</si>
  <si>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</si>
  <si>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</si>
  <si>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</si>
  <si>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</si>
  <si>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</si>
  <si>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</si>
  <si>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</si>
  <si>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</si>
  <si>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</si>
  <si>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</si>
  <si>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</si>
  <si>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</si>
  <si>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</si>
  <si>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</si>
  <si>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</si>
  <si>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</si>
  <si>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</si>
  <si>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</si>
  <si>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</si>
  <si>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</si>
  <si>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</si>
  <si>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</si>
  <si>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</si>
  <si>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</si>
  <si>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</si>
  <si>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</si>
  <si>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</si>
  <si>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</si>
  <si>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</si>
  <si>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</si>
  <si>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</si>
  <si>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</si>
  <si>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</si>
  <si>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</si>
  <si>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</si>
  <si>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</si>
  <si>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</si>
  <si>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</si>
  <si>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</si>
  <si>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</si>
  <si>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</si>
  <si>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</si>
  <si>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</si>
  <si>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</si>
  <si>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</si>
  <si>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</si>
  <si>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</si>
  <si>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</si>
  <si>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</si>
  <si>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</si>
  <si>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</si>
  <si>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</si>
  <si>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</si>
  <si>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</si>
  <si>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</si>
  <si>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</si>
  <si>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</si>
  <si>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</si>
  <si>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</si>
  <si>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</si>
  <si>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</si>
  <si>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</si>
  <si>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</si>
  <si>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</si>
  <si>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</si>
  <si>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</si>
  <si>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</si>
  <si>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</si>
  <si>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</si>
  <si>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</si>
  <si>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</si>
  <si>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</si>
  <si>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</si>
  <si>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</si>
  <si>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</si>
  <si>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</si>
  <si>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</si>
  <si>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</si>
  <si>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</si>
  <si>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</si>
  <si>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</si>
  <si>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</si>
  <si>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</si>
  <si>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</si>
  <si>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</si>
  <si>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</si>
  <si>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</si>
  <si>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</si>
  <si>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</si>
  <si>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</si>
  <si>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</si>
  <si>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</si>
  <si>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</si>
  <si>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</si>
  <si>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</si>
  <si>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</si>
  <si>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</si>
  <si>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</si>
  <si>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</si>
  <si>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</si>
  <si>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</si>
  <si>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</si>
  <si>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</si>
  <si>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</si>
  <si>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</si>
  <si>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</si>
  <si>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</si>
  <si>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</si>
  <si>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</si>
  <si>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</si>
  <si>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</si>
  <si>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</si>
  <si>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</si>
  <si>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</si>
  <si>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</si>
  <si>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</si>
  <si>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</si>
  <si>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</si>
  <si>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</si>
  <si>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</si>
  <si>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</si>
  <si>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</si>
  <si>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</si>
  <si>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</si>
  <si>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</si>
  <si>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</si>
  <si>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</si>
  <si>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</si>
  <si>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</si>
  <si>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</si>
  <si>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</si>
  <si>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</si>
  <si>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</si>
  <si>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</si>
  <si>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</si>
  <si>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</si>
  <si>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</si>
  <si>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</si>
  <si>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</si>
  <si>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</si>
  <si>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</si>
  <si>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</si>
  <si>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</si>
  <si>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</si>
  <si>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</si>
  <si>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</si>
  <si>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</si>
  <si>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</si>
  <si>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</si>
  <si>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</si>
  <si>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</si>
  <si>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</si>
  <si>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</si>
  <si>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</si>
  <si>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</si>
  <si>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</si>
  <si>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</si>
  <si>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</si>
  <si>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</si>
  <si>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</si>
  <si>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</si>
  <si>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</si>
  <si>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</si>
  <si>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</si>
  <si>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</si>
  <si>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</si>
  <si>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</si>
  <si>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</si>
  <si>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</si>
  <si>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</si>
  <si>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</si>
  <si>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</si>
  <si>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</si>
  <si>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</si>
  <si>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</si>
  <si>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</si>
  <si>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</si>
  <si>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</si>
  <si>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</si>
  <si>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</si>
  <si>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</si>
  <si>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</si>
  <si>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</si>
  <si>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</si>
  <si>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</si>
  <si>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</si>
  <si>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</si>
  <si>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</si>
  <si>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</si>
  <si>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</si>
  <si>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</si>
  <si>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</si>
  <si>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</si>
  <si>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</si>
  <si>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</si>
  <si>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</si>
  <si>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</si>
  <si>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</si>
  <si>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</si>
  <si>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</si>
  <si>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</si>
  <si>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</si>
  <si>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</si>
  <si>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</si>
  <si>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</si>
  <si>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</si>
  <si>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</si>
  <si>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</si>
  <si>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</si>
  <si>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</si>
  <si>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</si>
  <si>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</si>
  <si>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</si>
  <si>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</si>
  <si>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</si>
  <si>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</si>
  <si>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</si>
  <si>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</si>
  <si>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</si>
  <si>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</si>
  <si>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</si>
  <si>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</si>
  <si>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</si>
  <si>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</si>
  <si>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</si>
  <si>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</si>
  <si>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</si>
  <si>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</si>
  <si>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</si>
  <si>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</si>
  <si>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</si>
  <si>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</si>
  <si>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</si>
  <si>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</si>
  <si>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</si>
  <si>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</si>
  <si>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</si>
  <si>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</si>
  <si>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</si>
  <si>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</si>
  <si>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</si>
  <si>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</si>
  <si>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</si>
  <si>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</si>
  <si>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</si>
  <si>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</si>
  <si>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</si>
  <si>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</si>
  <si>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</si>
  <si>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</si>
  <si>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</si>
  <si>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</si>
  <si>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</si>
  <si>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</si>
  <si>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</si>
  <si>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</si>
  <si>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</si>
  <si>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</si>
  <si>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</si>
  <si>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</si>
  <si>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</si>
  <si>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</si>
  <si>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</si>
  <si>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</si>
  <si>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</si>
  <si>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</si>
  <si>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</si>
  <si>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</si>
  <si>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</si>
  <si>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</si>
  <si>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</si>
  <si>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</si>
  <si>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</si>
  <si>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</si>
  <si>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</si>
  <si>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</si>
  <si>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</si>
  <si>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</si>
  <si>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</si>
  <si>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</si>
  <si>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</si>
  <si>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</si>
  <si>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</si>
  <si>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</si>
  <si>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</si>
  <si>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</si>
  <si>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</si>
  <si>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</si>
  <si>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</si>
  <si>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</si>
  <si>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</si>
  <si>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</si>
  <si>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</si>
  <si>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</si>
  <si>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</si>
  <si>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</si>
  <si>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</si>
  <si>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</si>
  <si>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</si>
  <si>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</si>
  <si>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</si>
  <si>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</si>
  <si>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</si>
  <si>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</si>
  <si>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</si>
  <si>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</si>
  <si>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</si>
  <si>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</si>
  <si>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</si>
  <si>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</si>
  <si>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</si>
  <si>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</si>
  <si>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</si>
  <si>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</si>
  <si>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</si>
  <si>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</si>
  <si>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</si>
  <si>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</si>
  <si>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</si>
  <si>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</si>
  <si>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</si>
  <si>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</si>
  <si>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</si>
  <si>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</si>
  <si>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</si>
  <si>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</si>
  <si>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</si>
  <si>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</si>
  <si>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</si>
  <si>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</si>
  <si>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</si>
  <si>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</si>
  <si>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</si>
  <si>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</si>
  <si>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</si>
  <si>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</si>
  <si>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</si>
  <si>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</si>
  <si>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</si>
  <si>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</si>
  <si>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</si>
  <si>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</si>
  <si>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</si>
  <si>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</si>
  <si>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</si>
  <si>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</si>
  <si>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</si>
  <si>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</si>
  <si>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</si>
  <si>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</si>
  <si>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</si>
  <si>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</si>
  <si>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</si>
  <si>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</si>
  <si>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</si>
  <si>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</si>
  <si>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</si>
  <si>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</si>
  <si>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</si>
  <si>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</si>
  <si>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</si>
  <si>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</si>
  <si>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</si>
  <si>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</si>
  <si>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</si>
  <si>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</si>
  <si>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</si>
  <si>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</si>
  <si>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</si>
  <si>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</si>
  <si>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</si>
  <si>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</si>
  <si>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</si>
  <si>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</si>
  <si>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</si>
  <si>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</si>
  <si>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</si>
  <si>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</si>
  <si>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</si>
  <si>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</si>
  <si>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</si>
  <si>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</si>
  <si>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</si>
  <si>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</si>
  <si>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</si>
  <si>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</si>
  <si>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</si>
  <si>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</si>
  <si>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</si>
  <si>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</si>
  <si>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</si>
  <si>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</si>
  <si>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</si>
  <si>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</si>
  <si>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</si>
  <si>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</si>
  <si>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</si>
  <si>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</si>
  <si>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</si>
  <si>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</si>
  <si>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</si>
  <si>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</si>
  <si>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</si>
  <si>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</si>
  <si>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</si>
  <si>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</si>
  <si>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</si>
  <si>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</si>
  <si>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</si>
  <si>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</si>
  <si>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</si>
  <si>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</si>
  <si>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</si>
  <si>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</si>
  <si>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</si>
  <si>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</si>
  <si>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</si>
  <si>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</si>
  <si>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</si>
  <si>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</si>
  <si>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</si>
  <si>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</si>
  <si>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</si>
  <si>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</si>
  <si>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</si>
  <si>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</si>
  <si>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</si>
  <si>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</si>
  <si>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</si>
  <si>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</si>
  <si>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</si>
  <si>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</si>
  <si>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</si>
  <si>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</si>
  <si>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</si>
  <si>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</si>
  <si>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</si>
  <si>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</si>
  <si>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</si>
  <si>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</si>
  <si>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</si>
  <si>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</si>
  <si>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</si>
  <si>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</si>
  <si>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</si>
  <si>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</si>
  <si>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</si>
  <si>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</si>
  <si>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</si>
  <si>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</si>
  <si>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</si>
  <si>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</si>
  <si>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</si>
  <si>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</si>
  <si>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</si>
  <si>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</si>
  <si>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</si>
  <si>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</si>
  <si>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</si>
  <si>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</si>
  <si>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</si>
  <si>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</si>
  <si>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</si>
  <si>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</si>
  <si>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</si>
  <si>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</si>
  <si>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</si>
  <si>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</si>
  <si>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</si>
  <si>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</si>
  <si>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</si>
  <si>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</si>
  <si>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</si>
  <si>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</si>
  <si>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</si>
  <si>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</si>
  <si>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</si>
  <si>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</si>
  <si>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</si>
  <si>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</si>
  <si>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</si>
  <si>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</si>
  <si>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</si>
  <si>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</si>
  <si>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</si>
  <si>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</si>
  <si>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</si>
  <si>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</si>
  <si>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</si>
  <si>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</si>
  <si>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</si>
  <si>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</si>
  <si>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</si>
  <si>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</si>
  <si>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</si>
  <si>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</si>
  <si>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</si>
  <si>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</si>
  <si>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</si>
  <si>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</si>
  <si>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</si>
  <si>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</si>
  <si>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</si>
  <si>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</si>
  <si>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</si>
  <si>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</si>
  <si>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</si>
  <si>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</si>
  <si>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</si>
  <si>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</si>
  <si>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</si>
  <si>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</si>
  <si>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</si>
  <si>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</si>
  <si>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</si>
  <si>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</si>
  <si>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</si>
  <si>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</si>
  <si>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</si>
  <si>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</si>
  <si>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</si>
  <si>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</si>
  <si>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</si>
  <si>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</si>
  <si>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</si>
  <si>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</si>
  <si>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</si>
  <si>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</si>
  <si>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</si>
  <si>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</si>
  <si>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</si>
  <si>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</si>
  <si>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</si>
  <si>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</si>
  <si>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</si>
  <si>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</si>
  <si>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</si>
  <si>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</si>
  <si>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</si>
  <si>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</si>
  <si>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</si>
  <si>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</si>
  <si>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</si>
  <si>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</si>
  <si>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</si>
  <si>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</si>
  <si>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</si>
  <si>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</si>
  <si>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</si>
  <si>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</si>
  <si>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</si>
  <si>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</si>
  <si>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</si>
  <si>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</si>
  <si>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</si>
  <si>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</si>
  <si>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</si>
  <si>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</si>
  <si>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</si>
  <si>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</si>
  <si>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</si>
  <si>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</si>
  <si>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</si>
  <si>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</si>
  <si>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</si>
  <si>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</si>
  <si>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</si>
  <si>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</si>
  <si>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</si>
  <si>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</si>
  <si>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</si>
  <si>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</si>
  <si>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</si>
  <si>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</si>
  <si>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</si>
  <si>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</si>
  <si>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</si>
  <si>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</si>
  <si>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</si>
  <si>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</si>
  <si>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</si>
  <si>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</si>
  <si>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</si>
  <si>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</si>
  <si>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</si>
  <si>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</si>
  <si>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</si>
  <si>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</si>
  <si>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</si>
  <si>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</si>
  <si>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</si>
  <si>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</si>
  <si>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</si>
  <si>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</si>
  <si>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</si>
  <si>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</si>
  <si>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</si>
  <si>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</si>
  <si>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</si>
  <si>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</si>
  <si>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</si>
  <si>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</si>
  <si>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</si>
  <si>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</si>
  <si>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</si>
  <si>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</si>
  <si>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</si>
  <si>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</si>
  <si>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</si>
  <si>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</si>
  <si>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</si>
  <si>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</si>
  <si>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</si>
  <si>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</si>
  <si>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</si>
  <si>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</si>
  <si>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</si>
  <si>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</si>
  <si>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</si>
  <si>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</si>
  <si>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</si>
  <si>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</si>
  <si>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</si>
  <si>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</si>
  <si>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</si>
  <si>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</si>
  <si>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</si>
  <si>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</si>
  <si>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</si>
  <si>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</si>
  <si>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</si>
  <si>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</si>
  <si>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</si>
  <si>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</si>
  <si>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</si>
  <si>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</si>
  <si>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</si>
  <si>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</si>
  <si>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</si>
  <si>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</si>
  <si>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</si>
  <si>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</si>
  <si>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</si>
  <si>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</si>
  <si>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</si>
  <si>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</si>
  <si>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</si>
  <si>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</si>
  <si>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</si>
  <si>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</si>
  <si>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</si>
  <si>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</si>
  <si>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</si>
  <si>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</si>
  <si>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</si>
  <si>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</si>
  <si>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</si>
  <si>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</si>
  <si>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</si>
  <si>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</si>
  <si>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</si>
  <si>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</si>
  <si>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</si>
  <si>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</si>
  <si>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</si>
  <si>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</si>
  <si>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</si>
  <si>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</si>
  <si>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</si>
  <si>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</si>
  <si>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</si>
  <si>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</si>
  <si>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</si>
  <si>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</si>
  <si>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</si>
  <si>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</si>
  <si>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</si>
  <si>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</si>
  <si>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</si>
  <si>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</si>
  <si>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</si>
  <si>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</si>
  <si>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</si>
  <si>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</si>
  <si>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</si>
  <si>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</si>
  <si>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</si>
  <si>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</si>
  <si>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</si>
  <si>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</si>
  <si>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</si>
  <si>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</si>
  <si>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</si>
  <si>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</si>
  <si>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</si>
  <si>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</si>
  <si>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</si>
  <si>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</si>
  <si>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</si>
  <si>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</si>
  <si>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</si>
  <si>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</si>
  <si>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</si>
  <si>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</si>
  <si>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</si>
  <si>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</si>
  <si>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</si>
  <si>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</si>
  <si>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</si>
  <si>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</si>
  <si>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</si>
  <si>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</si>
  <si>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</si>
  <si>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</si>
  <si>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</si>
  <si>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</si>
  <si>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</si>
  <si>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</si>
  <si>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</si>
  <si>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</si>
  <si>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</si>
  <si>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</si>
  <si>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</si>
  <si>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</si>
  <si>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</si>
  <si>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</si>
  <si>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</si>
  <si>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</si>
  <si>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</si>
  <si>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</si>
  <si>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</si>
  <si>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</si>
  <si>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</si>
  <si>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</si>
  <si>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</si>
  <si>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</si>
  <si>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</si>
  <si>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</si>
  <si>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</si>
  <si>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</si>
  <si>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</si>
  <si>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</si>
  <si>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</si>
  <si>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</si>
  <si>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</si>
  <si>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</si>
  <si>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</si>
  <si>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</si>
  <si>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</si>
  <si>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</si>
  <si>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</si>
  <si>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</si>
  <si>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</si>
  <si>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</si>
  <si>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</si>
  <si>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</si>
  <si>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</si>
  <si>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</si>
  <si>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</si>
  <si>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</si>
  <si>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</si>
  <si>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</si>
  <si>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</si>
  <si>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</si>
  <si>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</si>
  <si>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</si>
  <si>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</si>
  <si>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</si>
  <si>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</si>
  <si>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</si>
  <si>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</si>
  <si>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</si>
  <si>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</si>
  <si>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</si>
  <si>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</si>
  <si>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</si>
  <si>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</si>
  <si>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</si>
  <si>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</si>
  <si>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</si>
  <si>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</si>
  <si>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</si>
  <si>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</si>
  <si>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</si>
  <si>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</si>
  <si>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</si>
  <si>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</si>
  <si>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</si>
  <si>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</si>
  <si>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</si>
  <si>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</si>
  <si>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</si>
  <si>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</si>
  <si>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</si>
  <si>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</si>
  <si>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</si>
  <si>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</si>
  <si>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</si>
  <si>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</si>
  <si>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</si>
  <si>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</si>
  <si>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</si>
  <si>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</si>
  <si>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</si>
  <si>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</si>
  <si>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</si>
  <si>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</si>
  <si>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</si>
  <si>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</si>
  <si>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</si>
  <si>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</si>
  <si>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</si>
  <si>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</si>
  <si>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</si>
  <si>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</si>
  <si>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</si>
  <si>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</si>
  <si>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</si>
  <si>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</si>
  <si>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</si>
  <si>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</si>
  <si>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</si>
  <si>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</si>
  <si>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</si>
  <si>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</si>
  <si>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</si>
  <si>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</si>
  <si>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</si>
  <si>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</si>
  <si>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</si>
  <si>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</si>
  <si>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</si>
  <si>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</si>
  <si>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</si>
  <si>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</si>
  <si>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</si>
  <si>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</si>
  <si>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</si>
  <si>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</si>
  <si>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</si>
  <si>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</si>
  <si>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</si>
  <si>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</si>
  <si>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</si>
  <si>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</si>
  <si>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</si>
  <si>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</si>
  <si>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</si>
  <si>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</si>
  <si>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</si>
  <si>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</si>
  <si>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</si>
  <si>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</si>
  <si>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</si>
  <si>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</si>
  <si>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</si>
  <si>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</si>
  <si>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</si>
  <si>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</si>
  <si>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</si>
  <si>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</si>
  <si>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</si>
  <si>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</si>
  <si>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</si>
  <si>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</si>
  <si>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</si>
  <si>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</si>
  <si>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</si>
  <si>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</si>
  <si>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</si>
  <si>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</si>
  <si>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</si>
  <si>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</si>
  <si>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</si>
  <si>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</si>
  <si>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</si>
  <si>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</si>
  <si>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</si>
  <si>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</si>
  <si>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</si>
  <si>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</si>
  <si>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</si>
  <si>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</si>
  <si>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</si>
  <si>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</si>
  <si>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</si>
  <si>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</si>
  <si>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</si>
  <si>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</si>
  <si>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</si>
  <si>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</si>
  <si>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</si>
  <si>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</si>
  <si>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</si>
  <si>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</si>
  <si>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</si>
  <si>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</si>
  <si>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</si>
  <si>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</si>
  <si>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</si>
  <si>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</si>
  <si>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</si>
  <si>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</si>
  <si>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</si>
  <si>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</si>
  <si>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</si>
  <si>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</si>
  <si>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</si>
  <si>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</si>
  <si>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</si>
  <si>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</si>
  <si>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</si>
  <si>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</si>
  <si>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</si>
  <si>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</si>
  <si>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</si>
  <si>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</si>
  <si>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</si>
  <si>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</si>
  <si>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</si>
  <si>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</si>
  <si>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</si>
  <si>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</si>
  <si>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</si>
  <si>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</si>
  <si>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</si>
  <si>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</si>
  <si>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</si>
  <si>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</si>
  <si>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</si>
  <si>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</si>
  <si>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</si>
  <si>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</si>
  <si>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</si>
  <si>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</si>
  <si>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</si>
  <si>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</si>
  <si>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</si>
  <si>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</si>
  <si>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</si>
  <si>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</si>
  <si>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</si>
  <si>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</si>
  <si>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</si>
  <si>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</si>
  <si>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</si>
  <si>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</si>
  <si>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</si>
  <si>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</si>
  <si>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</si>
  <si>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</si>
  <si>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</si>
  <si>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</si>
  <si>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</si>
  <si>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</si>
  <si>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</si>
  <si>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</si>
  <si>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</si>
  <si>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</si>
  <si>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</si>
  <si>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</si>
  <si>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</si>
  <si>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</si>
  <si>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</si>
  <si>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</si>
  <si>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</si>
  <si>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</si>
  <si>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</si>
  <si>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</si>
  <si>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</si>
  <si>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</si>
  <si>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</si>
  <si>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</si>
  <si>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</si>
  <si>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</si>
  <si>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</si>
  <si>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</si>
  <si>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</si>
  <si>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</si>
  <si>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</si>
  <si>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</si>
  <si>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</si>
  <si>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</si>
  <si>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</si>
  <si>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</si>
  <si>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</si>
  <si>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</si>
  <si>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</si>
  <si>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</si>
  <si>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</si>
  <si>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</si>
  <si>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</si>
  <si>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</si>
  <si>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</si>
  <si>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</si>
  <si>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</si>
  <si>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</si>
  <si>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</si>
  <si>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</si>
  <si>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</si>
  <si>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</si>
  <si>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</si>
  <si>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</si>
  <si>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</si>
  <si>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</si>
  <si>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</si>
  <si>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</si>
  <si>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</si>
  <si>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</si>
  <si>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</si>
  <si>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</si>
  <si>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</si>
  <si>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</si>
  <si>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</si>
  <si>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</si>
  <si>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</si>
  <si>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</si>
  <si>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</si>
  <si>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</si>
  <si>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</si>
  <si>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</si>
  <si>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</si>
  <si>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</si>
  <si>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</si>
  <si>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</si>
  <si>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</si>
  <si>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</si>
  <si>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</si>
  <si>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</si>
  <si>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</si>
  <si>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</si>
  <si>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</si>
  <si>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</si>
  <si>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</si>
  <si>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</si>
  <si>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</si>
  <si>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</si>
  <si>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</si>
  <si>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</si>
  <si>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</si>
  <si>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</si>
  <si>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</si>
  <si>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</si>
  <si>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</si>
  <si>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</si>
  <si>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</si>
  <si>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</si>
  <si>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</si>
  <si>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</si>
  <si>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</si>
  <si>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</si>
  <si>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</si>
  <si>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</si>
  <si>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</si>
  <si>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</si>
  <si>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</si>
  <si>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</si>
  <si>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</si>
  <si>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</si>
  <si>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</si>
  <si>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</si>
  <si>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</si>
  <si>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</si>
  <si>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</si>
  <si>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</si>
  <si>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</si>
  <si>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</si>
  <si>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</si>
  <si>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</si>
  <si>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</si>
  <si>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</si>
  <si>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</si>
  <si>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</si>
  <si>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</si>
  <si>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</si>
  <si>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</si>
  <si>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</si>
  <si>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</si>
  <si>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</si>
  <si>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</si>
  <si>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</si>
  <si>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</si>
  <si>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</si>
  <si>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</si>
  <si>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</si>
  <si>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</si>
  <si>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</si>
  <si>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</si>
  <si>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</si>
  <si>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</si>
  <si>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</si>
  <si>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</si>
  <si>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</si>
  <si>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</si>
  <si>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</si>
  <si>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</si>
  <si>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</si>
  <si>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</si>
  <si>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</si>
  <si>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</si>
  <si>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</si>
  <si>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</si>
  <si>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</si>
  <si>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</si>
  <si>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</si>
  <si>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</si>
  <si>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</si>
  <si>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</si>
  <si>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</si>
  <si>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</si>
  <si>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</si>
  <si>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</si>
  <si>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</si>
  <si>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</si>
  <si>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</si>
  <si>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</si>
  <si>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</si>
  <si>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</si>
  <si>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</si>
  <si>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</si>
  <si>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</si>
  <si>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</si>
  <si>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</si>
  <si>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</si>
  <si>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</si>
  <si>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</si>
  <si>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</si>
  <si>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</si>
  <si>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</si>
  <si>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</si>
  <si>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</si>
  <si>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</si>
  <si>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</si>
  <si>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</si>
  <si>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</si>
  <si>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</si>
  <si>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</si>
  <si>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</si>
  <si>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</si>
  <si>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</si>
  <si>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</si>
  <si>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</si>
  <si>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</si>
  <si>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</si>
  <si>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</si>
  <si>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</si>
  <si>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</si>
  <si>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</si>
  <si>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</si>
  <si>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</si>
  <si>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</si>
  <si>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</si>
  <si>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</si>
  <si>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</si>
  <si>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</si>
  <si>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</si>
  <si>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</si>
  <si>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</si>
  <si>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</si>
  <si>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</si>
  <si>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</si>
  <si>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</si>
  <si>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</si>
  <si>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</si>
  <si>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</si>
  <si>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</si>
  <si>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</si>
  <si>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</si>
  <si>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</si>
  <si>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</si>
  <si>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</si>
  <si>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</si>
  <si>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</si>
  <si>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</si>
  <si>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</si>
  <si>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</si>
  <si>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</si>
  <si>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</si>
  <si>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</si>
  <si>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</si>
  <si>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</si>
  <si>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</si>
  <si>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</si>
  <si>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</si>
  <si>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</si>
  <si>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</si>
  <si>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</si>
  <si>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</si>
  <si>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</si>
  <si>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</si>
  <si>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</si>
  <si>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</si>
  <si>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</si>
  <si>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</si>
  <si>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</si>
  <si>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</si>
  <si>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</si>
  <si>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</si>
  <si>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</si>
  <si>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</si>
  <si>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</si>
  <si>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</si>
  <si>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</si>
  <si>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</si>
  <si>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</si>
  <si>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</si>
  <si>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</si>
  <si>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</si>
  <si>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</si>
  <si>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</si>
  <si>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</si>
  <si>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</si>
  <si>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</si>
  <si>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</si>
  <si>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</si>
  <si>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</si>
  <si>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</si>
  <si>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</si>
  <si>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</si>
  <si>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</si>
  <si>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</si>
  <si>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</si>
  <si>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</si>
  <si>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</si>
  <si>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</si>
  <si>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</si>
  <si>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</si>
  <si>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</si>
  <si>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</si>
  <si>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</si>
  <si>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</si>
  <si>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</si>
  <si>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</si>
  <si>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</si>
  <si>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</si>
  <si>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</si>
  <si>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</si>
  <si>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</si>
  <si>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</si>
  <si>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</si>
  <si>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</si>
  <si>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</si>
  <si>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</si>
  <si>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</si>
  <si>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</si>
  <si>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</si>
  <si>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</si>
  <si>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</si>
  <si>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</si>
  <si>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</si>
  <si>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</si>
  <si>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</si>
  <si>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</si>
  <si>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</si>
  <si>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</si>
  <si>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</si>
  <si>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</si>
  <si>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</si>
  <si>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</si>
  <si>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</si>
  <si>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</si>
  <si>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</si>
  <si>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</si>
  <si>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</si>
  <si>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</si>
  <si>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</si>
  <si>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</si>
  <si>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</si>
  <si>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</si>
  <si>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</si>
  <si>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</si>
  <si>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</si>
  <si>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</si>
  <si>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</si>
  <si>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</si>
  <si>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</si>
  <si>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</si>
  <si>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</si>
  <si>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</si>
  <si>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</si>
  <si>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</si>
  <si>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</si>
  <si>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</si>
  <si>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</si>
  <si>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</si>
  <si>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</si>
  <si>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</si>
  <si>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</si>
  <si>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</si>
  <si>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</si>
  <si>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</si>
  <si>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</si>
  <si>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</si>
  <si>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</si>
  <si>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</si>
  <si>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</si>
  <si>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</si>
  <si>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</si>
  <si>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</si>
  <si>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</si>
  <si>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</si>
  <si>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</si>
  <si>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</si>
  <si>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</si>
  <si>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</si>
  <si>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</si>
  <si>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</si>
  <si>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</si>
  <si>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</si>
  <si>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</si>
  <si>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</si>
  <si>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</si>
  <si>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</si>
  <si>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</si>
  <si>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</si>
  <si>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</si>
  <si>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</si>
  <si>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</si>
  <si>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</si>
  <si>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</si>
  <si>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</si>
  <si>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</si>
  <si>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</si>
  <si>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</si>
  <si>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</si>
  <si>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</si>
  <si>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</si>
  <si>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</si>
  <si>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</si>
  <si>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</si>
  <si>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</si>
  <si>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</si>
  <si>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</si>
  <si>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</si>
  <si>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</si>
  <si>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</si>
  <si>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</si>
  <si>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</si>
  <si>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</si>
  <si>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</si>
  <si>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</si>
  <si>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</si>
  <si>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</si>
  <si>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</si>
  <si>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</si>
  <si>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</si>
  <si>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</si>
  <si>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</si>
  <si>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</si>
  <si>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</si>
  <si>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</si>
  <si>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</si>
  <si>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</si>
  <si>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</si>
  <si>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</si>
  <si>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</si>
  <si>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</si>
  <si>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</si>
  <si>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</si>
  <si>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</si>
  <si>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</si>
  <si>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</si>
  <si>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</si>
  <si>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</si>
  <si>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</si>
  <si>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</si>
  <si>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</si>
  <si>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</si>
  <si>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</si>
  <si>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</si>
  <si>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</si>
  <si>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</si>
  <si>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</si>
  <si>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</si>
  <si>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</si>
  <si>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</si>
  <si>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</si>
  <si>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</si>
  <si>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</si>
  <si>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</si>
  <si>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</si>
  <si>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</si>
  <si>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</si>
  <si>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</si>
  <si>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</si>
  <si>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</si>
  <si>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</si>
  <si>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</si>
  <si>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</si>
  <si>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</si>
  <si>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</si>
  <si>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</si>
  <si>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</si>
  <si>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</si>
  <si>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</si>
  <si>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</si>
  <si>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</si>
  <si>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</si>
  <si>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</si>
  <si>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</si>
  <si>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</si>
  <si>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</si>
  <si>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</si>
  <si>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</si>
  <si>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</si>
  <si>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</si>
  <si>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</si>
  <si>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</si>
  <si>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</si>
  <si>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</si>
  <si>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</si>
  <si>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</si>
  <si>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</si>
  <si>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</si>
  <si>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</si>
  <si>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</si>
  <si>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</si>
  <si>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</si>
  <si>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</si>
  <si>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</si>
  <si>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</si>
  <si>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</si>
  <si>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</si>
  <si>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</si>
  <si>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</si>
  <si>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</si>
  <si>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</si>
  <si>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</si>
  <si>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</si>
  <si>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</si>
  <si>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</si>
  <si>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</si>
  <si>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</si>
  <si>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</si>
  <si>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</si>
  <si>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</si>
  <si>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</si>
  <si>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</si>
  <si>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</si>
  <si>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</si>
  <si>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</si>
  <si>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</si>
  <si>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</si>
  <si>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</si>
  <si>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</si>
  <si>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</si>
  <si>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</si>
  <si>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</si>
  <si>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</si>
  <si>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</si>
  <si>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</si>
  <si>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</si>
  <si>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</si>
  <si>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</si>
  <si>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</si>
  <si>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</si>
  <si>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</si>
  <si>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</si>
  <si>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</si>
  <si>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</si>
  <si>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</si>
  <si>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</si>
  <si>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</si>
  <si>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</si>
  <si>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</si>
  <si>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</si>
  <si>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</si>
  <si>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</si>
  <si>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</si>
  <si>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</si>
  <si>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</si>
  <si>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</si>
  <si>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</si>
  <si>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</si>
  <si>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</si>
  <si>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</si>
  <si>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</si>
  <si>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</si>
  <si>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</si>
  <si>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</si>
  <si>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</si>
  <si>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</si>
  <si>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</si>
  <si>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</si>
  <si>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</si>
  <si>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</si>
  <si>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</si>
  <si>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</si>
  <si>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</si>
  <si>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</si>
  <si>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</si>
  <si>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</si>
  <si>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</si>
  <si>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</si>
  <si>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</si>
  <si>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</si>
  <si>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</si>
  <si>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</si>
  <si>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</si>
  <si>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</si>
  <si>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</si>
  <si>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</si>
  <si>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</si>
  <si>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</si>
  <si>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</si>
  <si>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</si>
  <si>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</si>
  <si>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</si>
  <si>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</si>
  <si>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</si>
  <si>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</si>
  <si>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</si>
  <si>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</si>
  <si>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</si>
  <si>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</si>
  <si>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</si>
  <si>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</si>
  <si>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</si>
  <si>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</si>
  <si>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</si>
  <si>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</si>
  <si>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</si>
  <si>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</si>
  <si>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</si>
  <si>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</si>
  <si>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</si>
  <si>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</si>
  <si>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</si>
  <si>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</si>
  <si>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</si>
  <si>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</si>
  <si>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</si>
  <si>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</si>
  <si>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</si>
  <si>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</si>
  <si>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</si>
  <si>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</si>
  <si>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</si>
  <si>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</si>
  <si>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</si>
  <si>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</si>
  <si>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</si>
  <si>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</si>
  <si>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</si>
  <si>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</si>
  <si>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</si>
  <si>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</si>
  <si>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</si>
  <si>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</si>
  <si>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</si>
  <si>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</si>
  <si>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</si>
  <si>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</si>
  <si>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</si>
  <si>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</si>
  <si>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</si>
  <si>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</si>
  <si>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</si>
  <si>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</si>
  <si>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</si>
  <si>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</si>
  <si>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</si>
  <si>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</si>
  <si>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</si>
  <si>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</si>
  <si>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</si>
  <si>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</si>
  <si>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</si>
  <si>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</si>
  <si>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</si>
  <si>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</si>
  <si>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</si>
  <si>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</si>
  <si>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</si>
  <si>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</si>
  <si>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</si>
  <si>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</si>
  <si>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</si>
  <si>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</si>
  <si>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</si>
  <si>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</si>
  <si>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</si>
  <si>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</si>
  <si>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</si>
  <si>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</si>
  <si>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</si>
  <si>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</si>
  <si>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</si>
  <si>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</si>
  <si>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</si>
  <si>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</si>
  <si>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</si>
  <si>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</si>
  <si>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</si>
  <si>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</si>
  <si>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</si>
  <si>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</si>
  <si>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</si>
  <si>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</si>
  <si>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</si>
  <si>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</si>
  <si>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</si>
  <si>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</si>
  <si>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</si>
  <si>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</si>
  <si>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</si>
  <si>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</si>
  <si>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</si>
  <si>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</si>
  <si>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</si>
  <si>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</si>
  <si>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</si>
  <si>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</si>
  <si>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</si>
  <si>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</si>
  <si>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</si>
  <si>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</si>
  <si>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</si>
  <si>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</si>
  <si>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</si>
  <si>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</si>
  <si>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</si>
  <si>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</si>
  <si>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</si>
  <si>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</si>
  <si>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</si>
  <si>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</si>
  <si>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</si>
  <si>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</si>
  <si>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</si>
  <si>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</si>
  <si>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</si>
  <si>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</si>
  <si>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</si>
  <si>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</si>
  <si>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</si>
  <si>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</si>
  <si>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</si>
  <si>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</si>
  <si>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</si>
  <si>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</si>
  <si>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</si>
  <si>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</si>
  <si>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</si>
  <si>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</si>
  <si>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</si>
  <si>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</si>
  <si>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</si>
  <si>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</si>
  <si>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</si>
  <si>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</si>
  <si>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</si>
  <si>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</si>
  <si>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</si>
  <si>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</si>
  <si>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</si>
  <si>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</si>
  <si>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</si>
  <si>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</si>
  <si>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</si>
  <si>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</si>
  <si>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</si>
  <si>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</si>
  <si>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</si>
  <si>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</si>
  <si>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</si>
  <si>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</si>
  <si>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</si>
  <si>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</si>
  <si>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</si>
  <si>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</si>
  <si>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</si>
  <si>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</si>
  <si>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</si>
  <si>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</si>
  <si>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</si>
  <si>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</si>
  <si>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</si>
  <si>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</si>
  <si>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</si>
  <si>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</si>
  <si>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</si>
  <si>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</si>
  <si>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</si>
  <si>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</si>
  <si>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</si>
  <si>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</si>
  <si>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</si>
  <si>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</si>
  <si>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</si>
  <si>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</si>
  <si>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</si>
  <si>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</si>
  <si>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</si>
  <si>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</si>
  <si>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</si>
  <si>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</si>
  <si>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</si>
  <si>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</si>
  <si>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</si>
  <si>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</si>
  <si>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</si>
  <si>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</si>
  <si>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</si>
  <si>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</si>
  <si>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</si>
  <si>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</si>
  <si>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</si>
  <si>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</si>
  <si>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</si>
  <si>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</si>
  <si>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</si>
  <si>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</si>
  <si>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</si>
  <si>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</si>
  <si>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</si>
  <si>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</si>
  <si>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</si>
  <si>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</si>
  <si>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</si>
  <si>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</si>
  <si>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</si>
  <si>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</si>
  <si>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</si>
  <si>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</si>
  <si>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</si>
  <si>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</si>
  <si>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</si>
  <si>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</si>
  <si>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</si>
  <si>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</si>
  <si>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</si>
  <si>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</si>
  <si>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</si>
  <si>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</si>
  <si>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</si>
  <si>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</si>
  <si>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</si>
  <si>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</si>
  <si>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</si>
  <si>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</si>
  <si>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</si>
  <si>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</si>
  <si>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</si>
  <si>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</si>
  <si>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</si>
  <si>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</si>
  <si>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</si>
  <si>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</si>
  <si>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</si>
  <si>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</si>
  <si>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</si>
  <si>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</si>
  <si>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</si>
  <si>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</si>
  <si>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</si>
  <si>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</si>
  <si>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</si>
  <si>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</si>
  <si>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</si>
  <si>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</si>
  <si>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</si>
  <si>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</si>
  <si>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</si>
  <si>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</si>
  <si>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</si>
  <si>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</si>
  <si>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</si>
  <si>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</si>
  <si>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</si>
  <si>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</si>
  <si>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</si>
  <si>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</si>
  <si>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</si>
  <si>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</si>
  <si>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</si>
  <si>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</si>
  <si>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</si>
  <si>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</si>
  <si>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</si>
  <si>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</si>
  <si>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</si>
  <si>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</si>
  <si>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</si>
  <si>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</si>
  <si>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</si>
  <si>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</si>
  <si>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</si>
  <si>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</si>
  <si>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</si>
  <si>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</si>
  <si>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</si>
  <si>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</si>
  <si>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</si>
  <si>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</si>
  <si>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</si>
  <si>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</si>
  <si>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</si>
  <si>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</si>
  <si>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</si>
  <si>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</si>
  <si>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</si>
  <si>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</si>
  <si>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</si>
  <si>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</si>
  <si>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</si>
  <si>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</si>
  <si>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</si>
  <si>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</si>
  <si>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</si>
  <si>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</si>
  <si>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</si>
  <si>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</si>
  <si>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</si>
  <si>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</si>
  <si>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</si>
  <si>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</si>
  <si>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</si>
  <si>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</si>
  <si>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</si>
  <si>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</si>
  <si>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</si>
  <si>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</si>
  <si>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</si>
  <si>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</si>
  <si>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</si>
  <si>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</si>
  <si>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</si>
  <si>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</si>
  <si>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</si>
  <si>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</si>
  <si>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</si>
  <si>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</si>
  <si>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</si>
  <si>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</si>
  <si>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</si>
  <si>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</si>
  <si>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</si>
  <si>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</si>
  <si>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</si>
  <si>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</si>
  <si>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</si>
  <si>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</si>
  <si>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</si>
  <si>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</si>
  <si>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</si>
  <si>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</si>
  <si>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</si>
  <si>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</si>
  <si>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</si>
  <si>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</si>
  <si>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</si>
  <si>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</si>
  <si>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</si>
  <si>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</si>
  <si>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</si>
  <si>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</si>
  <si>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</si>
  <si>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</si>
  <si>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</si>
  <si>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</si>
  <si>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</si>
  <si>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</si>
  <si>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</si>
  <si>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</si>
  <si>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</si>
  <si>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</si>
  <si>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</si>
  <si>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</si>
  <si>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</si>
  <si>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</si>
  <si>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</si>
  <si>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</si>
  <si>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</si>
  <si>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</si>
  <si>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</si>
  <si>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</si>
  <si>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</si>
  <si>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</si>
  <si>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</si>
  <si>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</si>
  <si>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</si>
  <si>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</si>
  <si>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</si>
  <si>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</si>
  <si>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</si>
  <si>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</si>
  <si>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</si>
  <si>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</si>
  <si>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</si>
  <si>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</si>
  <si>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</si>
  <si>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</si>
  <si>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</si>
  <si>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</si>
  <si>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</si>
  <si>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</si>
  <si>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</si>
  <si>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</si>
  <si>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</si>
  <si>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</si>
  <si>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</si>
  <si>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</si>
  <si>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</si>
  <si>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</si>
  <si>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</si>
  <si>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</si>
  <si>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</si>
  <si>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</si>
  <si>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</si>
  <si>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</si>
  <si>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</si>
  <si>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</si>
  <si>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</si>
  <si>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</si>
  <si>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</si>
  <si>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</si>
  <si>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</si>
  <si>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</si>
  <si>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</si>
  <si>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</si>
  <si>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</si>
  <si>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</si>
  <si>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</si>
  <si>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</si>
  <si>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</si>
  <si>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</si>
  <si>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</si>
  <si>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</si>
  <si>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</si>
  <si>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</si>
  <si>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</si>
  <si>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</si>
  <si>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</si>
  <si>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</si>
  <si>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</si>
  <si>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</si>
  <si>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</si>
  <si>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</si>
  <si>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</si>
  <si>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</si>
  <si>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</si>
  <si>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</si>
  <si>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</si>
  <si>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</si>
  <si>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</si>
  <si>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</si>
  <si>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</si>
  <si>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</si>
  <si>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</si>
  <si>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</si>
  <si>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</si>
  <si>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</si>
  <si>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</si>
  <si>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</si>
  <si>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</si>
  <si>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</si>
  <si>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</si>
  <si>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</si>
  <si>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</si>
  <si>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</si>
  <si>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</si>
  <si>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</si>
  <si>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</si>
  <si>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</si>
  <si>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</si>
  <si>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</si>
  <si>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</si>
  <si>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</si>
  <si>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</si>
  <si>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</si>
  <si>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</si>
  <si>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</si>
  <si>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</si>
  <si>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</si>
  <si>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</si>
  <si>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</si>
  <si>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</si>
  <si>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</si>
  <si>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</si>
  <si>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</si>
  <si>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</si>
  <si>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</si>
  <si>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</si>
  <si>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</si>
  <si>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</si>
  <si>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</si>
  <si>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</si>
  <si>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</si>
  <si>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</si>
  <si>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</si>
  <si>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</si>
  <si>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</si>
  <si>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</si>
  <si>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</si>
  <si>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</si>
  <si>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</si>
  <si>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</si>
  <si>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</si>
  <si>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</si>
  <si>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</si>
  <si>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</si>
  <si>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</si>
  <si>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</si>
  <si>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</si>
  <si>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</si>
  <si>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</si>
  <si>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</si>
  <si>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</si>
  <si>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</si>
  <si>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</si>
  <si>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</si>
  <si>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</si>
  <si>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</si>
  <si>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</si>
  <si>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</si>
  <si>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</si>
  <si>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</si>
  <si>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</si>
  <si>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</si>
  <si>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</si>
  <si>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</si>
  <si>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</si>
  <si>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</si>
  <si>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</si>
  <si>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</si>
  <si>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</si>
  <si>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</si>
  <si>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</si>
  <si>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</si>
  <si>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</si>
  <si>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</si>
  <si>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</si>
  <si>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</si>
  <si>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</si>
  <si>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</si>
  <si>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</si>
  <si>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</si>
  <si>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</si>
  <si>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</si>
  <si>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</si>
  <si>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</si>
  <si>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</si>
  <si>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</si>
  <si>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</si>
  <si>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</si>
  <si>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</si>
  <si>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</si>
  <si>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</si>
  <si>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</si>
  <si>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</si>
  <si>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</si>
  <si>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</si>
  <si>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</si>
  <si>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</si>
  <si>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</si>
  <si>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</si>
  <si>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</si>
  <si>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</si>
  <si>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</si>
  <si>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</si>
  <si>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</si>
  <si>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</si>
  <si>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</si>
  <si>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</si>
  <si>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</si>
  <si>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</si>
  <si>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</si>
  <si>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</si>
  <si>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</si>
  <si>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</si>
  <si>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</si>
  <si>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</si>
  <si>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</si>
  <si>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</si>
  <si>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</si>
  <si>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</si>
  <si>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</si>
  <si>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</si>
  <si>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</si>
  <si>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</si>
  <si>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</si>
  <si>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</si>
  <si>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</si>
  <si>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</si>
  <si>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</si>
  <si>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</si>
  <si>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</si>
  <si>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</si>
  <si>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</si>
  <si>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</si>
  <si>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</si>
  <si>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</si>
  <si>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</si>
  <si>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</si>
  <si>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</si>
  <si>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</si>
  <si>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</si>
  <si>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</si>
  <si>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</si>
  <si>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</si>
  <si>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</si>
  <si>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</si>
  <si>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</si>
  <si>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</si>
  <si>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</si>
  <si>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</si>
  <si>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</si>
  <si>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</si>
  <si>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</si>
  <si>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</si>
  <si>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</si>
  <si>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</si>
  <si>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</si>
  <si>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</si>
  <si>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</si>
  <si>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</si>
  <si>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</si>
  <si>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</si>
  <si>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</si>
  <si>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</si>
  <si>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</si>
  <si>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</si>
  <si>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</si>
  <si>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</si>
  <si>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</si>
  <si>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</si>
  <si>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</si>
  <si>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</si>
  <si>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</si>
  <si>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</si>
  <si>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</si>
  <si>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</si>
  <si>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</si>
  <si>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</si>
  <si>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</si>
  <si>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</si>
  <si>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</si>
  <si>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</si>
  <si>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</si>
  <si>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</si>
  <si>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</si>
  <si>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</si>
  <si>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</si>
  <si>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</si>
  <si>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</si>
  <si>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</si>
  <si>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</si>
  <si>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</si>
  <si>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</si>
  <si>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</si>
  <si>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</si>
  <si>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</si>
  <si>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</si>
  <si>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</si>
  <si>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</si>
  <si>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</si>
  <si>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</si>
  <si>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</si>
  <si>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</si>
  <si>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</si>
  <si>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</si>
  <si>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</si>
  <si>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</si>
  <si>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</si>
  <si>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</si>
  <si>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</si>
  <si>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</si>
  <si>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</si>
  <si>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</si>
  <si>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</si>
  <si>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</si>
  <si>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</si>
  <si>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</si>
  <si>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</si>
  <si>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</si>
  <si>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</si>
  <si>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</si>
  <si>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</si>
  <si>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</si>
  <si>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</si>
  <si>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</si>
  <si>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</si>
  <si>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</si>
  <si>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</si>
  <si>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</si>
  <si>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</si>
  <si>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</si>
  <si>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</si>
  <si>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</si>
  <si>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</si>
  <si>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</si>
  <si>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</si>
  <si>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</si>
  <si>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</si>
  <si>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</si>
  <si>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</si>
  <si>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</si>
  <si>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</si>
  <si>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</si>
  <si>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</si>
  <si>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</si>
  <si>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</si>
  <si>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</si>
  <si>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</si>
  <si>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</si>
  <si>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</si>
  <si>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</si>
  <si>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</si>
  <si>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</si>
  <si>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</si>
  <si>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</si>
  <si>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</si>
  <si>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</si>
  <si>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</si>
  <si>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</si>
  <si>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</si>
  <si>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</si>
  <si>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</si>
  <si>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</si>
  <si>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</si>
  <si>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</si>
  <si>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</si>
  <si>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</si>
  <si>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</si>
  <si>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</si>
  <si>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</si>
  <si>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</si>
  <si>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</si>
  <si>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</si>
  <si>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</si>
  <si>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</si>
  <si>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</si>
  <si>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</si>
  <si>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</si>
  <si>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</si>
  <si>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</si>
  <si>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</si>
  <si>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</si>
  <si>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</si>
  <si>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</si>
  <si>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</si>
  <si>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</si>
  <si>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</si>
  <si>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</si>
  <si>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</si>
  <si>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</si>
  <si>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</si>
  <si>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</si>
  <si>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</si>
  <si>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</si>
  <si>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</si>
  <si>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</si>
  <si>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</si>
  <si>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</si>
  <si>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</si>
  <si>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</si>
  <si>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</si>
  <si>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</si>
  <si>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</si>
  <si>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</si>
  <si>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</si>
  <si>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</si>
  <si>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</si>
  <si>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</si>
  <si>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</si>
  <si>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</si>
  <si>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</si>
  <si>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</si>
  <si>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</si>
  <si>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</si>
  <si>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</si>
  <si>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</si>
  <si>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</si>
  <si>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</si>
  <si>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</si>
  <si>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</si>
  <si>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</si>
  <si>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</si>
  <si>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</si>
  <si>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</si>
  <si>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</si>
  <si>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</si>
  <si>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</si>
  <si>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</si>
  <si>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</si>
  <si>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</si>
  <si>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</si>
  <si>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</si>
  <si>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</si>
  <si>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</si>
  <si>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</si>
  <si>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</si>
  <si>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</si>
  <si>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</si>
  <si>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</si>
  <si>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</si>
  <si>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</si>
  <si>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</si>
  <si>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</si>
  <si>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</si>
  <si>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</si>
  <si>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</si>
  <si>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</si>
  <si>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</si>
  <si>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</si>
  <si>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</si>
  <si>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</si>
  <si>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</si>
  <si>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</si>
  <si>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</si>
  <si>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</si>
  <si>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</si>
  <si>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</si>
  <si>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</si>
  <si>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</si>
  <si>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</si>
  <si>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</si>
  <si>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</si>
  <si>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</si>
  <si>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</si>
  <si>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</si>
  <si>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</si>
  <si>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</si>
  <si>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</si>
  <si>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</si>
  <si>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</si>
  <si>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</si>
  <si>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</si>
  <si>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</si>
  <si>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</si>
  <si>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</si>
  <si>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</si>
  <si>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</si>
  <si>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</si>
  <si>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</si>
  <si>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</si>
  <si>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</si>
  <si>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</si>
  <si>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</si>
  <si>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</si>
  <si>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</si>
  <si>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</si>
  <si>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</si>
  <si>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</si>
  <si>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</si>
  <si>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</si>
  <si>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</si>
  <si>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</si>
  <si>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</si>
  <si>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</si>
  <si>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</si>
  <si>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</si>
  <si>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</si>
  <si>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</si>
  <si>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</si>
  <si>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</si>
  <si>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</si>
  <si>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</si>
  <si>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</si>
  <si>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</si>
  <si>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</si>
  <si>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</si>
  <si>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</si>
  <si>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</si>
  <si>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</si>
  <si>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</si>
  <si>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</si>
  <si>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</si>
  <si>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</si>
  <si>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</si>
  <si>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</si>
  <si>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</si>
  <si>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</si>
  <si>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</si>
  <si>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</si>
  <si>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</si>
  <si>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</si>
  <si>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</si>
  <si>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</si>
  <si>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</si>
  <si>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</si>
  <si>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</si>
  <si>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</si>
  <si>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</si>
  <si>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</si>
  <si>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</si>
  <si>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</si>
  <si>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</si>
  <si>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</si>
  <si>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</si>
  <si>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</si>
  <si>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</si>
  <si>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</si>
  <si>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</si>
  <si>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</si>
  <si>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</si>
  <si>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</si>
  <si>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</si>
  <si>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</si>
  <si>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</si>
  <si>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</si>
  <si>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</si>
  <si>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</si>
  <si>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</si>
  <si>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</si>
  <si>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</si>
  <si>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</si>
  <si>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</si>
  <si>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</si>
  <si>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</si>
  <si>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</si>
  <si>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</si>
  <si>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</si>
  <si>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</si>
  <si>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</si>
  <si>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</si>
  <si>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</si>
  <si>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</si>
  <si>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</si>
  <si>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</si>
  <si>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</si>
  <si>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</si>
  <si>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</si>
  <si>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</si>
  <si>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</si>
  <si>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</si>
  <si>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</si>
  <si>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</si>
  <si>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</si>
  <si>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</si>
  <si>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</si>
  <si>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</si>
  <si>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</si>
  <si>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</si>
  <si>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</si>
  <si>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</si>
  <si>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</si>
  <si>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</si>
  <si>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</si>
  <si>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</si>
  <si>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</si>
  <si>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</si>
  <si>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</si>
  <si>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</si>
  <si>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</si>
  <si>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</si>
  <si>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</si>
  <si>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</si>
  <si>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</si>
  <si>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</si>
  <si>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</si>
  <si>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</si>
  <si>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</si>
  <si>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</si>
  <si>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</si>
  <si>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</si>
  <si>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</si>
  <si>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</si>
  <si>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</si>
  <si>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</si>
  <si>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</si>
  <si>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</si>
  <si>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</si>
  <si>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</si>
  <si>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</si>
  <si>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</si>
  <si>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</si>
  <si>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</si>
  <si>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</si>
  <si>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</si>
  <si>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</si>
  <si>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</si>
  <si>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</si>
  <si>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</si>
  <si>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</si>
  <si>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</si>
  <si>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</si>
  <si>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</si>
  <si>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</si>
  <si>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</si>
  <si>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</si>
  <si>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</si>
  <si>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</si>
  <si>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</si>
  <si>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</si>
  <si>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</si>
  <si>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</si>
  <si>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</si>
  <si>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</si>
  <si>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</si>
  <si>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</si>
  <si>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</si>
  <si>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</si>
  <si>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</si>
  <si>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</si>
  <si>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</si>
  <si>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</si>
  <si>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</si>
  <si>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</si>
  <si>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</si>
  <si>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</si>
  <si>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</si>
  <si>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</si>
  <si>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</si>
  <si>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</si>
  <si>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</si>
  <si>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</si>
  <si>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</si>
  <si>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</si>
  <si>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</si>
  <si>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</si>
  <si>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</si>
  <si>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</si>
  <si>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</si>
  <si>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</si>
  <si>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</si>
  <si>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</si>
  <si>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</si>
  <si>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</si>
  <si>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</si>
  <si>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</si>
  <si>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</si>
  <si>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</si>
  <si>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</si>
  <si>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</si>
  <si>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</si>
  <si>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</si>
  <si>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</si>
  <si>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</si>
  <si>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</si>
  <si>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</si>
  <si>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</si>
  <si>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</si>
  <si>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</si>
  <si>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</si>
  <si>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</si>
  <si>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</si>
  <si>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</si>
  <si>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</si>
  <si>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</si>
  <si>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</si>
  <si>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</si>
  <si>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</si>
  <si>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</si>
  <si>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</si>
  <si>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</si>
  <si>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</si>
  <si>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</si>
  <si>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</si>
  <si>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</si>
  <si>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</si>
  <si>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</si>
  <si>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</si>
  <si>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</si>
  <si>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</si>
  <si>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</si>
  <si>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</si>
  <si>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</si>
  <si>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</si>
  <si>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</si>
  <si>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</si>
  <si>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</si>
  <si>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</si>
  <si>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</si>
  <si>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</si>
  <si>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</si>
  <si>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</si>
  <si>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</si>
  <si>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</si>
  <si>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</si>
  <si>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</si>
  <si>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</si>
  <si>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</si>
  <si>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</si>
  <si>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</si>
  <si>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</si>
  <si>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</si>
  <si>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</si>
  <si>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</si>
  <si>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</si>
  <si>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</si>
  <si>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</si>
  <si>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</si>
  <si>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</si>
  <si>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</si>
  <si>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</si>
  <si>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</si>
  <si>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</si>
  <si>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</si>
  <si>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</si>
  <si>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</si>
  <si>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</si>
  <si>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</si>
  <si>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</si>
  <si>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</si>
  <si>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</si>
  <si>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</si>
  <si>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</si>
  <si>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</si>
  <si>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</si>
  <si>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</si>
  <si>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</si>
  <si>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</si>
  <si>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</si>
  <si>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</si>
  <si>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</si>
  <si>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</si>
  <si>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</si>
  <si>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</si>
  <si>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</si>
  <si>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</si>
  <si>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</si>
  <si>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</si>
  <si>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</si>
  <si>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</si>
  <si>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</si>
  <si>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</si>
  <si>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</si>
  <si>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</si>
  <si>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</si>
  <si>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</si>
  <si>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</si>
  <si>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</si>
  <si>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</si>
  <si>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</si>
  <si>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</si>
  <si>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</si>
  <si>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</si>
  <si>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</si>
  <si>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</si>
  <si>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</si>
  <si>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</si>
  <si>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</si>
  <si>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</si>
  <si>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</si>
  <si>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</si>
  <si>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</si>
  <si>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</si>
  <si>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</si>
  <si>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</si>
  <si>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</si>
  <si>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</si>
  <si>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</si>
  <si>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</si>
  <si>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</si>
  <si>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</si>
  <si>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</si>
  <si>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</si>
  <si>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</si>
  <si>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</si>
  <si>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</si>
  <si>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</si>
  <si>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</si>
  <si>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</si>
  <si>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</si>
  <si>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</si>
  <si>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</si>
  <si>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</si>
  <si>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</si>
  <si>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</si>
  <si>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</si>
  <si>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</si>
  <si>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</si>
  <si>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</si>
  <si>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</si>
  <si>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</si>
  <si>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</si>
  <si>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</si>
  <si>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</si>
  <si>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</si>
  <si>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</si>
  <si>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</si>
  <si>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</si>
  <si>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</si>
  <si>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</si>
  <si>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</si>
  <si>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</si>
  <si>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</si>
  <si>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</si>
  <si>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</si>
  <si>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</si>
  <si>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</si>
  <si>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RM Resin 3338W (25Kg)</t>
  </si>
  <si>
    <t>INV00000941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</si>
  <si>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</si>
  <si>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</si>
  <si>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</si>
  <si>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</si>
  <si>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</si>
  <si>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</si>
  <si>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</si>
  <si>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</si>
  <si>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RM Pigment Paste Ice Blue B1 (5kg)</t>
  </si>
  <si>
    <t>INV00000950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</si>
  <si>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</si>
  <si>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</si>
  <si>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</si>
  <si>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</si>
  <si>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</si>
  <si>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</si>
  <si>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</si>
  <si>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</si>
  <si>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RM Pigment Paste Tangerine Y12 (5Kg)</t>
  </si>
  <si>
    <t>INV00000959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</si>
  <si>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</si>
  <si>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</si>
  <si>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</si>
  <si>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</si>
  <si>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</si>
  <si>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</si>
  <si>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</si>
  <si>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INV00000965</t>
  </si>
  <si>
    <t>INV00000967</t>
  </si>
  <si>
    <t>INV00000968</t>
  </si>
  <si>
    <t>INV00000969</t>
  </si>
  <si>
    <t>INV00000966</t>
  </si>
  <si>
    <t>C00000054</t>
  </si>
  <si>
    <t>Cash - Jamid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</si>
  <si>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</si>
  <si>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</si>
  <si>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</si>
  <si>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</si>
  <si>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</si>
  <si>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</si>
  <si>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</si>
  <si>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</si>
  <si>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</si>
  <si>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</si>
  <si>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</si>
  <si>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</si>
  <si>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</si>
  <si>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</si>
  <si>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</si>
  <si>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</si>
  <si>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</si>
  <si>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</si>
  <si>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</si>
  <si>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</si>
  <si>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</si>
  <si>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</si>
  <si>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</si>
  <si>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</si>
  <si>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</si>
  <si>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</si>
  <si>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</si>
  <si>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</si>
  <si>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</si>
  <si>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</si>
  <si>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</si>
  <si>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</si>
  <si>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</si>
  <si>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</si>
  <si>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</si>
  <si>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</si>
  <si>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</si>
  <si>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</si>
  <si>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</si>
  <si>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</si>
  <si>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</si>
  <si>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</si>
  <si>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</si>
  <si>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</si>
  <si>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</si>
  <si>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</si>
  <si>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</si>
  <si>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Cancel</t>
  </si>
  <si>
    <t>INV00001016</t>
  </si>
  <si>
    <t>INV00001017</t>
  </si>
  <si>
    <t>INV00001018</t>
  </si>
  <si>
    <t>INV00001019</t>
  </si>
  <si>
    <t>Tissue Mat (250 meter)</t>
  </si>
  <si>
    <t>INV00001020</t>
  </si>
  <si>
    <t>INV00001021</t>
  </si>
  <si>
    <t>RM Pigment Gentian Blue B9 (5kg)</t>
  </si>
  <si>
    <t>INV00001022</t>
  </si>
  <si>
    <t>Cash - Encik Razzak</t>
  </si>
  <si>
    <t>INV00001023</t>
  </si>
  <si>
    <t>INV00001024</t>
  </si>
  <si>
    <t>RM Resin 2100W (225Kg)</t>
  </si>
  <si>
    <t>INV00001025</t>
  </si>
  <si>
    <t>RA Resin 268BQT (220Kg)</t>
  </si>
  <si>
    <t>RO CSM 450 1040mm(W) (37Kg)</t>
  </si>
  <si>
    <t>INV00001026</t>
  </si>
  <si>
    <t>INV00001027</t>
  </si>
  <si>
    <t>RA Resin 268W (225kg)</t>
  </si>
  <si>
    <t>INV00001028</t>
  </si>
  <si>
    <t>INV00001029</t>
  </si>
  <si>
    <t>RA Resin 268BQT (225Kg)</t>
  </si>
  <si>
    <t>INV00001030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</si>
  <si>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</si>
  <si>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</si>
  <si>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</si>
  <si>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</si>
  <si>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</si>
  <si>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</si>
  <si>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</si>
  <si>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</si>
  <si>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</si>
  <si>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</si>
  <si>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</si>
  <si>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</si>
  <si>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</si>
  <si>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RA Wax Solution (2KG)</t>
  </si>
  <si>
    <t>INV00001040</t>
  </si>
  <si>
    <t>INV00001041</t>
  </si>
  <si>
    <t>INV00001042</t>
  </si>
  <si>
    <t>RM Resin 268BQT (225Kg)</t>
  </si>
  <si>
    <t>RM Steel Roller 3" 10mm</t>
  </si>
  <si>
    <t>INV00001043</t>
  </si>
  <si>
    <t>INV00001044</t>
  </si>
  <si>
    <t>INV00001045</t>
  </si>
  <si>
    <t>INV00001046</t>
  </si>
  <si>
    <t>RM Resin 2100BQT-L (225Kg)</t>
  </si>
  <si>
    <t>INV00001047</t>
  </si>
  <si>
    <t>INV00001048</t>
  </si>
  <si>
    <t>INV00001049</t>
  </si>
  <si>
    <t>INV00001050</t>
  </si>
  <si>
    <t>INV00001051</t>
  </si>
  <si>
    <t>INV00001052</t>
  </si>
  <si>
    <t>RA Resin 2100BQT-L (225Kg)</t>
  </si>
  <si>
    <t>INV00001053</t>
  </si>
  <si>
    <t>INV00001054</t>
  </si>
  <si>
    <t>INV00001055</t>
  </si>
  <si>
    <t>RM Accelerator (2kg)</t>
  </si>
  <si>
    <t>INV00001056</t>
  </si>
  <si>
    <t>INV00001057</t>
  </si>
  <si>
    <t>INV00001058</t>
  </si>
  <si>
    <t>RA Resin 268BQT (25Kg)</t>
  </si>
  <si>
    <t>Cash Mr Tan</t>
  </si>
  <si>
    <t>C00000055</t>
  </si>
  <si>
    <t>C00000056</t>
  </si>
  <si>
    <t>INV00001059</t>
  </si>
  <si>
    <t>INV00001060</t>
  </si>
  <si>
    <t>RM Resin (25Kg)</t>
  </si>
  <si>
    <t>RA CSM 450 GSM 1040mm (30kg)</t>
  </si>
  <si>
    <t>INV00001061</t>
  </si>
  <si>
    <t>Cash - Shermark Resources</t>
  </si>
  <si>
    <t>INV00001062</t>
  </si>
  <si>
    <t>INV00001063</t>
  </si>
  <si>
    <t>INV00001064</t>
  </si>
  <si>
    <t>INV00001065</t>
  </si>
  <si>
    <t>INV00001066</t>
  </si>
  <si>
    <t>INV00001067</t>
  </si>
  <si>
    <t>INV00001068</t>
  </si>
  <si>
    <t>INV00001069</t>
  </si>
  <si>
    <t>INV00001070</t>
  </si>
  <si>
    <t>INV00001071</t>
  </si>
  <si>
    <t>INV00001072</t>
  </si>
  <si>
    <t>INV00001073</t>
  </si>
  <si>
    <t>INV00001074</t>
  </si>
  <si>
    <t>INV00001075</t>
  </si>
  <si>
    <t>INV00001076</t>
  </si>
  <si>
    <t>INV00001077</t>
  </si>
  <si>
    <t>INV00001078</t>
  </si>
  <si>
    <t>INV00001079</t>
  </si>
  <si>
    <t>INV00001080</t>
  </si>
  <si>
    <t>INV00001081</t>
  </si>
  <si>
    <t>INV00001082</t>
  </si>
  <si>
    <t>INV00001083</t>
  </si>
  <si>
    <t>INV00001084</t>
  </si>
  <si>
    <t>INV00001085</t>
  </si>
  <si>
    <t>INV00001086</t>
  </si>
  <si>
    <t>10/12/2024</t>
  </si>
  <si>
    <t>11/12/2024</t>
  </si>
  <si>
    <t>12/12/2024</t>
  </si>
  <si>
    <t>13/12/2024</t>
  </si>
  <si>
    <t>14/12/2024</t>
  </si>
  <si>
    <t>17/12/2024</t>
  </si>
  <si>
    <t>19/12/2024</t>
  </si>
  <si>
    <t>20/12/2024</t>
  </si>
  <si>
    <t>21/12/2024</t>
  </si>
  <si>
    <t>23/12/2024</t>
  </si>
  <si>
    <t>24/12/2024</t>
  </si>
  <si>
    <t>27/12/2024</t>
  </si>
  <si>
    <t>28/12/2024</t>
  </si>
  <si>
    <t>30/12/2024</t>
  </si>
  <si>
    <t>31/12/2024</t>
  </si>
  <si>
    <t>RO CSM 450 1040mm(W) (30Kg)</t>
  </si>
  <si>
    <t>RO CSM 450 1040mm(W) (30kg)</t>
  </si>
  <si>
    <t>RM VE Resin 901-3P (25Kg)</t>
  </si>
  <si>
    <t>RA Honeycomb 19mm - 1220(W) x 2440(L)</t>
  </si>
  <si>
    <t>RM Pigment Super White (30Kg)</t>
  </si>
  <si>
    <t>RM Pigment Grey G2 (5Kg)</t>
  </si>
  <si>
    <t>RA Wax Solution (2kg)</t>
  </si>
  <si>
    <t>Cash - Kevin Wong</t>
  </si>
  <si>
    <t>RM ISO NPG Pigmented Gelcoat (Stone Grey G10) 25Kg</t>
  </si>
  <si>
    <t>RM Wax solution (8kg)</t>
  </si>
  <si>
    <t>RM Resin (30Kg)</t>
  </si>
  <si>
    <t>C00000057</t>
  </si>
  <si>
    <t>C00000058</t>
  </si>
  <si>
    <t>C00000059</t>
  </si>
  <si>
    <t>C00000060</t>
  </si>
  <si>
    <t>C00000061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</si>
</sst>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7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0" fontId="15" fillId="0" borderId="0" xfId="2" applyFont="1"/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/>
    <xf numFmtId="43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/>
    <xf numFmtId="0" fontId="15" fillId="2" borderId="0" xfId="2" applyFont="1" applyFill="1"/>
    <xf numFmtId="0" fontId="3" fillId="0" borderId="0" xfId="1" applyNumberFormat="1" applyFont="1"/>
    <xf numFmtId="14" fontId="15" fillId="0" borderId="0" xfId="0" applyNumberFormat="1" applyFont="1" applyBorder="1" applyAlignment="1">
      <alignment horizontal="left"/>
    </xf>
    <xf numFmtId="14" fontId="15" fillId="0" borderId="0" xfId="2" applyNumberFormat="1" applyFont="1" applyBorder="1" applyAlignment="1">
      <alignment horizontal="left"/>
    </xf>
    <xf numFmtId="14" fontId="14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15" fillId="0" borderId="0" xfId="2" applyFont="1" applyBorder="1" applyAlignment="1">
      <alignment horizontal="center"/>
    </xf>
    <xf numFmtId="166" fontId="15" fillId="0" borderId="0" xfId="2" applyNumberFormat="1" applyFont="1"/>
    <xf numFmtId="0" fontId="3" fillId="0" borderId="0" xfId="0" applyFont="1" applyBorder="1" applyAlignment="1">
      <alignment horizontal="center" wrapText="1"/>
    </xf>
    <xf numFmtId="0" fontId="14" fillId="10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66" fontId="15" fillId="0" borderId="0" xfId="0" applyNumberFormat="1" applyFont="1" applyBorder="1"/>
    <xf numFmtId="0" fontId="3" fillId="2" borderId="0" xfId="1" applyNumberFormat="1" applyFont="1" applyFill="1"/>
    <xf numFmtId="0" fontId="15" fillId="2" borderId="0" xfId="1" applyNumberFormat="1" applyFont="1" applyFill="1" applyAlignment="1"/>
    <xf numFmtId="0" fontId="0" fillId="0" borderId="0" xfId="0" applyNumberFormat="1" applyFill="1" applyAlignment="1" applyProtection="1"/>
    <xf numFmtId="0" fontId="15" fillId="0" borderId="0" xfId="0" applyNumberFormat="1" applyFont="1" applyFill="1" applyAlignment="1" applyProtection="1"/>
    <xf numFmtId="0" fontId="15" fillId="0" borderId="0" xfId="0" applyNumberFormat="1" applyFont="1" applyFill="1" applyAlignment="1" applyProtection="1">
      <alignment horizontal="center"/>
    </xf>
    <xf numFmtId="0" fontId="3" fillId="0" borderId="0" xfId="0" applyNumberFormat="1" applyFont="1" applyFill="1" applyAlignment="1" applyProtection="1"/>
    <xf numFmtId="14" fontId="15" fillId="0" borderId="0" xfId="0" applyNumberFormat="1" applyFont="1" applyFill="1" applyAlignment="1" applyProtection="1"/>
    <xf numFmtId="2" fontId="15" fillId="0" borderId="0" xfId="0" applyNumberFormat="1" applyFont="1" applyFill="1" applyAlignment="1" applyProtection="1"/>
    <xf numFmtId="166" fontId="15" fillId="2" borderId="0" xfId="0" applyNumberFormat="1" applyFont="1" applyFill="1" applyBorder="1"/>
    <xf numFmtId="0" fontId="15" fillId="2" borderId="0" xfId="0" applyFont="1" applyFill="1"/>
    <xf numFmtId="0" fontId="3" fillId="0" borderId="0" xfId="0" applyNumberFormat="1" applyFont="1" applyFill="1" applyAlignment="1" applyProtection="1">
      <alignment horizontal="center"/>
    </xf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568"/>
  <sheetViews>
    <sheetView tabSelected="1" topLeftCell="D3534" zoomScale="85" zoomScaleNormal="85" workbookViewId="0">
      <selection activeCell="G3556" sqref="G3556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33.5546875" style="1" customWidth="1"/>
    <col min="7" max="7" width="38.6640625" style="11" customWidth="1"/>
    <col min="8" max="8" width="4.33203125" style="13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142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13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13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13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13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13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13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13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13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13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13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13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13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13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13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13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13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13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13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13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13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13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13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13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13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13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13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13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13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13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13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13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13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13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13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13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13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13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13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13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13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13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13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13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13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13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13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13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13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13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13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13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13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13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13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13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13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13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13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13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13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13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13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13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13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13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13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13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13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13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13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13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13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13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13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13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13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13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13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13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13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13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13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13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13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13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13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13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13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13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13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13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13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13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13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13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13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13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13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13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13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13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13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13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13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13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13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13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13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13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13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13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13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13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13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13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13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13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13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13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13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13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13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13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13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13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13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13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13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13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13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13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13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13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13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13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13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13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13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13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13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13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13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13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13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13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13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13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13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13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13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13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13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13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13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13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13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13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13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13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13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13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13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13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13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13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13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13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13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13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13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13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13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13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13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13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13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13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13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13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13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13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13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13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13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13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13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13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13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13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13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13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13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13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13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13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13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13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13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13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13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13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13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13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13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13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13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13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13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13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13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13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13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13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13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13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13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13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13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13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13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13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13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13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13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13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13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13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13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13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13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13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13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13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13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13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13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13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13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13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13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13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13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13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13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13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13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13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13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13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13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13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13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13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13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13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13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13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13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13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13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13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13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13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13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13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13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13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13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13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13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13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13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13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13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13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13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13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13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13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13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13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13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13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13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13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13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13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13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13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13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13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13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13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13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13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13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13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13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13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13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13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13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13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13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13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13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13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13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13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13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13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13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13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13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13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13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13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13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13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13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13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13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13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13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13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13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13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13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13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13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13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13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13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13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13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13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13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13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13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13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13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13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13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13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13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13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13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13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13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13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13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13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13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13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13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13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13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13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13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13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13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13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13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13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13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13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13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13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13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13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13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13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13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13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13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13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13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13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13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13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13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13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13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13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13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13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13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13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13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13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13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13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13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13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13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13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13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13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13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13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13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13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13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13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13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13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13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13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13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13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13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13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13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13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13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13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13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13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13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13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13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13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13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13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13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13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13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13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13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13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13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13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13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13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13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13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13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13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13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13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13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13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13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13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13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13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13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13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13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13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13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13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13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13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13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13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13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13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13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13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13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13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13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13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13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13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13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13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13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13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13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13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13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13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13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13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13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13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13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13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13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13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13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13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13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13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13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13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13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13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13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13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13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13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13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13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13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13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13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13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13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13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13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13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13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13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13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13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13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13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13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13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13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13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13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13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13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13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13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13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13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13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13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13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13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13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13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13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13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13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13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13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13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13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13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13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13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13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13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13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13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13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13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13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13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13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13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13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13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13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13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13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13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13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13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13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13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13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13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13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13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13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13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13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13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13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13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13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13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13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13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13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13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137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137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137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137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137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137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13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13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13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13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13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13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13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13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13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13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13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13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13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13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13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13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13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13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13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13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13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13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13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13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13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13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13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13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13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13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13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13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13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13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13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13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13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13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13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13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13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13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13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13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13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13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13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13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13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13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13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13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13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13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13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13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13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13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13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13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13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13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13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13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13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13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13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13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13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13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13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13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13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13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13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13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13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13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13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13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13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13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13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13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13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13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13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13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13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13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13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13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13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13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13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13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13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13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13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13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13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13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13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13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13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13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13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13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13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13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13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13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13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13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13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13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13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13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13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13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13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13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13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13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13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13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13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13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13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13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13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13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13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13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13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13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13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13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13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13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13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13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13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13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13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13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13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13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13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13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13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13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13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13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13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13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13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13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13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13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13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13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13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13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13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13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13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13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13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13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13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13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13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13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13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13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13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13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134" t="s">
        <v>720</v>
      </c>
      <c r="H759" s="13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13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13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13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13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13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13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13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13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13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13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13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13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13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13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13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13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13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13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13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13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13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13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13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13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13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13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13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13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13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13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13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13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13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13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13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13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13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13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13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13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13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13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13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13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13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13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13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13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13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13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13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13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13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13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13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13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13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13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13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13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13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13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13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13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13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13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13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13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13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13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13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13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13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13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13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13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13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13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13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13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13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13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13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13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13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13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13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13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13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13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13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13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13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13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13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13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13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13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13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13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13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13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13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13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13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13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13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13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13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13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13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13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13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13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13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13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13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13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13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13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13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13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13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13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13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13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13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13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13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13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13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13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13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13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13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13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13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13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134" t="s">
        <v>708</v>
      </c>
      <c r="H898" s="13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13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13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13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13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13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13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13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13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13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13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13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13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13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13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13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13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13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13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13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13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13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13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13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13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13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13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13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5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13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13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13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13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13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13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13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13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13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13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13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13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13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13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13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13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13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13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13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13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13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13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13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13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13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13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13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13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13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13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13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13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13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13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13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13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13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13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13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13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13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13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13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13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13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13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13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13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13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13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13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13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13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1041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13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13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13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13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13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13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13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13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13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13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si="210"/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13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0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19">MONTH(A990)</f>
        <v>9</v>
      </c>
      <c r="C990" s="5">
        <f t="shared" ref="C990:C993" si="220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137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5">
        <v>5742</v>
      </c>
      <c r="O990" s="6">
        <f t="shared" si="215"/>
        <v>-5742</v>
      </c>
      <c r="P990" s="6">
        <f t="shared" si="218"/>
        <v>0</v>
      </c>
      <c r="Q990" s="7">
        <f t="shared" si="210"/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19"/>
        <v>9</v>
      </c>
      <c r="C991" s="5">
        <f t="shared" si="220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137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5">
        <v>2358.4</v>
      </c>
      <c r="O991" s="6">
        <f t="shared" si="215"/>
        <v>-2358.4</v>
      </c>
      <c r="P991" s="6">
        <f t="shared" si="218"/>
        <v>0</v>
      </c>
      <c r="Q991" s="7">
        <f t="shared" si="210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19"/>
        <v>9</v>
      </c>
      <c r="C992" s="5">
        <f t="shared" si="220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137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5">
        <v>1056</v>
      </c>
      <c r="O992" s="6">
        <f>-525.3-530.7</f>
        <v>-1056</v>
      </c>
      <c r="P992" s="6">
        <f t="shared" si="218"/>
        <v>0</v>
      </c>
      <c r="Q992" s="7">
        <f t="shared" si="210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19"/>
        <v>9</v>
      </c>
      <c r="C993" s="5">
        <f t="shared" si="220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137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5">
        <v>187.5</v>
      </c>
      <c r="O993" s="6">
        <f t="shared" si="215"/>
        <v>-187.5</v>
      </c>
      <c r="P993" s="6">
        <f t="shared" si="218"/>
        <v>0</v>
      </c>
      <c r="Q993" s="7">
        <f t="shared" si="210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">
      <c r="A994" s="96" t="s">
        <v>927</v>
      </c>
      <c r="B994" s="5">
        <f t="shared" ref="B994:B1031" si="221">MONTH(A994)</f>
        <v>9</v>
      </c>
      <c r="C994" s="5">
        <f t="shared" ref="C994:C1031" si="222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13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7">
        <v>3784</v>
      </c>
      <c r="O994" s="6">
        <f>-N994</f>
        <v>-3784</v>
      </c>
      <c r="P994" s="6">
        <f t="shared" si="218"/>
        <v>0</v>
      </c>
      <c r="Q994" s="7">
        <f t="shared" si="210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1"/>
        <v>9</v>
      </c>
      <c r="C995" s="5">
        <f t="shared" si="222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13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5">
        <v>5742</v>
      </c>
      <c r="O995" s="6">
        <f>-4281.8-1460.2</f>
        <v>-5742</v>
      </c>
      <c r="P995" s="6">
        <f t="shared" si="218"/>
        <v>0</v>
      </c>
      <c r="Q995" s="7">
        <f t="shared" si="210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1"/>
        <v>9</v>
      </c>
      <c r="C996" s="5">
        <f t="shared" si="222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13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5">
        <v>3537.6000000000004</v>
      </c>
      <c r="O996" s="6">
        <f t="shared" ref="O996" si="223">-N996</f>
        <v>-3537.6000000000004</v>
      </c>
      <c r="P996" s="6">
        <f t="shared" si="218"/>
        <v>0</v>
      </c>
      <c r="Q996" s="7">
        <f t="shared" si="210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1"/>
        <v>9</v>
      </c>
      <c r="C997" s="5">
        <f t="shared" si="222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13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5">
        <v>1584</v>
      </c>
      <c r="O997" s="12">
        <f>-2.2-1581.8</f>
        <v>-1584</v>
      </c>
      <c r="P997" s="12">
        <f t="shared" si="218"/>
        <v>0</v>
      </c>
      <c r="Q997" s="7">
        <f t="shared" si="210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1"/>
        <v>9</v>
      </c>
      <c r="C998" s="5">
        <f t="shared" si="222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13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5">
        <v>250</v>
      </c>
      <c r="O998" s="6">
        <f t="shared" ref="O998:O999" si="224">-N998</f>
        <v>-250</v>
      </c>
      <c r="P998" s="6">
        <f t="shared" si="218"/>
        <v>0</v>
      </c>
      <c r="Q998" s="7">
        <f t="shared" si="210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1"/>
        <v>9</v>
      </c>
      <c r="C999" s="5">
        <f t="shared" si="222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13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5">
        <v>340</v>
      </c>
      <c r="O999" s="6">
        <f t="shared" si="224"/>
        <v>-340</v>
      </c>
      <c r="P999" s="6">
        <f t="shared" si="218"/>
        <v>0</v>
      </c>
      <c r="Q999" s="7">
        <f t="shared" si="210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1"/>
        <v>9</v>
      </c>
      <c r="C1000" s="5">
        <f t="shared" si="222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13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5">-N1000</f>
        <v>-340</v>
      </c>
      <c r="P1000" s="6">
        <f t="shared" si="218"/>
        <v>0</v>
      </c>
      <c r="Q1000" s="7">
        <f t="shared" si="210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1"/>
        <v>9</v>
      </c>
      <c r="C1001" s="5">
        <f t="shared" si="222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13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5"/>
        <v>-2112</v>
      </c>
      <c r="P1001" s="6">
        <f t="shared" si="218"/>
        <v>0</v>
      </c>
      <c r="Q1001" s="7">
        <f t="shared" si="210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1"/>
        <v>9</v>
      </c>
      <c r="C1002" s="5">
        <f t="shared" si="222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13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5">
        <v>1914</v>
      </c>
      <c r="O1002" s="6">
        <f t="shared" si="225"/>
        <v>-1914</v>
      </c>
      <c r="P1002" s="6">
        <f t="shared" si="218"/>
        <v>0</v>
      </c>
      <c r="Q1002" s="7">
        <f t="shared" si="210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1"/>
        <v>9</v>
      </c>
      <c r="C1003" s="5">
        <f t="shared" si="222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13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6">-N1003</f>
        <v>-1936</v>
      </c>
      <c r="P1003" s="6">
        <f t="shared" si="218"/>
        <v>0</v>
      </c>
      <c r="Q1003" s="7">
        <f t="shared" si="210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1"/>
        <v>9</v>
      </c>
      <c r="C1004" s="5">
        <f t="shared" si="222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13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6"/>
        <v>-90</v>
      </c>
      <c r="P1004" s="6">
        <f t="shared" si="218"/>
        <v>0</v>
      </c>
      <c r="Q1004" s="7">
        <f t="shared" si="210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1"/>
        <v>9</v>
      </c>
      <c r="C1005" s="5">
        <f t="shared" si="222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13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6"/>
        <v>-225</v>
      </c>
      <c r="P1005" s="6">
        <f t="shared" si="218"/>
        <v>0</v>
      </c>
      <c r="Q1005" s="7">
        <f t="shared" si="210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1"/>
        <v>9</v>
      </c>
      <c r="C1006" s="5">
        <f t="shared" si="222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13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10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1"/>
        <v>9</v>
      </c>
      <c r="C1007" s="5">
        <f t="shared" si="222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13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7">-N1007</f>
        <v>-2881</v>
      </c>
      <c r="P1007" s="6">
        <f t="shared" si="218"/>
        <v>0</v>
      </c>
      <c r="Q1007" s="7">
        <f t="shared" si="210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1"/>
        <v>9</v>
      </c>
      <c r="C1008" s="5">
        <f t="shared" si="222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13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7"/>
        <v>-1300</v>
      </c>
      <c r="P1008" s="6">
        <f t="shared" si="218"/>
        <v>0</v>
      </c>
      <c r="Q1008" s="7">
        <f t="shared" si="210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1"/>
        <v>9</v>
      </c>
      <c r="C1009" s="5">
        <f t="shared" si="222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13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7"/>
        <v>-250</v>
      </c>
      <c r="P1009" s="6">
        <f t="shared" si="218"/>
        <v>0</v>
      </c>
      <c r="Q1009" s="7">
        <f t="shared" si="210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1"/>
        <v>9</v>
      </c>
      <c r="C1010" s="5">
        <f t="shared" si="222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13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7"/>
        <v>-340</v>
      </c>
      <c r="P1010" s="6">
        <f t="shared" si="218"/>
        <v>0</v>
      </c>
      <c r="Q1010" s="7">
        <f t="shared" si="210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1"/>
        <v>9</v>
      </c>
      <c r="C1011" s="5">
        <f t="shared" si="222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8" t="s">
        <v>660</v>
      </c>
      <c r="H1011" s="13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7"/>
        <v>-1000</v>
      </c>
      <c r="P1011" s="6">
        <f t="shared" si="218"/>
        <v>0</v>
      </c>
      <c r="Q1011" s="7">
        <f t="shared" si="210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1"/>
        <v>9</v>
      </c>
      <c r="C1012" s="5">
        <f t="shared" si="222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13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7"/>
        <v>-7392</v>
      </c>
      <c r="P1012" s="6">
        <f t="shared" si="218"/>
        <v>0</v>
      </c>
      <c r="Q1012" s="7">
        <f t="shared" si="210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1"/>
        <v>9</v>
      </c>
      <c r="C1013" s="5">
        <f t="shared" si="222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13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7"/>
        <v>-2881</v>
      </c>
      <c r="P1013" s="6">
        <f t="shared" si="218"/>
        <v>0</v>
      </c>
      <c r="Q1013" s="7">
        <f t="shared" si="210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1"/>
        <v>9</v>
      </c>
      <c r="C1014" s="5">
        <f t="shared" si="222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13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7"/>
        <v>-1300</v>
      </c>
      <c r="P1014" s="6">
        <f t="shared" si="218"/>
        <v>0</v>
      </c>
      <c r="Q1014" s="7">
        <f t="shared" si="210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1"/>
        <v>9</v>
      </c>
      <c r="C1015" s="5">
        <f t="shared" si="222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13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7"/>
        <v>-250</v>
      </c>
      <c r="P1015" s="6">
        <f t="shared" si="218"/>
        <v>0</v>
      </c>
      <c r="Q1015" s="7">
        <f t="shared" si="210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1"/>
        <v>9</v>
      </c>
      <c r="C1016" s="5">
        <f t="shared" si="222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99" t="s">
        <v>936</v>
      </c>
      <c r="H1016" s="13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28">-N1016</f>
        <v>-1840</v>
      </c>
      <c r="P1016" s="6">
        <f t="shared" si="218"/>
        <v>0</v>
      </c>
      <c r="Q1016" s="7">
        <f t="shared" si="210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1"/>
        <v>9</v>
      </c>
      <c r="C1017" s="5">
        <f t="shared" si="222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99" t="s">
        <v>717</v>
      </c>
      <c r="H1017" s="13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28"/>
        <v>-1936</v>
      </c>
      <c r="P1017" s="6">
        <f t="shared" si="218"/>
        <v>0</v>
      </c>
      <c r="Q1017" s="7">
        <f t="shared" si="210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1"/>
        <v>9</v>
      </c>
      <c r="C1018" s="5">
        <f t="shared" si="222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8" t="s">
        <v>909</v>
      </c>
      <c r="H1018" s="13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28"/>
        <v>-1317.2</v>
      </c>
      <c r="P1018" s="6">
        <f t="shared" si="218"/>
        <v>0</v>
      </c>
      <c r="Q1018" s="7">
        <f t="shared" si="210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1"/>
        <v>9</v>
      </c>
      <c r="C1019" s="5">
        <f t="shared" si="222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8" t="s">
        <v>667</v>
      </c>
      <c r="H1019" s="13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28"/>
        <v>-90</v>
      </c>
      <c r="P1019" s="6">
        <f t="shared" si="218"/>
        <v>0</v>
      </c>
      <c r="Q1019" s="7">
        <f t="shared" si="210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1"/>
        <v>9</v>
      </c>
      <c r="C1020" s="5">
        <f t="shared" si="222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8" t="s">
        <v>64</v>
      </c>
      <c r="H1020" s="13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28"/>
        <v>-312.5</v>
      </c>
      <c r="P1020" s="6">
        <f t="shared" si="218"/>
        <v>0</v>
      </c>
      <c r="Q1020" s="7">
        <f t="shared" si="210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1"/>
        <v>9</v>
      </c>
      <c r="C1021" s="5">
        <f t="shared" si="222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13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29">-N1021</f>
        <v>-1936</v>
      </c>
      <c r="P1021" s="6">
        <f t="shared" si="218"/>
        <v>0</v>
      </c>
      <c r="Q1021" s="7">
        <f t="shared" si="210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1"/>
        <v>9</v>
      </c>
      <c r="C1022" s="5">
        <f t="shared" si="222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13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29"/>
        <v>-1192.5999999999999</v>
      </c>
      <c r="P1022" s="6">
        <f t="shared" si="218"/>
        <v>0</v>
      </c>
      <c r="Q1022" s="7">
        <f t="shared" si="210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1"/>
        <v>9</v>
      </c>
      <c r="C1023" s="5">
        <f t="shared" si="222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13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29"/>
        <v>-105</v>
      </c>
      <c r="P1023" s="6">
        <f t="shared" si="218"/>
        <v>0</v>
      </c>
      <c r="Q1023" s="7">
        <f t="shared" si="210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1"/>
        <v>9</v>
      </c>
      <c r="C1024" s="5">
        <f t="shared" si="222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13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29"/>
        <v>-312.5</v>
      </c>
      <c r="P1024" s="6">
        <f t="shared" si="218"/>
        <v>0</v>
      </c>
      <c r="Q1024" s="7">
        <f t="shared" si="210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1"/>
        <v>9</v>
      </c>
      <c r="C1025" s="5">
        <f t="shared" si="222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13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29"/>
        <v>-9130</v>
      </c>
      <c r="P1025" s="6">
        <f t="shared" si="218"/>
        <v>0</v>
      </c>
      <c r="Q1025" s="7">
        <f t="shared" si="210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1"/>
        <v>9</v>
      </c>
      <c r="C1026" s="5">
        <f t="shared" si="222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13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29"/>
        <v>-1260</v>
      </c>
      <c r="P1026" s="6">
        <f t="shared" si="218"/>
        <v>0</v>
      </c>
      <c r="Q1026" s="7">
        <f t="shared" si="210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1"/>
        <v>9</v>
      </c>
      <c r="C1027" s="5">
        <f t="shared" si="222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13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0">A1027+J1027</f>
        <v>44948</v>
      </c>
      <c r="L1027" s="5">
        <f t="shared" ref="L1027:L1090" si="231">MONTH(K1027)</f>
        <v>1</v>
      </c>
      <c r="M1027" s="5">
        <f t="shared" ref="M1027:M1090" si="232">YEAR(K1027)</f>
        <v>2023</v>
      </c>
      <c r="N1027" s="6">
        <v>287.5</v>
      </c>
      <c r="O1027" s="6">
        <f t="shared" si="229"/>
        <v>-287.5</v>
      </c>
      <c r="P1027" s="6">
        <f t="shared" si="218"/>
        <v>0</v>
      </c>
      <c r="Q1027" s="7">
        <f t="shared" si="210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1"/>
        <v>9</v>
      </c>
      <c r="C1028" s="5">
        <f t="shared" si="222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13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0"/>
        <v>44948</v>
      </c>
      <c r="L1028" s="5">
        <f t="shared" si="231"/>
        <v>1</v>
      </c>
      <c r="M1028" s="5">
        <f t="shared" si="232"/>
        <v>2023</v>
      </c>
      <c r="N1028" s="6">
        <v>440</v>
      </c>
      <c r="O1028" s="6">
        <f t="shared" si="229"/>
        <v>-440</v>
      </c>
      <c r="P1028" s="6">
        <f t="shared" si="218"/>
        <v>0</v>
      </c>
      <c r="Q1028" s="7">
        <f t="shared" si="210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1"/>
        <v>9</v>
      </c>
      <c r="C1029" s="5">
        <f t="shared" si="222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13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0"/>
        <v>44948</v>
      </c>
      <c r="L1029" s="5">
        <f t="shared" si="231"/>
        <v>1</v>
      </c>
      <c r="M1029" s="5">
        <f t="shared" si="232"/>
        <v>2023</v>
      </c>
      <c r="N1029" s="6">
        <v>420</v>
      </c>
      <c r="O1029" s="6">
        <f t="shared" si="229"/>
        <v>-420</v>
      </c>
      <c r="P1029" s="6">
        <f t="shared" si="218"/>
        <v>0</v>
      </c>
      <c r="Q1029" s="7">
        <f t="shared" si="210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1"/>
        <v>9</v>
      </c>
      <c r="C1030" s="5">
        <f t="shared" si="222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13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0"/>
        <v>44948</v>
      </c>
      <c r="L1030" s="5">
        <f t="shared" si="231"/>
        <v>1</v>
      </c>
      <c r="M1030" s="5">
        <f t="shared" si="232"/>
        <v>2023</v>
      </c>
      <c r="N1030" s="6">
        <v>220</v>
      </c>
      <c r="O1030" s="6">
        <f t="shared" si="229"/>
        <v>-220</v>
      </c>
      <c r="P1030" s="6">
        <f t="shared" si="218"/>
        <v>0</v>
      </c>
      <c r="Q1030" s="7">
        <f t="shared" si="210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1"/>
        <v>9</v>
      </c>
      <c r="C1031" s="5">
        <f t="shared" si="222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13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0"/>
        <v>44830</v>
      </c>
      <c r="L1031" s="5">
        <f t="shared" si="231"/>
        <v>9</v>
      </c>
      <c r="M1031" s="5">
        <f t="shared" si="232"/>
        <v>2022</v>
      </c>
      <c r="N1031" s="6">
        <v>1936</v>
      </c>
      <c r="O1031" s="6">
        <f t="shared" si="229"/>
        <v>-1936</v>
      </c>
      <c r="P1031" s="6">
        <f t="shared" ref="P1031:P1053" si="233">SUM(N1031+O1031)</f>
        <v>0</v>
      </c>
      <c r="Q1031" s="7">
        <f t="shared" si="210"/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4">MONTH(A1032)</f>
        <v>9</v>
      </c>
      <c r="C1032" s="5">
        <f t="shared" ref="C1032:C1035" si="235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13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0"/>
        <v>44830</v>
      </c>
      <c r="L1032" s="5">
        <f t="shared" si="231"/>
        <v>9</v>
      </c>
      <c r="M1032" s="5">
        <f t="shared" si="232"/>
        <v>2022</v>
      </c>
      <c r="N1032" s="6">
        <v>658.6</v>
      </c>
      <c r="O1032" s="6">
        <f t="shared" si="229"/>
        <v>-658.6</v>
      </c>
      <c r="P1032" s="6">
        <f t="shared" si="233"/>
        <v>0</v>
      </c>
      <c r="Q1032" s="7">
        <f t="shared" si="210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4"/>
        <v>9</v>
      </c>
      <c r="C1033" s="5">
        <f t="shared" si="235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13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0"/>
        <v>44830</v>
      </c>
      <c r="L1033" s="5">
        <f t="shared" si="231"/>
        <v>9</v>
      </c>
      <c r="M1033" s="5">
        <f t="shared" si="232"/>
        <v>2022</v>
      </c>
      <c r="N1033" s="6">
        <v>100</v>
      </c>
      <c r="O1033" s="6">
        <f t="shared" si="229"/>
        <v>-100</v>
      </c>
      <c r="P1033" s="6">
        <f t="shared" si="233"/>
        <v>0</v>
      </c>
      <c r="Q1033" s="7">
        <f t="shared" si="210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4"/>
        <v>9</v>
      </c>
      <c r="C1034" s="5">
        <f t="shared" si="235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13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0"/>
        <v>44830</v>
      </c>
      <c r="L1034" s="5">
        <f t="shared" si="231"/>
        <v>9</v>
      </c>
      <c r="M1034" s="5">
        <f t="shared" si="232"/>
        <v>2022</v>
      </c>
      <c r="N1034" s="6">
        <v>625</v>
      </c>
      <c r="O1034" s="6">
        <f t="shared" si="229"/>
        <v>-625</v>
      </c>
      <c r="P1034" s="6">
        <f t="shared" si="233"/>
        <v>0</v>
      </c>
      <c r="Q1034" s="7">
        <f t="shared" si="210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4"/>
        <v>9</v>
      </c>
      <c r="C1035" s="5">
        <f t="shared" si="235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13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0"/>
        <v>44830</v>
      </c>
      <c r="L1035" s="5">
        <f t="shared" si="231"/>
        <v>9</v>
      </c>
      <c r="M1035" s="5">
        <f t="shared" si="232"/>
        <v>2022</v>
      </c>
      <c r="N1035" s="6">
        <v>276</v>
      </c>
      <c r="O1035" s="6">
        <f t="shared" si="229"/>
        <v>-276</v>
      </c>
      <c r="P1035" s="6">
        <f t="shared" si="233"/>
        <v>0</v>
      </c>
      <c r="Q1035" s="7">
        <f t="shared" si="210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6">MONTH(A1036)</f>
        <v>9</v>
      </c>
      <c r="C1036" s="5">
        <f t="shared" ref="C1036:C1042" si="237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13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0"/>
        <v>44830</v>
      </c>
      <c r="L1036" s="5">
        <f t="shared" si="231"/>
        <v>9</v>
      </c>
      <c r="M1036" s="5">
        <f t="shared" si="232"/>
        <v>2022</v>
      </c>
      <c r="N1036" s="6">
        <v>2024</v>
      </c>
      <c r="O1036" s="6">
        <f t="shared" ref="O1036:O1050" si="238">-N1036</f>
        <v>-2024</v>
      </c>
      <c r="P1036" s="6">
        <f t="shared" si="233"/>
        <v>0</v>
      </c>
      <c r="Q1036" s="7">
        <f t="shared" si="210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6"/>
        <v>9</v>
      </c>
      <c r="C1037" s="5">
        <f t="shared" si="237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13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0"/>
        <v>44830</v>
      </c>
      <c r="L1037" s="5">
        <f t="shared" si="231"/>
        <v>9</v>
      </c>
      <c r="M1037" s="5">
        <f t="shared" si="232"/>
        <v>2022</v>
      </c>
      <c r="N1037" s="6">
        <v>629.79999999999995</v>
      </c>
      <c r="O1037" s="6">
        <f t="shared" si="238"/>
        <v>-629.79999999999995</v>
      </c>
      <c r="P1037" s="6">
        <f t="shared" si="233"/>
        <v>0</v>
      </c>
      <c r="Q1037" s="7">
        <f t="shared" si="210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6"/>
        <v>9</v>
      </c>
      <c r="C1038" s="5">
        <f t="shared" si="237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13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0"/>
        <v>44830</v>
      </c>
      <c r="L1038" s="5">
        <f t="shared" si="231"/>
        <v>9</v>
      </c>
      <c r="M1038" s="5">
        <f t="shared" si="232"/>
        <v>2022</v>
      </c>
      <c r="N1038" s="6">
        <v>315</v>
      </c>
      <c r="O1038" s="6">
        <f t="shared" si="238"/>
        <v>-315</v>
      </c>
      <c r="P1038" s="6">
        <f t="shared" si="233"/>
        <v>0</v>
      </c>
      <c r="Q1038" s="7">
        <f t="shared" si="210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6"/>
        <v>9</v>
      </c>
      <c r="C1039" s="5">
        <f t="shared" si="237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13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0"/>
        <v>44830</v>
      </c>
      <c r="L1039" s="5">
        <f t="shared" si="231"/>
        <v>9</v>
      </c>
      <c r="M1039" s="5">
        <f t="shared" si="232"/>
        <v>2022</v>
      </c>
      <c r="N1039" s="6">
        <v>105</v>
      </c>
      <c r="O1039" s="6">
        <f t="shared" si="238"/>
        <v>-105</v>
      </c>
      <c r="P1039" s="6">
        <f t="shared" si="233"/>
        <v>0</v>
      </c>
      <c r="Q1039" s="7">
        <f t="shared" si="210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6"/>
        <v>9</v>
      </c>
      <c r="C1040" s="5">
        <f t="shared" si="237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13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0"/>
        <v>44830</v>
      </c>
      <c r="L1040" s="5">
        <f t="shared" si="231"/>
        <v>9</v>
      </c>
      <c r="M1040" s="5">
        <f t="shared" si="232"/>
        <v>2022</v>
      </c>
      <c r="N1040" s="6">
        <v>285</v>
      </c>
      <c r="O1040" s="6">
        <f t="shared" si="238"/>
        <v>-285</v>
      </c>
      <c r="P1040" s="6">
        <f t="shared" si="233"/>
        <v>0</v>
      </c>
      <c r="Q1040" s="7">
        <f t="shared" si="210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6"/>
        <v>9</v>
      </c>
      <c r="C1041" s="5">
        <f t="shared" si="237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13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0"/>
        <v>44830</v>
      </c>
      <c r="L1041" s="5">
        <f t="shared" si="231"/>
        <v>9</v>
      </c>
      <c r="M1041" s="5">
        <f t="shared" si="232"/>
        <v>2022</v>
      </c>
      <c r="N1041" s="6">
        <v>450</v>
      </c>
      <c r="O1041" s="6">
        <f t="shared" si="238"/>
        <v>-450</v>
      </c>
      <c r="P1041" s="6">
        <f t="shared" si="233"/>
        <v>0</v>
      </c>
      <c r="Q1041" s="7">
        <f t="shared" si="210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6"/>
        <v>9</v>
      </c>
      <c r="C1042" s="5">
        <f t="shared" si="237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13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0"/>
        <v>44832</v>
      </c>
      <c r="L1042" s="5">
        <f t="shared" si="231"/>
        <v>9</v>
      </c>
      <c r="M1042" s="5">
        <f t="shared" si="232"/>
        <v>2022</v>
      </c>
      <c r="N1042" s="6">
        <v>6006</v>
      </c>
      <c r="O1042" s="6">
        <f t="shared" si="238"/>
        <v>-6006</v>
      </c>
      <c r="P1042" s="6">
        <f t="shared" si="233"/>
        <v>0</v>
      </c>
      <c r="Q1042" s="7">
        <f t="shared" ref="Q1042:Q1105" si="239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0">MONTH(A1043)</f>
        <v>9</v>
      </c>
      <c r="C1043" s="5">
        <f t="shared" ref="C1043:C1054" si="241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13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0"/>
        <v>44832</v>
      </c>
      <c r="L1043" s="5">
        <f t="shared" si="231"/>
        <v>9</v>
      </c>
      <c r="M1043" s="5">
        <f t="shared" si="232"/>
        <v>2022</v>
      </c>
      <c r="N1043" s="6">
        <v>1259.5999999999999</v>
      </c>
      <c r="O1043" s="6">
        <f t="shared" si="238"/>
        <v>-1259.5999999999999</v>
      </c>
      <c r="P1043" s="6">
        <f t="shared" si="233"/>
        <v>0</v>
      </c>
      <c r="Q1043" s="7">
        <f t="shared" si="239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0"/>
        <v>9</v>
      </c>
      <c r="C1044" s="5">
        <f t="shared" si="241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13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0"/>
        <v>44832</v>
      </c>
      <c r="L1044" s="5">
        <f t="shared" si="231"/>
        <v>9</v>
      </c>
      <c r="M1044" s="5">
        <f t="shared" si="232"/>
        <v>2022</v>
      </c>
      <c r="N1044" s="6">
        <v>1015.2</v>
      </c>
      <c r="O1044" s="6">
        <f t="shared" si="238"/>
        <v>-1015.2</v>
      </c>
      <c r="P1044" s="6">
        <f t="shared" si="233"/>
        <v>0</v>
      </c>
      <c r="Q1044" s="7">
        <f t="shared" si="239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0"/>
        <v>9</v>
      </c>
      <c r="C1045" s="5">
        <f t="shared" si="241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13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0"/>
        <v>44832</v>
      </c>
      <c r="L1045" s="5">
        <f t="shared" si="231"/>
        <v>9</v>
      </c>
      <c r="M1045" s="5">
        <f t="shared" si="232"/>
        <v>2022</v>
      </c>
      <c r="N1045" s="6">
        <v>630</v>
      </c>
      <c r="O1045" s="6">
        <f t="shared" si="238"/>
        <v>-630</v>
      </c>
      <c r="P1045" s="6">
        <f t="shared" si="233"/>
        <v>0</v>
      </c>
      <c r="Q1045" s="7">
        <f t="shared" si="239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0"/>
        <v>9</v>
      </c>
      <c r="C1046" s="5">
        <f t="shared" si="241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13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0"/>
        <v>44832</v>
      </c>
      <c r="L1046" s="5">
        <f t="shared" si="231"/>
        <v>9</v>
      </c>
      <c r="M1046" s="5">
        <f t="shared" si="232"/>
        <v>2022</v>
      </c>
      <c r="N1046" s="6">
        <v>640</v>
      </c>
      <c r="O1046" s="6">
        <f t="shared" si="238"/>
        <v>-640</v>
      </c>
      <c r="P1046" s="6">
        <f t="shared" si="233"/>
        <v>0</v>
      </c>
      <c r="Q1046" s="7">
        <f t="shared" si="239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0"/>
        <v>9</v>
      </c>
      <c r="C1047" s="5">
        <f t="shared" si="241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13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0"/>
        <v>44832</v>
      </c>
      <c r="L1047" s="5">
        <f t="shared" si="231"/>
        <v>9</v>
      </c>
      <c r="M1047" s="5">
        <f t="shared" si="232"/>
        <v>2022</v>
      </c>
      <c r="N1047" s="6">
        <v>90</v>
      </c>
      <c r="O1047" s="6">
        <f t="shared" si="238"/>
        <v>-90</v>
      </c>
      <c r="P1047" s="6">
        <f t="shared" si="233"/>
        <v>0</v>
      </c>
      <c r="Q1047" s="7">
        <f t="shared" si="239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0"/>
        <v>9</v>
      </c>
      <c r="C1048" s="5">
        <f t="shared" si="241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13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0"/>
        <v>44832</v>
      </c>
      <c r="L1048" s="5">
        <f t="shared" si="231"/>
        <v>9</v>
      </c>
      <c r="M1048" s="5">
        <f t="shared" si="232"/>
        <v>2022</v>
      </c>
      <c r="N1048" s="6">
        <v>170</v>
      </c>
      <c r="O1048" s="6">
        <f t="shared" si="238"/>
        <v>-170</v>
      </c>
      <c r="P1048" s="6">
        <f t="shared" si="233"/>
        <v>0</v>
      </c>
      <c r="Q1048" s="7">
        <f t="shared" si="239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0"/>
        <v>9</v>
      </c>
      <c r="C1049" s="5">
        <f t="shared" si="241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13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L1049" s="5">
        <f t="shared" si="231"/>
        <v>9</v>
      </c>
      <c r="M1049" s="5">
        <f t="shared" si="232"/>
        <v>2022</v>
      </c>
      <c r="N1049" s="6">
        <v>440</v>
      </c>
      <c r="O1049" s="6">
        <f t="shared" si="238"/>
        <v>-440</v>
      </c>
      <c r="P1049" s="6">
        <f t="shared" si="233"/>
        <v>0</v>
      </c>
      <c r="Q1049" s="7">
        <f t="shared" si="239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0"/>
        <v>9</v>
      </c>
      <c r="C1050" s="5">
        <f t="shared" si="241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13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0"/>
        <v>44832</v>
      </c>
      <c r="L1050" s="5">
        <f t="shared" si="231"/>
        <v>9</v>
      </c>
      <c r="M1050" s="5">
        <f t="shared" si="232"/>
        <v>2022</v>
      </c>
      <c r="N1050" s="6">
        <v>1016</v>
      </c>
      <c r="O1050" s="6">
        <f t="shared" si="238"/>
        <v>-1016</v>
      </c>
      <c r="P1050" s="6">
        <f t="shared" si="233"/>
        <v>0</v>
      </c>
      <c r="Q1050" s="7">
        <f t="shared" si="239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0"/>
        <v>9</v>
      </c>
      <c r="C1051" s="5">
        <f t="shared" si="241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13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0"/>
        <v>44832</v>
      </c>
      <c r="L1051" s="5">
        <f t="shared" si="231"/>
        <v>9</v>
      </c>
      <c r="M1051" s="5">
        <f t="shared" si="232"/>
        <v>2022</v>
      </c>
      <c r="N1051" s="6">
        <v>1848</v>
      </c>
      <c r="O1051" s="6">
        <f t="shared" ref="O1051:O1058" si="242">-N1051</f>
        <v>-1848</v>
      </c>
      <c r="P1051" s="6">
        <f t="shared" si="233"/>
        <v>0</v>
      </c>
      <c r="Q1051" s="7">
        <f t="shared" si="239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0"/>
        <v>9</v>
      </c>
      <c r="C1052" s="5">
        <f t="shared" si="241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13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0"/>
        <v>44832</v>
      </c>
      <c r="L1052" s="5">
        <f t="shared" si="231"/>
        <v>9</v>
      </c>
      <c r="M1052" s="5">
        <f t="shared" si="232"/>
        <v>2022</v>
      </c>
      <c r="N1052" s="6">
        <v>85</v>
      </c>
      <c r="O1052" s="6">
        <f t="shared" si="242"/>
        <v>-85</v>
      </c>
      <c r="P1052" s="6">
        <f t="shared" si="233"/>
        <v>0</v>
      </c>
      <c r="Q1052" s="7">
        <f t="shared" si="239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0"/>
        <v>9</v>
      </c>
      <c r="C1053" s="5">
        <f t="shared" si="241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13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0"/>
        <v>44832</v>
      </c>
      <c r="L1053" s="5">
        <f t="shared" si="231"/>
        <v>9</v>
      </c>
      <c r="M1053" s="5">
        <f t="shared" si="232"/>
        <v>2022</v>
      </c>
      <c r="N1053" s="6">
        <v>62.5</v>
      </c>
      <c r="O1053" s="6">
        <f t="shared" si="242"/>
        <v>-62.5</v>
      </c>
      <c r="P1053" s="6">
        <f t="shared" si="233"/>
        <v>0</v>
      </c>
      <c r="Q1053" s="7">
        <f t="shared" si="239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0"/>
        <v>10</v>
      </c>
      <c r="C1054" s="5">
        <f t="shared" si="241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13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0"/>
        <v>44955</v>
      </c>
      <c r="L1054" s="5">
        <f t="shared" si="231"/>
        <v>1</v>
      </c>
      <c r="M1054" s="5">
        <f t="shared" si="232"/>
        <v>2023</v>
      </c>
      <c r="N1054" s="6">
        <v>9130</v>
      </c>
      <c r="O1054" s="6">
        <f t="shared" si="242"/>
        <v>-9130</v>
      </c>
      <c r="P1054" s="6">
        <f t="shared" ref="P1054:P1079" si="243">SUM(N1054+O1054)</f>
        <v>0</v>
      </c>
      <c r="Q1054" s="7">
        <f t="shared" si="239"/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4">MONTH(A1055)</f>
        <v>10</v>
      </c>
      <c r="C1055" s="5">
        <f t="shared" ref="C1055:C1079" si="245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13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0"/>
        <v>44955</v>
      </c>
      <c r="L1055" s="5">
        <f t="shared" si="231"/>
        <v>1</v>
      </c>
      <c r="M1055" s="5">
        <f t="shared" si="232"/>
        <v>2023</v>
      </c>
      <c r="N1055" s="6">
        <v>2520</v>
      </c>
      <c r="O1055" s="6">
        <f t="shared" si="242"/>
        <v>-2520</v>
      </c>
      <c r="P1055" s="6">
        <f t="shared" si="243"/>
        <v>0</v>
      </c>
      <c r="Q1055" s="7">
        <f t="shared" si="239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4"/>
        <v>10</v>
      </c>
      <c r="C1056" s="5">
        <f t="shared" si="245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13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0"/>
        <v>44955</v>
      </c>
      <c r="L1056" s="5">
        <f t="shared" si="231"/>
        <v>1</v>
      </c>
      <c r="M1056" s="5">
        <f t="shared" si="232"/>
        <v>2023</v>
      </c>
      <c r="N1056" s="6">
        <v>575</v>
      </c>
      <c r="O1056" s="6">
        <f t="shared" si="242"/>
        <v>-575</v>
      </c>
      <c r="P1056" s="6">
        <f t="shared" si="243"/>
        <v>0</v>
      </c>
      <c r="Q1056" s="7">
        <f t="shared" si="239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4"/>
        <v>10</v>
      </c>
      <c r="C1057" s="5">
        <f t="shared" si="245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13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0"/>
        <v>44955</v>
      </c>
      <c r="L1057" s="5">
        <f t="shared" si="231"/>
        <v>1</v>
      </c>
      <c r="M1057" s="5">
        <f t="shared" si="232"/>
        <v>2023</v>
      </c>
      <c r="N1057" s="6">
        <v>420</v>
      </c>
      <c r="O1057" s="6">
        <f t="shared" si="242"/>
        <v>-420</v>
      </c>
      <c r="P1057" s="6">
        <f t="shared" si="243"/>
        <v>0</v>
      </c>
      <c r="Q1057" s="7">
        <f t="shared" si="239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4"/>
        <v>10</v>
      </c>
      <c r="C1058" s="5">
        <f t="shared" si="245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13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0"/>
        <v>44955</v>
      </c>
      <c r="L1058" s="5">
        <f t="shared" si="231"/>
        <v>1</v>
      </c>
      <c r="M1058" s="5">
        <f t="shared" si="232"/>
        <v>2023</v>
      </c>
      <c r="N1058" s="6">
        <v>420</v>
      </c>
      <c r="O1058" s="6">
        <f t="shared" si="242"/>
        <v>-420</v>
      </c>
      <c r="P1058" s="6">
        <f t="shared" si="243"/>
        <v>0</v>
      </c>
      <c r="Q1058" s="7">
        <f t="shared" si="239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4"/>
        <v>10</v>
      </c>
      <c r="C1059" s="5">
        <f t="shared" si="245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13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0"/>
        <v>44837</v>
      </c>
      <c r="L1059" s="5">
        <f t="shared" si="231"/>
        <v>10</v>
      </c>
      <c r="M1059" s="5">
        <f t="shared" si="232"/>
        <v>2022</v>
      </c>
      <c r="N1059" s="6">
        <v>27060</v>
      </c>
      <c r="O1059" s="6">
        <f>-928.2-9700-11000-5431.8</f>
        <v>-27060</v>
      </c>
      <c r="P1059" s="6">
        <f t="shared" si="243"/>
        <v>0</v>
      </c>
      <c r="Q1059" s="7">
        <f t="shared" si="239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4"/>
        <v>10</v>
      </c>
      <c r="C1060" s="5">
        <f t="shared" si="245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13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0"/>
        <v>44837</v>
      </c>
      <c r="L1060" s="5">
        <f t="shared" si="231"/>
        <v>10</v>
      </c>
      <c r="M1060" s="5">
        <f t="shared" si="232"/>
        <v>2022</v>
      </c>
      <c r="N1060" s="6">
        <v>11340</v>
      </c>
      <c r="O1060" s="6">
        <f>-4068.2-6000-1271.8</f>
        <v>-11340</v>
      </c>
      <c r="P1060" s="6">
        <f t="shared" si="243"/>
        <v>0</v>
      </c>
      <c r="Q1060" s="7">
        <f t="shared" si="239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4"/>
        <v>10</v>
      </c>
      <c r="C1061" s="5">
        <f t="shared" si="245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13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0"/>
        <v>44837</v>
      </c>
      <c r="L1061" s="5">
        <f t="shared" si="231"/>
        <v>10</v>
      </c>
      <c r="M1061" s="5">
        <f t="shared" si="232"/>
        <v>2022</v>
      </c>
      <c r="N1061" s="6">
        <v>6435</v>
      </c>
      <c r="O1061" s="6">
        <f t="shared" ref="O1061:O1064" si="246">-N1061</f>
        <v>-6435</v>
      </c>
      <c r="P1061" s="6">
        <f t="shared" si="243"/>
        <v>0</v>
      </c>
      <c r="Q1061" s="7">
        <f t="shared" si="239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4"/>
        <v>10</v>
      </c>
      <c r="C1062" s="5">
        <f t="shared" si="245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13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0"/>
        <v>44837</v>
      </c>
      <c r="L1062" s="5">
        <f t="shared" si="231"/>
        <v>10</v>
      </c>
      <c r="M1062" s="5">
        <f t="shared" si="232"/>
        <v>2022</v>
      </c>
      <c r="N1062" s="6">
        <v>937.5</v>
      </c>
      <c r="O1062" s="6">
        <f t="shared" si="246"/>
        <v>-937.5</v>
      </c>
      <c r="P1062" s="6">
        <f t="shared" si="243"/>
        <v>0</v>
      </c>
      <c r="Q1062" s="7">
        <f t="shared" si="239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4"/>
        <v>10</v>
      </c>
      <c r="C1063" s="5">
        <f t="shared" si="245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13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0"/>
        <v>44837</v>
      </c>
      <c r="L1063" s="5">
        <f t="shared" si="231"/>
        <v>10</v>
      </c>
      <c r="M1063" s="5">
        <f t="shared" si="232"/>
        <v>2022</v>
      </c>
      <c r="N1063" s="6">
        <v>2000</v>
      </c>
      <c r="O1063" s="6">
        <f t="shared" si="246"/>
        <v>-2000</v>
      </c>
      <c r="P1063" s="6">
        <f t="shared" si="243"/>
        <v>0</v>
      </c>
      <c r="Q1063" s="7">
        <f t="shared" si="239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4"/>
        <v>10</v>
      </c>
      <c r="C1064" s="5">
        <f t="shared" si="245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13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0"/>
        <v>44837</v>
      </c>
      <c r="L1064" s="5">
        <f t="shared" si="231"/>
        <v>10</v>
      </c>
      <c r="M1064" s="5">
        <f t="shared" si="232"/>
        <v>2022</v>
      </c>
      <c r="N1064" s="6">
        <v>400</v>
      </c>
      <c r="O1064" s="6">
        <f t="shared" si="246"/>
        <v>-400</v>
      </c>
      <c r="P1064" s="6">
        <f t="shared" si="243"/>
        <v>0</v>
      </c>
      <c r="Q1064" s="7">
        <f t="shared" si="239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4"/>
        <v>10</v>
      </c>
      <c r="C1065" s="5">
        <f t="shared" si="245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13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0"/>
        <v>44835</v>
      </c>
      <c r="L1065" s="5">
        <f t="shared" si="231"/>
        <v>10</v>
      </c>
      <c r="M1065" s="5">
        <f t="shared" si="232"/>
        <v>2022</v>
      </c>
      <c r="N1065" s="6">
        <v>1936</v>
      </c>
      <c r="O1065" s="6">
        <f t="shared" ref="O1065:O1068" si="247">-N1065</f>
        <v>-1936</v>
      </c>
      <c r="P1065" s="6">
        <f t="shared" si="243"/>
        <v>0</v>
      </c>
      <c r="Q1065" s="7">
        <f t="shared" si="239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4"/>
        <v>10</v>
      </c>
      <c r="C1066" s="5">
        <f t="shared" si="245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13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0"/>
        <v>44835</v>
      </c>
      <c r="L1066" s="5">
        <f t="shared" si="231"/>
        <v>10</v>
      </c>
      <c r="M1066" s="5">
        <f t="shared" si="232"/>
        <v>2022</v>
      </c>
      <c r="N1066" s="6">
        <v>100</v>
      </c>
      <c r="O1066" s="6">
        <f t="shared" si="247"/>
        <v>-100</v>
      </c>
      <c r="P1066" s="6">
        <f t="shared" si="243"/>
        <v>0</v>
      </c>
      <c r="Q1066" s="7">
        <f t="shared" si="239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4"/>
        <v>10</v>
      </c>
      <c r="C1067" s="5">
        <f t="shared" si="245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13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0"/>
        <v>44835</v>
      </c>
      <c r="L1067" s="5">
        <f t="shared" si="231"/>
        <v>10</v>
      </c>
      <c r="M1067" s="5">
        <f t="shared" si="232"/>
        <v>2022</v>
      </c>
      <c r="N1067" s="6">
        <v>312.5</v>
      </c>
      <c r="O1067" s="6">
        <f t="shared" si="247"/>
        <v>-312.5</v>
      </c>
      <c r="P1067" s="6">
        <f t="shared" si="243"/>
        <v>0</v>
      </c>
      <c r="Q1067" s="7">
        <f t="shared" si="239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4"/>
        <v>10</v>
      </c>
      <c r="C1068" s="5">
        <f t="shared" si="245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13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0"/>
        <v>44835</v>
      </c>
      <c r="L1068" s="5">
        <f t="shared" si="231"/>
        <v>10</v>
      </c>
      <c r="M1068" s="5">
        <f t="shared" si="232"/>
        <v>2022</v>
      </c>
      <c r="N1068" s="6">
        <v>288</v>
      </c>
      <c r="O1068" s="6">
        <f t="shared" si="247"/>
        <v>-288</v>
      </c>
      <c r="P1068" s="6">
        <f t="shared" si="243"/>
        <v>0</v>
      </c>
      <c r="Q1068" s="7">
        <f t="shared" si="239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4"/>
        <v>10</v>
      </c>
      <c r="C1069" s="5">
        <f t="shared" si="245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13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0"/>
        <v>44881</v>
      </c>
      <c r="L1069" s="5">
        <f t="shared" si="231"/>
        <v>11</v>
      </c>
      <c r="M1069" s="5">
        <f t="shared" si="232"/>
        <v>2022</v>
      </c>
      <c r="N1069" s="6">
        <v>2024</v>
      </c>
      <c r="O1069" s="6">
        <f>-1800-224</f>
        <v>-2024</v>
      </c>
      <c r="P1069" s="6">
        <f t="shared" si="243"/>
        <v>0</v>
      </c>
      <c r="Q1069" s="7">
        <f t="shared" si="239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4"/>
        <v>10</v>
      </c>
      <c r="C1070" s="5">
        <f t="shared" si="245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13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0"/>
        <v>44881</v>
      </c>
      <c r="L1070" s="5">
        <f t="shared" si="231"/>
        <v>11</v>
      </c>
      <c r="M1070" s="5">
        <f t="shared" si="232"/>
        <v>2022</v>
      </c>
      <c r="N1070" s="6">
        <v>195</v>
      </c>
      <c r="O1070" s="6">
        <f>-N1070</f>
        <v>-195</v>
      </c>
      <c r="P1070" s="6">
        <f t="shared" si="243"/>
        <v>0</v>
      </c>
      <c r="Q1070" s="7">
        <f t="shared" si="239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4"/>
        <v>10</v>
      </c>
      <c r="C1071" s="5">
        <f t="shared" si="245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13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0"/>
        <v>44881</v>
      </c>
      <c r="L1071" s="5">
        <f t="shared" si="231"/>
        <v>11</v>
      </c>
      <c r="M1071" s="5">
        <f t="shared" si="232"/>
        <v>2022</v>
      </c>
      <c r="N1071" s="6">
        <v>630</v>
      </c>
      <c r="O1071" s="6">
        <f>-N1071</f>
        <v>-630</v>
      </c>
      <c r="P1071" s="6">
        <f t="shared" si="243"/>
        <v>0</v>
      </c>
      <c r="Q1071" s="7">
        <f t="shared" si="239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4"/>
        <v>10</v>
      </c>
      <c r="C1072" s="5">
        <f t="shared" si="245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13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0"/>
        <v>44881</v>
      </c>
      <c r="L1072" s="5">
        <f t="shared" si="231"/>
        <v>11</v>
      </c>
      <c r="M1072" s="5">
        <f t="shared" si="232"/>
        <v>2022</v>
      </c>
      <c r="N1072" s="6">
        <v>4048</v>
      </c>
      <c r="O1072" s="6">
        <f>-751-1800-1497</f>
        <v>-4048</v>
      </c>
      <c r="P1072" s="6">
        <f t="shared" si="243"/>
        <v>0</v>
      </c>
      <c r="Q1072" s="7">
        <f t="shared" si="239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4"/>
        <v>10</v>
      </c>
      <c r="C1073" s="5">
        <f t="shared" si="245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13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0"/>
        <v>44845</v>
      </c>
      <c r="L1073" s="5">
        <f t="shared" si="231"/>
        <v>10</v>
      </c>
      <c r="M1073" s="5">
        <f t="shared" si="232"/>
        <v>2022</v>
      </c>
      <c r="N1073" s="6">
        <v>1958</v>
      </c>
      <c r="O1073" s="6">
        <f>-N1073</f>
        <v>-1958</v>
      </c>
      <c r="P1073" s="6">
        <f t="shared" si="243"/>
        <v>0</v>
      </c>
      <c r="Q1073" s="7">
        <f t="shared" si="239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4"/>
        <v>10</v>
      </c>
      <c r="C1074" s="5">
        <f t="shared" si="245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13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0"/>
        <v>44845</v>
      </c>
      <c r="L1074" s="5">
        <f t="shared" si="231"/>
        <v>10</v>
      </c>
      <c r="M1074" s="5">
        <f t="shared" si="232"/>
        <v>2022</v>
      </c>
      <c r="N1074" s="6">
        <v>279</v>
      </c>
      <c r="O1074" s="6">
        <f>-N1074</f>
        <v>-279</v>
      </c>
      <c r="P1074" s="6">
        <f t="shared" si="243"/>
        <v>0</v>
      </c>
      <c r="Q1074" s="7">
        <f t="shared" si="239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4"/>
        <v>10</v>
      </c>
      <c r="C1075" s="5">
        <f t="shared" si="245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13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0"/>
        <v>44845</v>
      </c>
      <c r="L1075" s="5">
        <f t="shared" si="231"/>
        <v>10</v>
      </c>
      <c r="M1075" s="5">
        <f t="shared" si="232"/>
        <v>2022</v>
      </c>
      <c r="N1075" s="6">
        <v>1936</v>
      </c>
      <c r="O1075" s="6">
        <f t="shared" ref="O1075:O1076" si="248">-N1075</f>
        <v>-1936</v>
      </c>
      <c r="P1075" s="6">
        <f t="shared" si="243"/>
        <v>0</v>
      </c>
      <c r="Q1075" s="7">
        <f t="shared" si="239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4"/>
        <v>10</v>
      </c>
      <c r="C1076" s="5">
        <f t="shared" si="245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13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0"/>
        <v>44845</v>
      </c>
      <c r="L1076" s="5">
        <f t="shared" si="231"/>
        <v>10</v>
      </c>
      <c r="M1076" s="5">
        <f t="shared" si="232"/>
        <v>2022</v>
      </c>
      <c r="N1076" s="6">
        <v>596.29999999999995</v>
      </c>
      <c r="O1076" s="6">
        <f t="shared" si="248"/>
        <v>-596.29999999999995</v>
      </c>
      <c r="P1076" s="6">
        <f t="shared" si="243"/>
        <v>0</v>
      </c>
      <c r="Q1076" s="7">
        <f t="shared" si="239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4"/>
        <v>10</v>
      </c>
      <c r="C1077" s="5">
        <f t="shared" si="245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13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0"/>
        <v>44845</v>
      </c>
      <c r="L1077" s="5">
        <f t="shared" si="231"/>
        <v>10</v>
      </c>
      <c r="M1077" s="5">
        <f t="shared" si="232"/>
        <v>2022</v>
      </c>
      <c r="N1077" s="6">
        <v>50</v>
      </c>
      <c r="O1077" s="6">
        <f t="shared" ref="O1077" si="249">-N1077</f>
        <v>-50</v>
      </c>
      <c r="P1077" s="6">
        <f t="shared" si="243"/>
        <v>0</v>
      </c>
      <c r="Q1077" s="7">
        <f t="shared" si="239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4"/>
        <v>10</v>
      </c>
      <c r="C1078" s="5">
        <f t="shared" si="245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13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0"/>
        <v>44845</v>
      </c>
      <c r="L1078" s="5">
        <f t="shared" si="231"/>
        <v>10</v>
      </c>
      <c r="M1078" s="5">
        <f t="shared" si="232"/>
        <v>2022</v>
      </c>
      <c r="N1078" s="6">
        <v>105</v>
      </c>
      <c r="O1078" s="6">
        <f t="shared" ref="O1078" si="250">-N1078</f>
        <v>-105</v>
      </c>
      <c r="P1078" s="6">
        <f t="shared" si="243"/>
        <v>0</v>
      </c>
      <c r="Q1078" s="7">
        <f t="shared" si="239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4"/>
        <v>10</v>
      </c>
      <c r="C1079" s="5">
        <f t="shared" si="245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13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0"/>
        <v>44845</v>
      </c>
      <c r="L1079" s="5">
        <f t="shared" si="231"/>
        <v>10</v>
      </c>
      <c r="M1079" s="5">
        <f t="shared" si="232"/>
        <v>2022</v>
      </c>
      <c r="N1079" s="6">
        <v>450</v>
      </c>
      <c r="O1079" s="6">
        <f t="shared" ref="O1079:O1086" si="251">-N1079</f>
        <v>-450</v>
      </c>
      <c r="P1079" s="6">
        <f t="shared" si="243"/>
        <v>0</v>
      </c>
      <c r="Q1079" s="7">
        <f t="shared" si="239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2">MONTH(A1080)</f>
        <v>10</v>
      </c>
      <c r="C1080" s="5">
        <f t="shared" ref="C1080:C1132" si="253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13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0"/>
        <v>44847</v>
      </c>
      <c r="L1080" s="5">
        <f t="shared" si="231"/>
        <v>10</v>
      </c>
      <c r="M1080" s="5">
        <f t="shared" si="232"/>
        <v>2022</v>
      </c>
      <c r="N1080" s="6">
        <v>5412</v>
      </c>
      <c r="O1080" s="6">
        <f t="shared" si="251"/>
        <v>-5412</v>
      </c>
      <c r="P1080" s="6">
        <f t="shared" ref="P1080:P1143" si="254">SUM(N1080+O1080)</f>
        <v>0</v>
      </c>
      <c r="Q1080" s="7">
        <f t="shared" si="239"/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2"/>
        <v>10</v>
      </c>
      <c r="C1081" s="5">
        <f t="shared" si="253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13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0"/>
        <v>44847</v>
      </c>
      <c r="L1081" s="5">
        <f t="shared" si="231"/>
        <v>10</v>
      </c>
      <c r="M1081" s="5">
        <f t="shared" si="232"/>
        <v>2022</v>
      </c>
      <c r="N1081" s="6">
        <v>1764</v>
      </c>
      <c r="O1081" s="6">
        <f t="shared" si="251"/>
        <v>-1764</v>
      </c>
      <c r="P1081" s="6">
        <f t="shared" si="254"/>
        <v>0</v>
      </c>
      <c r="Q1081" s="7">
        <f t="shared" si="23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2"/>
        <v>10</v>
      </c>
      <c r="C1082" s="5">
        <f t="shared" si="253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13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0"/>
        <v>44847</v>
      </c>
      <c r="L1082" s="5">
        <f t="shared" si="231"/>
        <v>10</v>
      </c>
      <c r="M1082" s="5">
        <f t="shared" si="232"/>
        <v>2022</v>
      </c>
      <c r="N1082" s="6">
        <v>562.79999999999995</v>
      </c>
      <c r="O1082" s="6">
        <f t="shared" si="251"/>
        <v>-562.79999999999995</v>
      </c>
      <c r="P1082" s="6">
        <f t="shared" si="254"/>
        <v>0</v>
      </c>
      <c r="Q1082" s="7">
        <f t="shared" si="23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2"/>
        <v>10</v>
      </c>
      <c r="C1083" s="5">
        <f t="shared" si="253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13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0"/>
        <v>44847</v>
      </c>
      <c r="L1083" s="5">
        <f t="shared" si="231"/>
        <v>10</v>
      </c>
      <c r="M1083" s="5">
        <f t="shared" si="232"/>
        <v>2022</v>
      </c>
      <c r="N1083" s="6">
        <v>1040</v>
      </c>
      <c r="O1083" s="6">
        <f t="shared" si="251"/>
        <v>-1040</v>
      </c>
      <c r="P1083" s="6">
        <f t="shared" si="254"/>
        <v>0</v>
      </c>
      <c r="Q1083" s="7">
        <f t="shared" si="23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2"/>
        <v>10</v>
      </c>
      <c r="C1084" s="5">
        <f t="shared" si="253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13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0"/>
        <v>44847</v>
      </c>
      <c r="L1084" s="5">
        <f t="shared" si="231"/>
        <v>10</v>
      </c>
      <c r="M1084" s="5">
        <f t="shared" si="232"/>
        <v>2022</v>
      </c>
      <c r="N1084" s="6">
        <v>187.5</v>
      </c>
      <c r="O1084" s="6">
        <f t="shared" si="251"/>
        <v>-187.5</v>
      </c>
      <c r="P1084" s="6">
        <f t="shared" si="254"/>
        <v>0</v>
      </c>
      <c r="Q1084" s="7">
        <f t="shared" si="23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2"/>
        <v>10</v>
      </c>
      <c r="C1085" s="5">
        <f t="shared" si="253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13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0"/>
        <v>44847</v>
      </c>
      <c r="L1085" s="5">
        <f t="shared" si="231"/>
        <v>10</v>
      </c>
      <c r="M1085" s="5">
        <f t="shared" si="232"/>
        <v>2022</v>
      </c>
      <c r="N1085" s="6">
        <v>1000</v>
      </c>
      <c r="O1085" s="6">
        <f t="shared" si="251"/>
        <v>-1000</v>
      </c>
      <c r="P1085" s="6">
        <f t="shared" si="254"/>
        <v>0</v>
      </c>
      <c r="Q1085" s="7">
        <f t="shared" si="23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2"/>
        <v>10</v>
      </c>
      <c r="C1086" s="5">
        <f t="shared" si="253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13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0"/>
        <v>44847</v>
      </c>
      <c r="L1086" s="5">
        <f t="shared" si="231"/>
        <v>10</v>
      </c>
      <c r="M1086" s="5">
        <f t="shared" si="232"/>
        <v>2022</v>
      </c>
      <c r="N1086" s="6">
        <v>200</v>
      </c>
      <c r="O1086" s="103">
        <f t="shared" si="251"/>
        <v>-200</v>
      </c>
      <c r="P1086" s="6">
        <f t="shared" si="254"/>
        <v>0</v>
      </c>
      <c r="Q1086" s="7">
        <f t="shared" si="23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2"/>
        <v>10</v>
      </c>
      <c r="C1087" s="5">
        <f t="shared" si="253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13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0"/>
        <v>44847</v>
      </c>
      <c r="L1087" s="5">
        <f t="shared" si="231"/>
        <v>10</v>
      </c>
      <c r="M1087" s="5">
        <f t="shared" si="232"/>
        <v>2022</v>
      </c>
      <c r="N1087" s="6">
        <v>1936</v>
      </c>
      <c r="O1087" s="6">
        <f t="shared" ref="O1087:O1094" si="255">-N1087</f>
        <v>-1936</v>
      </c>
      <c r="P1087" s="6">
        <f t="shared" si="254"/>
        <v>0</v>
      </c>
      <c r="Q1087" s="7">
        <f t="shared" si="23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2"/>
        <v>10</v>
      </c>
      <c r="C1088" s="5">
        <f t="shared" si="253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13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0"/>
        <v>44847</v>
      </c>
      <c r="L1088" s="5">
        <f t="shared" si="231"/>
        <v>10</v>
      </c>
      <c r="M1088" s="5">
        <f t="shared" si="232"/>
        <v>2022</v>
      </c>
      <c r="N1088" s="6">
        <v>534</v>
      </c>
      <c r="O1088" s="6">
        <f t="shared" si="255"/>
        <v>-534</v>
      </c>
      <c r="P1088" s="6">
        <f t="shared" si="254"/>
        <v>0</v>
      </c>
      <c r="Q1088" s="7">
        <f t="shared" si="23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2"/>
        <v>10</v>
      </c>
      <c r="C1089" s="5">
        <f t="shared" si="253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13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0"/>
        <v>44847</v>
      </c>
      <c r="L1089" s="5">
        <f t="shared" si="231"/>
        <v>10</v>
      </c>
      <c r="M1089" s="5">
        <f t="shared" si="232"/>
        <v>2022</v>
      </c>
      <c r="N1089" s="6">
        <v>100</v>
      </c>
      <c r="O1089" s="6">
        <f t="shared" si="255"/>
        <v>-100</v>
      </c>
      <c r="P1089" s="6">
        <f t="shared" si="254"/>
        <v>0</v>
      </c>
      <c r="Q1089" s="7">
        <f t="shared" si="23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2"/>
        <v>10</v>
      </c>
      <c r="C1090" s="5">
        <f t="shared" si="253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13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0"/>
        <v>44969</v>
      </c>
      <c r="L1090" s="5">
        <f t="shared" si="231"/>
        <v>2</v>
      </c>
      <c r="M1090" s="5">
        <f t="shared" si="232"/>
        <v>2023</v>
      </c>
      <c r="N1090" s="6">
        <v>9020</v>
      </c>
      <c r="O1090" s="6">
        <f t="shared" si="255"/>
        <v>-9020</v>
      </c>
      <c r="P1090" s="6">
        <f t="shared" si="254"/>
        <v>0</v>
      </c>
      <c r="Q1090" s="7">
        <f t="shared" si="23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2"/>
        <v>10</v>
      </c>
      <c r="C1091" s="5">
        <f t="shared" si="253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13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56">A1091+J1091</f>
        <v>44969</v>
      </c>
      <c r="L1091" s="5">
        <f t="shared" ref="L1091:L1154" si="257">MONTH(K1091)</f>
        <v>2</v>
      </c>
      <c r="M1091" s="5">
        <f t="shared" ref="M1091:M1154" si="258">YEAR(K1091)</f>
        <v>2023</v>
      </c>
      <c r="N1091" s="6">
        <v>1245</v>
      </c>
      <c r="O1091" s="6">
        <f t="shared" si="255"/>
        <v>-1245</v>
      </c>
      <c r="P1091" s="6">
        <f t="shared" si="254"/>
        <v>0</v>
      </c>
      <c r="Q1091" s="7">
        <f t="shared" si="23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2"/>
        <v>10</v>
      </c>
      <c r="C1092" s="5">
        <f t="shared" si="253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13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56"/>
        <v>44969</v>
      </c>
      <c r="L1092" s="5">
        <f t="shared" si="257"/>
        <v>2</v>
      </c>
      <c r="M1092" s="5">
        <f t="shared" si="258"/>
        <v>2023</v>
      </c>
      <c r="N1092" s="6">
        <v>575</v>
      </c>
      <c r="O1092" s="6">
        <f t="shared" si="255"/>
        <v>-575</v>
      </c>
      <c r="P1092" s="6">
        <f t="shared" si="254"/>
        <v>0</v>
      </c>
      <c r="Q1092" s="7">
        <f t="shared" si="23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2"/>
        <v>10</v>
      </c>
      <c r="C1093" s="5">
        <f t="shared" si="253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13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56"/>
        <v>44969</v>
      </c>
      <c r="L1093" s="5">
        <f t="shared" si="257"/>
        <v>2</v>
      </c>
      <c r="M1093" s="5">
        <f t="shared" si="258"/>
        <v>2023</v>
      </c>
      <c r="N1093" s="6">
        <v>420</v>
      </c>
      <c r="O1093" s="6">
        <f t="shared" si="255"/>
        <v>-420</v>
      </c>
      <c r="P1093" s="6">
        <f t="shared" si="254"/>
        <v>0</v>
      </c>
      <c r="Q1093" s="7">
        <f t="shared" si="23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2"/>
        <v>10</v>
      </c>
      <c r="C1094" s="5">
        <f t="shared" si="253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13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56"/>
        <v>44969</v>
      </c>
      <c r="L1094" s="5">
        <f t="shared" si="257"/>
        <v>2</v>
      </c>
      <c r="M1094" s="5">
        <f t="shared" si="258"/>
        <v>2023</v>
      </c>
      <c r="N1094" s="6">
        <v>220</v>
      </c>
      <c r="O1094" s="6">
        <f t="shared" si="255"/>
        <v>-220</v>
      </c>
      <c r="P1094" s="6">
        <f t="shared" si="254"/>
        <v>0</v>
      </c>
      <c r="Q1094" s="7">
        <f t="shared" si="23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2"/>
        <v>10</v>
      </c>
      <c r="C1095" s="5">
        <f t="shared" si="253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13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56"/>
        <v>44851</v>
      </c>
      <c r="L1095" s="5">
        <f t="shared" si="257"/>
        <v>10</v>
      </c>
      <c r="M1095" s="5">
        <f t="shared" si="258"/>
        <v>2022</v>
      </c>
      <c r="N1095" s="6">
        <v>1958</v>
      </c>
      <c r="O1095" s="6">
        <f t="shared" ref="O1095:O1104" si="259">-N1095</f>
        <v>-1958</v>
      </c>
      <c r="P1095" s="6">
        <f t="shared" si="254"/>
        <v>0</v>
      </c>
      <c r="Q1095" s="7">
        <f t="shared" si="23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2"/>
        <v>10</v>
      </c>
      <c r="C1096" s="5">
        <f t="shared" si="253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13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56"/>
        <v>44851</v>
      </c>
      <c r="L1096" s="5">
        <f t="shared" si="257"/>
        <v>10</v>
      </c>
      <c r="M1096" s="5">
        <f t="shared" si="258"/>
        <v>2022</v>
      </c>
      <c r="N1096" s="6">
        <v>603</v>
      </c>
      <c r="O1096" s="6">
        <f t="shared" si="259"/>
        <v>-603</v>
      </c>
      <c r="P1096" s="6">
        <f t="shared" si="254"/>
        <v>0</v>
      </c>
      <c r="Q1096" s="7">
        <f t="shared" si="23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2"/>
        <v>10</v>
      </c>
      <c r="C1097" s="5">
        <f t="shared" si="253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13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56"/>
        <v>44851</v>
      </c>
      <c r="L1097" s="5">
        <f t="shared" si="257"/>
        <v>10</v>
      </c>
      <c r="M1097" s="5">
        <f t="shared" si="258"/>
        <v>2022</v>
      </c>
      <c r="N1097" s="6">
        <v>254</v>
      </c>
      <c r="O1097" s="6">
        <f t="shared" si="259"/>
        <v>-254</v>
      </c>
      <c r="P1097" s="6">
        <f t="shared" si="254"/>
        <v>0</v>
      </c>
      <c r="Q1097" s="7">
        <f t="shared" si="23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2"/>
        <v>10</v>
      </c>
      <c r="C1098" s="5">
        <f t="shared" si="253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13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56"/>
        <v>44851</v>
      </c>
      <c r="L1098" s="5">
        <f t="shared" si="257"/>
        <v>10</v>
      </c>
      <c r="M1098" s="5">
        <f t="shared" si="258"/>
        <v>2022</v>
      </c>
      <c r="N1098" s="6">
        <v>55</v>
      </c>
      <c r="O1098" s="6">
        <f t="shared" si="259"/>
        <v>-55</v>
      </c>
      <c r="P1098" s="6">
        <f t="shared" si="254"/>
        <v>0</v>
      </c>
      <c r="Q1098" s="7">
        <f t="shared" si="23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2"/>
        <v>10</v>
      </c>
      <c r="C1099" s="5">
        <f t="shared" si="253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13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56"/>
        <v>44851</v>
      </c>
      <c r="L1099" s="5">
        <f t="shared" si="257"/>
        <v>10</v>
      </c>
      <c r="M1099" s="5">
        <f t="shared" si="258"/>
        <v>2022</v>
      </c>
      <c r="N1099" s="6">
        <v>160</v>
      </c>
      <c r="O1099" s="6">
        <f t="shared" si="259"/>
        <v>-160</v>
      </c>
      <c r="P1099" s="6">
        <f t="shared" si="254"/>
        <v>0</v>
      </c>
      <c r="Q1099" s="7">
        <f t="shared" si="23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2"/>
        <v>10</v>
      </c>
      <c r="C1100" s="5">
        <f t="shared" si="253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13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56"/>
        <v>44851</v>
      </c>
      <c r="L1100" s="5">
        <f t="shared" si="257"/>
        <v>10</v>
      </c>
      <c r="M1100" s="5">
        <f t="shared" si="258"/>
        <v>2022</v>
      </c>
      <c r="N1100" s="6">
        <v>240</v>
      </c>
      <c r="O1100" s="6">
        <f t="shared" si="259"/>
        <v>-240</v>
      </c>
      <c r="P1100" s="6">
        <f t="shared" si="254"/>
        <v>0</v>
      </c>
      <c r="Q1100" s="7">
        <f t="shared" si="23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2"/>
        <v>10</v>
      </c>
      <c r="C1101" s="5">
        <f t="shared" si="253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13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56"/>
        <v>44851</v>
      </c>
      <c r="L1101" s="5">
        <f t="shared" si="257"/>
        <v>10</v>
      </c>
      <c r="M1101" s="5">
        <f t="shared" si="258"/>
        <v>2022</v>
      </c>
      <c r="N1101" s="6">
        <v>105</v>
      </c>
      <c r="O1101" s="6">
        <f t="shared" si="259"/>
        <v>-105</v>
      </c>
      <c r="P1101" s="6">
        <f t="shared" si="254"/>
        <v>0</v>
      </c>
      <c r="Q1101" s="7">
        <f t="shared" si="23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2"/>
        <v>10</v>
      </c>
      <c r="C1102" s="5">
        <f t="shared" si="253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13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56"/>
        <v>44851</v>
      </c>
      <c r="L1102" s="5">
        <f t="shared" si="257"/>
        <v>10</v>
      </c>
      <c r="M1102" s="5">
        <f t="shared" si="258"/>
        <v>2022</v>
      </c>
      <c r="N1102" s="6">
        <v>125</v>
      </c>
      <c r="O1102" s="6">
        <f t="shared" si="259"/>
        <v>-125</v>
      </c>
      <c r="P1102" s="6">
        <f t="shared" si="254"/>
        <v>0</v>
      </c>
      <c r="Q1102" s="7">
        <f t="shared" si="23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2"/>
        <v>10</v>
      </c>
      <c r="C1103" s="5">
        <f t="shared" si="253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13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56"/>
        <v>44851</v>
      </c>
      <c r="L1103" s="5">
        <f t="shared" si="257"/>
        <v>10</v>
      </c>
      <c r="M1103" s="5">
        <f t="shared" si="258"/>
        <v>2022</v>
      </c>
      <c r="N1103" s="6">
        <v>100</v>
      </c>
      <c r="O1103" s="6">
        <f t="shared" si="259"/>
        <v>-100</v>
      </c>
      <c r="P1103" s="6">
        <f t="shared" si="254"/>
        <v>0</v>
      </c>
      <c r="Q1103" s="7">
        <f t="shared" si="23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2"/>
        <v>10</v>
      </c>
      <c r="C1104" s="5">
        <f t="shared" si="253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13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56"/>
        <v>44971</v>
      </c>
      <c r="L1104" s="5">
        <f t="shared" si="257"/>
        <v>2</v>
      </c>
      <c r="M1104" s="5">
        <f t="shared" si="258"/>
        <v>2023</v>
      </c>
      <c r="N1104" s="6">
        <v>395</v>
      </c>
      <c r="O1104" s="6">
        <f t="shared" si="259"/>
        <v>-395</v>
      </c>
      <c r="P1104" s="6">
        <f t="shared" si="254"/>
        <v>0</v>
      </c>
      <c r="Q1104" s="7">
        <f t="shared" si="23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2"/>
        <v>10</v>
      </c>
      <c r="C1105" s="5">
        <f t="shared" si="253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13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56"/>
        <v>44912</v>
      </c>
      <c r="L1105" s="5">
        <f t="shared" si="257"/>
        <v>12</v>
      </c>
      <c r="M1105" s="5">
        <f t="shared" si="258"/>
        <v>2022</v>
      </c>
      <c r="N1105" s="6">
        <v>1085.4000000000001</v>
      </c>
      <c r="O1105" s="6">
        <f>-N1105</f>
        <v>-1085.4000000000001</v>
      </c>
      <c r="P1105" s="6">
        <f t="shared" si="254"/>
        <v>0</v>
      </c>
      <c r="Q1105" s="7">
        <f t="shared" si="23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2"/>
        <v>10</v>
      </c>
      <c r="C1106" s="5">
        <f t="shared" si="253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13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56"/>
        <v>44912</v>
      </c>
      <c r="L1106" s="5">
        <f t="shared" si="257"/>
        <v>12</v>
      </c>
      <c r="M1106" s="5">
        <f t="shared" si="258"/>
        <v>2022</v>
      </c>
      <c r="N1106" s="6">
        <v>874.8</v>
      </c>
      <c r="O1106" s="6">
        <f>-N1106</f>
        <v>-874.8</v>
      </c>
      <c r="P1106" s="6">
        <f t="shared" si="254"/>
        <v>0</v>
      </c>
      <c r="Q1106" s="7">
        <f t="shared" ref="Q1106:Q1169" si="260">SUM(Q1105+N1106)</f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2"/>
        <v>10</v>
      </c>
      <c r="C1107" s="5">
        <f t="shared" si="253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13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56"/>
        <v>44974</v>
      </c>
      <c r="L1107" s="5">
        <f t="shared" si="257"/>
        <v>2</v>
      </c>
      <c r="M1107" s="5">
        <f t="shared" si="258"/>
        <v>2023</v>
      </c>
      <c r="N1107" s="6">
        <v>10824</v>
      </c>
      <c r="O1107" s="6">
        <f t="shared" ref="O1107:O1111" si="261">-N1107</f>
        <v>-10824</v>
      </c>
      <c r="P1107" s="6">
        <f t="shared" si="254"/>
        <v>0</v>
      </c>
      <c r="Q1107" s="7">
        <f t="shared" si="260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2"/>
        <v>10</v>
      </c>
      <c r="C1108" s="5">
        <f t="shared" si="253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13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56"/>
        <v>44974</v>
      </c>
      <c r="L1108" s="5">
        <f t="shared" si="257"/>
        <v>2</v>
      </c>
      <c r="M1108" s="5">
        <f t="shared" si="258"/>
        <v>2023</v>
      </c>
      <c r="N1108" s="6">
        <v>1804</v>
      </c>
      <c r="O1108" s="6">
        <f t="shared" si="261"/>
        <v>-1804</v>
      </c>
      <c r="P1108" s="6">
        <f t="shared" si="254"/>
        <v>0</v>
      </c>
      <c r="Q1108" s="7">
        <f t="shared" si="260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2"/>
        <v>10</v>
      </c>
      <c r="C1109" s="5">
        <f t="shared" si="253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13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56"/>
        <v>44974</v>
      </c>
      <c r="L1109" s="5">
        <f t="shared" si="257"/>
        <v>2</v>
      </c>
      <c r="M1109" s="5">
        <f t="shared" si="258"/>
        <v>2023</v>
      </c>
      <c r="N1109" s="6">
        <v>1344.6</v>
      </c>
      <c r="O1109" s="6">
        <f t="shared" si="261"/>
        <v>-1344.6</v>
      </c>
      <c r="P1109" s="6">
        <f t="shared" si="254"/>
        <v>0</v>
      </c>
      <c r="Q1109" s="7">
        <f t="shared" si="260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2"/>
        <v>10</v>
      </c>
      <c r="C1110" s="5">
        <f t="shared" si="253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13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56"/>
        <v>44974</v>
      </c>
      <c r="L1110" s="5">
        <f t="shared" si="257"/>
        <v>2</v>
      </c>
      <c r="M1110" s="5">
        <f t="shared" si="258"/>
        <v>2023</v>
      </c>
      <c r="N1110" s="6">
        <v>1344.6</v>
      </c>
      <c r="O1110" s="6">
        <f t="shared" si="261"/>
        <v>-1344.6</v>
      </c>
      <c r="P1110" s="6">
        <f t="shared" si="254"/>
        <v>0</v>
      </c>
      <c r="Q1110" s="7">
        <f t="shared" si="260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2"/>
        <v>10</v>
      </c>
      <c r="C1111" s="5">
        <f t="shared" si="253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13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56"/>
        <v>44974</v>
      </c>
      <c r="L1111" s="5">
        <f t="shared" si="257"/>
        <v>2</v>
      </c>
      <c r="M1111" s="5">
        <f t="shared" si="258"/>
        <v>2023</v>
      </c>
      <c r="N1111" s="6">
        <v>360</v>
      </c>
      <c r="O1111" s="6">
        <f t="shared" si="261"/>
        <v>-360</v>
      </c>
      <c r="P1111" s="6">
        <f t="shared" si="254"/>
        <v>0</v>
      </c>
      <c r="Q1111" s="7">
        <f t="shared" si="260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2"/>
        <v>10</v>
      </c>
      <c r="C1112" s="5">
        <f t="shared" si="253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13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56"/>
        <v>44855</v>
      </c>
      <c r="L1112" s="5">
        <f t="shared" si="257"/>
        <v>10</v>
      </c>
      <c r="M1112" s="5">
        <f t="shared" si="258"/>
        <v>2022</v>
      </c>
      <c r="N1112" s="6">
        <v>1936</v>
      </c>
      <c r="O1112" s="6">
        <f t="shared" ref="O1112:O1113" si="262">-N1112</f>
        <v>-1936</v>
      </c>
      <c r="P1112" s="6">
        <f t="shared" si="254"/>
        <v>0</v>
      </c>
      <c r="Q1112" s="7">
        <f t="shared" si="260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2"/>
        <v>10</v>
      </c>
      <c r="C1113" s="5">
        <f t="shared" si="253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13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56"/>
        <v>44855</v>
      </c>
      <c r="L1113" s="5">
        <f t="shared" si="257"/>
        <v>10</v>
      </c>
      <c r="M1113" s="5">
        <f t="shared" si="258"/>
        <v>2022</v>
      </c>
      <c r="N1113" s="6">
        <v>1068</v>
      </c>
      <c r="O1113" s="6">
        <f t="shared" si="262"/>
        <v>-1068</v>
      </c>
      <c r="P1113" s="6">
        <f t="shared" si="254"/>
        <v>0</v>
      </c>
      <c r="Q1113" s="7">
        <f t="shared" si="260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2"/>
        <v>10</v>
      </c>
      <c r="C1114" s="5">
        <f t="shared" si="253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13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56"/>
        <v>44856</v>
      </c>
      <c r="L1114" s="5">
        <f t="shared" si="257"/>
        <v>10</v>
      </c>
      <c r="M1114" s="5">
        <f t="shared" si="258"/>
        <v>2022</v>
      </c>
      <c r="N1114" s="6">
        <v>3608</v>
      </c>
      <c r="O1114" s="6">
        <f>-N1114</f>
        <v>-3608</v>
      </c>
      <c r="P1114" s="6">
        <f t="shared" si="254"/>
        <v>0</v>
      </c>
      <c r="Q1114" s="7">
        <f t="shared" si="260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2"/>
        <v>10</v>
      </c>
      <c r="C1115" s="5">
        <f t="shared" si="253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13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56"/>
        <v>44856</v>
      </c>
      <c r="L1115" s="5">
        <f t="shared" si="257"/>
        <v>10</v>
      </c>
      <c r="M1115" s="5">
        <f t="shared" si="258"/>
        <v>2022</v>
      </c>
      <c r="N1115" s="6">
        <v>2520</v>
      </c>
      <c r="O1115" s="6">
        <f>-N1115</f>
        <v>-2520</v>
      </c>
      <c r="P1115" s="6">
        <f t="shared" si="254"/>
        <v>0</v>
      </c>
      <c r="Q1115" s="7">
        <f t="shared" si="260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2"/>
        <v>10</v>
      </c>
      <c r="C1116" s="5">
        <f t="shared" si="253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13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56"/>
        <v>44856</v>
      </c>
      <c r="L1116" s="5">
        <f t="shared" si="257"/>
        <v>10</v>
      </c>
      <c r="M1116" s="5">
        <f t="shared" si="258"/>
        <v>2022</v>
      </c>
      <c r="N1116" s="6">
        <v>1462.5</v>
      </c>
      <c r="O1116" s="6">
        <f>-N1116</f>
        <v>-1462.5</v>
      </c>
      <c r="P1116" s="6">
        <f t="shared" si="254"/>
        <v>0</v>
      </c>
      <c r="Q1116" s="7">
        <f t="shared" si="260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2"/>
        <v>10</v>
      </c>
      <c r="C1117" s="5">
        <f t="shared" si="253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13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56"/>
        <v>44856</v>
      </c>
      <c r="L1117" s="5">
        <f t="shared" si="257"/>
        <v>10</v>
      </c>
      <c r="M1117" s="5">
        <f t="shared" si="258"/>
        <v>2022</v>
      </c>
      <c r="N1117" s="6">
        <v>1936</v>
      </c>
      <c r="O1117" s="6">
        <f t="shared" ref="O1117:O1119" si="263">-N1117</f>
        <v>-1936</v>
      </c>
      <c r="P1117" s="6">
        <f t="shared" si="254"/>
        <v>0</v>
      </c>
      <c r="Q1117" s="7">
        <f t="shared" si="260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2"/>
        <v>10</v>
      </c>
      <c r="C1118" s="5">
        <f t="shared" si="253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13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56"/>
        <v>44856</v>
      </c>
      <c r="L1118" s="5">
        <f t="shared" si="257"/>
        <v>10</v>
      </c>
      <c r="M1118" s="5">
        <f t="shared" si="258"/>
        <v>2022</v>
      </c>
      <c r="N1118" s="6">
        <v>801</v>
      </c>
      <c r="O1118" s="6">
        <f t="shared" si="263"/>
        <v>-801</v>
      </c>
      <c r="P1118" s="6">
        <f t="shared" si="254"/>
        <v>0</v>
      </c>
      <c r="Q1118" s="7">
        <f t="shared" si="260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2"/>
        <v>10</v>
      </c>
      <c r="C1119" s="5">
        <f t="shared" si="253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13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56"/>
        <v>44856</v>
      </c>
      <c r="L1119" s="5">
        <f t="shared" si="257"/>
        <v>10</v>
      </c>
      <c r="M1119" s="5">
        <f t="shared" si="258"/>
        <v>2022</v>
      </c>
      <c r="N1119" s="6">
        <v>100</v>
      </c>
      <c r="O1119" s="6">
        <f t="shared" si="263"/>
        <v>-100</v>
      </c>
      <c r="P1119" s="6">
        <f t="shared" si="254"/>
        <v>0</v>
      </c>
      <c r="Q1119" s="7">
        <f t="shared" si="260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2"/>
        <v>10</v>
      </c>
      <c r="C1120" s="5">
        <f t="shared" si="253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13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56"/>
        <v>44861</v>
      </c>
      <c r="L1120" s="5">
        <f t="shared" si="257"/>
        <v>10</v>
      </c>
      <c r="M1120" s="5">
        <f t="shared" si="258"/>
        <v>2022</v>
      </c>
      <c r="N1120" s="6">
        <v>250</v>
      </c>
      <c r="O1120" s="6">
        <f>-N1120</f>
        <v>-250</v>
      </c>
      <c r="P1120" s="6">
        <f t="shared" si="254"/>
        <v>0</v>
      </c>
      <c r="Q1120" s="7">
        <f t="shared" si="260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2"/>
        <v>10</v>
      </c>
      <c r="C1121" s="5">
        <f t="shared" si="253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13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56"/>
        <v>44865</v>
      </c>
      <c r="L1121" s="5">
        <f t="shared" si="257"/>
        <v>10</v>
      </c>
      <c r="M1121" s="5">
        <f t="shared" si="258"/>
        <v>2022</v>
      </c>
      <c r="N1121" s="6">
        <v>27060</v>
      </c>
      <c r="O1121" s="6">
        <f>-789.4-11000-10000-5270.6</f>
        <v>-27060</v>
      </c>
      <c r="P1121" s="6">
        <f t="shared" si="254"/>
        <v>0</v>
      </c>
      <c r="Q1121" s="7">
        <f t="shared" si="260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2"/>
        <v>10</v>
      </c>
      <c r="C1122" s="5">
        <f t="shared" si="253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13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56"/>
        <v>44865</v>
      </c>
      <c r="L1122" s="5">
        <f t="shared" si="257"/>
        <v>10</v>
      </c>
      <c r="M1122" s="5">
        <f t="shared" si="258"/>
        <v>2022</v>
      </c>
      <c r="N1122" s="6">
        <v>11340</v>
      </c>
      <c r="O1122" s="6">
        <f t="shared" ref="O1122:O1127" si="264">-N1122</f>
        <v>-11340</v>
      </c>
      <c r="P1122" s="6">
        <f t="shared" si="254"/>
        <v>0</v>
      </c>
      <c r="Q1122" s="7">
        <f t="shared" si="260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2"/>
        <v>10</v>
      </c>
      <c r="C1123" s="5">
        <f t="shared" si="253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13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56"/>
        <v>44865</v>
      </c>
      <c r="L1123" s="5">
        <f t="shared" si="257"/>
        <v>10</v>
      </c>
      <c r="M1123" s="5">
        <f t="shared" si="258"/>
        <v>2022</v>
      </c>
      <c r="N1123" s="6">
        <v>2047.5</v>
      </c>
      <c r="O1123" s="6">
        <f t="shared" si="264"/>
        <v>-2047.5</v>
      </c>
      <c r="P1123" s="6">
        <f t="shared" si="254"/>
        <v>0</v>
      </c>
      <c r="Q1123" s="7">
        <f t="shared" si="260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2"/>
        <v>10</v>
      </c>
      <c r="C1124" s="5">
        <f t="shared" si="253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13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56"/>
        <v>44865</v>
      </c>
      <c r="L1124" s="5">
        <f t="shared" si="257"/>
        <v>10</v>
      </c>
      <c r="M1124" s="5">
        <f t="shared" si="258"/>
        <v>2022</v>
      </c>
      <c r="N1124" s="6">
        <v>3900</v>
      </c>
      <c r="O1124" s="6">
        <f t="shared" si="264"/>
        <v>-3900</v>
      </c>
      <c r="P1124" s="6">
        <f t="shared" si="254"/>
        <v>0</v>
      </c>
      <c r="Q1124" s="7">
        <f t="shared" si="260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2"/>
        <v>10</v>
      </c>
      <c r="C1125" s="5">
        <f t="shared" si="253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13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56"/>
        <v>44865</v>
      </c>
      <c r="L1125" s="5">
        <f t="shared" si="257"/>
        <v>10</v>
      </c>
      <c r="M1125" s="5">
        <f t="shared" si="258"/>
        <v>2022</v>
      </c>
      <c r="N1125" s="6">
        <v>937.5</v>
      </c>
      <c r="O1125" s="6">
        <f t="shared" si="264"/>
        <v>-937.5</v>
      </c>
      <c r="P1125" s="6">
        <f t="shared" si="254"/>
        <v>0</v>
      </c>
      <c r="Q1125" s="7">
        <f t="shared" si="260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2"/>
        <v>10</v>
      </c>
      <c r="C1126" s="5">
        <f t="shared" si="253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13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56"/>
        <v>44865</v>
      </c>
      <c r="L1126" s="5">
        <f t="shared" si="257"/>
        <v>10</v>
      </c>
      <c r="M1126" s="5">
        <f t="shared" si="258"/>
        <v>2022</v>
      </c>
      <c r="N1126" s="6">
        <v>2000</v>
      </c>
      <c r="O1126" s="6">
        <f t="shared" si="264"/>
        <v>-2000</v>
      </c>
      <c r="P1126" s="6">
        <f t="shared" si="254"/>
        <v>0</v>
      </c>
      <c r="Q1126" s="7">
        <f t="shared" si="260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2"/>
        <v>10</v>
      </c>
      <c r="C1127" s="5">
        <f t="shared" si="253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13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56"/>
        <v>44865</v>
      </c>
      <c r="L1127" s="5">
        <f t="shared" si="257"/>
        <v>10</v>
      </c>
      <c r="M1127" s="5">
        <f t="shared" si="258"/>
        <v>2022</v>
      </c>
      <c r="N1127" s="6">
        <v>400</v>
      </c>
      <c r="O1127" s="6">
        <f t="shared" si="264"/>
        <v>-400</v>
      </c>
      <c r="P1127" s="6">
        <f t="shared" si="254"/>
        <v>0</v>
      </c>
      <c r="Q1127" s="7">
        <f t="shared" si="260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2"/>
        <v>10</v>
      </c>
      <c r="C1128" s="5">
        <f t="shared" si="253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13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56"/>
        <v>44865</v>
      </c>
      <c r="L1128" s="5">
        <f t="shared" si="257"/>
        <v>10</v>
      </c>
      <c r="M1128" s="5">
        <f t="shared" si="258"/>
        <v>2022</v>
      </c>
      <c r="N1128" s="6">
        <v>1936</v>
      </c>
      <c r="O1128" s="6">
        <f t="shared" ref="O1128:O1137" si="265">-N1128</f>
        <v>-1936</v>
      </c>
      <c r="P1128" s="6">
        <f t="shared" si="254"/>
        <v>0</v>
      </c>
      <c r="Q1128" s="7">
        <f t="shared" si="260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2"/>
        <v>10</v>
      </c>
      <c r="C1129" s="5">
        <f t="shared" si="253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13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56"/>
        <v>44865</v>
      </c>
      <c r="L1129" s="5">
        <f t="shared" si="257"/>
        <v>10</v>
      </c>
      <c r="M1129" s="5">
        <f t="shared" si="258"/>
        <v>2022</v>
      </c>
      <c r="N1129" s="6">
        <v>801</v>
      </c>
      <c r="O1129" s="6">
        <f t="shared" si="265"/>
        <v>-801</v>
      </c>
      <c r="P1129" s="6">
        <f t="shared" si="254"/>
        <v>0</v>
      </c>
      <c r="Q1129" s="7">
        <f t="shared" si="260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2"/>
        <v>10</v>
      </c>
      <c r="C1130" s="5">
        <f t="shared" si="253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13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56"/>
        <v>44865</v>
      </c>
      <c r="L1130" s="5">
        <f t="shared" si="257"/>
        <v>10</v>
      </c>
      <c r="M1130" s="5">
        <f t="shared" si="258"/>
        <v>2022</v>
      </c>
      <c r="N1130" s="6">
        <v>100</v>
      </c>
      <c r="O1130" s="6">
        <f t="shared" si="265"/>
        <v>-100</v>
      </c>
      <c r="P1130" s="6">
        <f t="shared" si="254"/>
        <v>0</v>
      </c>
      <c r="Q1130" s="7">
        <f t="shared" si="260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2"/>
        <v>10</v>
      </c>
      <c r="C1131" s="5">
        <f t="shared" si="253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13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56"/>
        <v>44865</v>
      </c>
      <c r="L1131" s="5">
        <f t="shared" si="257"/>
        <v>10</v>
      </c>
      <c r="M1131" s="5">
        <f t="shared" si="258"/>
        <v>2022</v>
      </c>
      <c r="N1131" s="6">
        <v>258</v>
      </c>
      <c r="O1131" s="6">
        <f t="shared" si="265"/>
        <v>-258</v>
      </c>
      <c r="P1131" s="6">
        <f t="shared" si="254"/>
        <v>0</v>
      </c>
      <c r="Q1131" s="7">
        <f t="shared" si="260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2"/>
        <v>11</v>
      </c>
      <c r="C1132" s="5">
        <f t="shared" si="253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13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56"/>
        <v>44986</v>
      </c>
      <c r="L1132" s="5">
        <f t="shared" si="257"/>
        <v>3</v>
      </c>
      <c r="M1132" s="5">
        <f t="shared" si="258"/>
        <v>2023</v>
      </c>
      <c r="N1132" s="6">
        <v>9020</v>
      </c>
      <c r="O1132" s="6">
        <f t="shared" si="265"/>
        <v>-9020</v>
      </c>
      <c r="P1132" s="6">
        <f t="shared" si="254"/>
        <v>0</v>
      </c>
      <c r="Q1132" s="7">
        <f t="shared" si="260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66">MONTH(A1133)</f>
        <v>11</v>
      </c>
      <c r="C1133" s="5">
        <f t="shared" ref="C1133:C1139" si="267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13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56"/>
        <v>44986</v>
      </c>
      <c r="L1133" s="5">
        <f t="shared" si="257"/>
        <v>3</v>
      </c>
      <c r="M1133" s="5">
        <f t="shared" si="258"/>
        <v>2023</v>
      </c>
      <c r="N1133" s="6">
        <v>1804</v>
      </c>
      <c r="O1133" s="6">
        <f t="shared" si="265"/>
        <v>-1804</v>
      </c>
      <c r="P1133" s="6">
        <f t="shared" si="254"/>
        <v>0</v>
      </c>
      <c r="Q1133" s="7">
        <f t="shared" si="260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66"/>
        <v>11</v>
      </c>
      <c r="C1134" s="5">
        <f t="shared" si="267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13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56"/>
        <v>44986</v>
      </c>
      <c r="L1134" s="5">
        <f t="shared" si="257"/>
        <v>3</v>
      </c>
      <c r="M1134" s="5">
        <f t="shared" si="258"/>
        <v>2023</v>
      </c>
      <c r="N1134" s="6">
        <v>9020</v>
      </c>
      <c r="O1134" s="6">
        <f t="shared" si="265"/>
        <v>-9020</v>
      </c>
      <c r="P1134" s="6">
        <f t="shared" si="254"/>
        <v>0</v>
      </c>
      <c r="Q1134" s="7">
        <f t="shared" si="260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66"/>
        <v>11</v>
      </c>
      <c r="C1135" s="5">
        <f t="shared" si="267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13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56"/>
        <v>44986</v>
      </c>
      <c r="L1135" s="5">
        <f t="shared" si="257"/>
        <v>3</v>
      </c>
      <c r="M1135" s="5">
        <f t="shared" si="258"/>
        <v>2023</v>
      </c>
      <c r="N1135" s="6">
        <v>1245</v>
      </c>
      <c r="O1135" s="6">
        <f t="shared" si="265"/>
        <v>-1245</v>
      </c>
      <c r="P1135" s="6">
        <f t="shared" si="254"/>
        <v>0</v>
      </c>
      <c r="Q1135" s="7">
        <f t="shared" si="260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66"/>
        <v>11</v>
      </c>
      <c r="C1136" s="5">
        <f t="shared" si="267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13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56"/>
        <v>44986</v>
      </c>
      <c r="L1136" s="5">
        <f t="shared" si="257"/>
        <v>3</v>
      </c>
      <c r="M1136" s="5">
        <f t="shared" si="258"/>
        <v>2023</v>
      </c>
      <c r="N1136" s="6">
        <v>575</v>
      </c>
      <c r="O1136" s="6">
        <f t="shared" si="265"/>
        <v>-575</v>
      </c>
      <c r="P1136" s="6">
        <f t="shared" si="254"/>
        <v>0</v>
      </c>
      <c r="Q1136" s="7">
        <f t="shared" si="260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66"/>
        <v>11</v>
      </c>
      <c r="C1137" s="5">
        <f t="shared" si="267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13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56"/>
        <v>44986</v>
      </c>
      <c r="L1137" s="5">
        <f t="shared" si="257"/>
        <v>3</v>
      </c>
      <c r="M1137" s="5">
        <f t="shared" si="258"/>
        <v>2023</v>
      </c>
      <c r="N1137" s="6">
        <v>420</v>
      </c>
      <c r="O1137" s="6">
        <f t="shared" si="265"/>
        <v>-420</v>
      </c>
      <c r="P1137" s="6">
        <f t="shared" si="254"/>
        <v>0</v>
      </c>
      <c r="Q1137" s="7">
        <f t="shared" si="260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66"/>
        <v>11</v>
      </c>
      <c r="C1138" s="5">
        <f t="shared" si="267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13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56"/>
        <v>44928</v>
      </c>
      <c r="L1138" s="5">
        <f t="shared" si="257"/>
        <v>1</v>
      </c>
      <c r="M1138" s="5">
        <f t="shared" si="258"/>
        <v>2023</v>
      </c>
      <c r="N1138" s="6">
        <v>3608</v>
      </c>
      <c r="O1138" s="6">
        <f t="shared" ref="O1138:O1145" si="268">-N1138</f>
        <v>-3608</v>
      </c>
      <c r="P1138" s="6">
        <f t="shared" si="254"/>
        <v>0</v>
      </c>
      <c r="Q1138" s="7">
        <f t="shared" si="260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66"/>
        <v>11</v>
      </c>
      <c r="C1139" s="5">
        <f t="shared" si="267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13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56"/>
        <v>44928</v>
      </c>
      <c r="L1139" s="5">
        <f t="shared" si="257"/>
        <v>1</v>
      </c>
      <c r="M1139" s="5">
        <f t="shared" si="258"/>
        <v>2023</v>
      </c>
      <c r="N1139" s="6">
        <v>437.4</v>
      </c>
      <c r="O1139" s="6">
        <f t="shared" si="268"/>
        <v>-437.4</v>
      </c>
      <c r="P1139" s="6">
        <f t="shared" si="254"/>
        <v>0</v>
      </c>
      <c r="Q1139" s="7">
        <f t="shared" si="260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69">MONTH(A1140)</f>
        <v>11</v>
      </c>
      <c r="C1140" s="5">
        <f t="shared" ref="C1140" si="270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13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56"/>
        <v>44928</v>
      </c>
      <c r="L1140" s="5">
        <f t="shared" si="257"/>
        <v>1</v>
      </c>
      <c r="M1140" s="5">
        <f t="shared" si="258"/>
        <v>2023</v>
      </c>
      <c r="N1140" s="6">
        <v>437.4</v>
      </c>
      <c r="O1140" s="6">
        <f t="shared" si="268"/>
        <v>-437.4</v>
      </c>
      <c r="P1140" s="6">
        <f t="shared" si="254"/>
        <v>0</v>
      </c>
      <c r="Q1140" s="7">
        <f t="shared" si="260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1">MONTH(A1141)</f>
        <v>11</v>
      </c>
      <c r="C1141" s="5">
        <f t="shared" ref="C1141:C1150" si="272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13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56"/>
        <v>44869</v>
      </c>
      <c r="L1141" s="5">
        <f t="shared" si="257"/>
        <v>11</v>
      </c>
      <c r="M1141" s="5">
        <f t="shared" si="258"/>
        <v>2022</v>
      </c>
      <c r="N1141" s="6">
        <v>360</v>
      </c>
      <c r="O1141" s="6">
        <f t="shared" si="268"/>
        <v>-360</v>
      </c>
      <c r="P1141" s="6">
        <f t="shared" si="254"/>
        <v>0</v>
      </c>
      <c r="Q1141" s="7">
        <f t="shared" si="260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1"/>
        <v>11</v>
      </c>
      <c r="C1142" s="5">
        <f t="shared" si="272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13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56"/>
        <v>44869</v>
      </c>
      <c r="L1142" s="5">
        <f t="shared" si="257"/>
        <v>11</v>
      </c>
      <c r="M1142" s="5">
        <f t="shared" si="258"/>
        <v>2022</v>
      </c>
      <c r="N1142" s="6">
        <v>43.8</v>
      </c>
      <c r="O1142" s="6">
        <f t="shared" si="268"/>
        <v>-43.8</v>
      </c>
      <c r="P1142" s="6">
        <f t="shared" si="254"/>
        <v>0</v>
      </c>
      <c r="Q1142" s="7">
        <f t="shared" si="260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1"/>
        <v>11</v>
      </c>
      <c r="C1143" s="5">
        <f t="shared" si="272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13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56"/>
        <v>44870</v>
      </c>
      <c r="L1143" s="5">
        <f t="shared" si="257"/>
        <v>11</v>
      </c>
      <c r="M1143" s="5">
        <f t="shared" si="258"/>
        <v>2022</v>
      </c>
      <c r="N1143" s="6">
        <v>260</v>
      </c>
      <c r="O1143" s="6">
        <f t="shared" si="268"/>
        <v>-260</v>
      </c>
      <c r="P1143" s="6">
        <f t="shared" si="254"/>
        <v>0</v>
      </c>
      <c r="Q1143" s="7">
        <f t="shared" si="260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1"/>
        <v>11</v>
      </c>
      <c r="C1144" s="5">
        <f t="shared" si="272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13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56"/>
        <v>44870</v>
      </c>
      <c r="L1144" s="5">
        <f t="shared" si="257"/>
        <v>11</v>
      </c>
      <c r="M1144" s="5">
        <f t="shared" si="258"/>
        <v>2022</v>
      </c>
      <c r="N1144" s="6">
        <v>534.6</v>
      </c>
      <c r="O1144" s="6">
        <f t="shared" si="268"/>
        <v>-534.6</v>
      </c>
      <c r="P1144" s="6">
        <f t="shared" ref="P1144:P1150" si="273">SUM(N1144+O1144)</f>
        <v>0</v>
      </c>
      <c r="Q1144" s="7">
        <f t="shared" si="260"/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1"/>
        <v>11</v>
      </c>
      <c r="C1145" s="5">
        <f t="shared" si="272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13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56"/>
        <v>44870</v>
      </c>
      <c r="L1145" s="5">
        <f t="shared" si="257"/>
        <v>11</v>
      </c>
      <c r="M1145" s="5">
        <f t="shared" si="258"/>
        <v>2022</v>
      </c>
      <c r="N1145" s="6">
        <v>98</v>
      </c>
      <c r="O1145" s="6">
        <f t="shared" si="268"/>
        <v>-98</v>
      </c>
      <c r="P1145" s="6">
        <f t="shared" si="273"/>
        <v>0</v>
      </c>
      <c r="Q1145" s="7">
        <f t="shared" si="260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1"/>
        <v>11</v>
      </c>
      <c r="C1146" s="5">
        <f t="shared" si="272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13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56"/>
        <v>44872</v>
      </c>
      <c r="L1146" s="5">
        <f t="shared" si="257"/>
        <v>11</v>
      </c>
      <c r="M1146" s="5">
        <f t="shared" si="258"/>
        <v>2022</v>
      </c>
      <c r="N1146" s="6">
        <v>1141</v>
      </c>
      <c r="O1146" s="6">
        <f t="shared" ref="O1146:O1147" si="274">-N1146</f>
        <v>-1141</v>
      </c>
      <c r="P1146" s="6">
        <f t="shared" si="273"/>
        <v>0</v>
      </c>
      <c r="Q1146" s="7">
        <f t="shared" si="260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1"/>
        <v>11</v>
      </c>
      <c r="C1147" s="5">
        <f t="shared" si="272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13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56"/>
        <v>44872</v>
      </c>
      <c r="L1147" s="5">
        <f t="shared" si="257"/>
        <v>11</v>
      </c>
      <c r="M1147" s="5">
        <f t="shared" si="258"/>
        <v>2022</v>
      </c>
      <c r="N1147" s="6">
        <v>175</v>
      </c>
      <c r="O1147" s="6">
        <f t="shared" si="274"/>
        <v>-175</v>
      </c>
      <c r="P1147" s="6">
        <f t="shared" si="273"/>
        <v>0</v>
      </c>
      <c r="Q1147" s="7">
        <f t="shared" si="260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1"/>
        <v>11</v>
      </c>
      <c r="C1148" s="5">
        <f t="shared" si="272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13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56"/>
        <v>44873</v>
      </c>
      <c r="L1148" s="5">
        <f t="shared" si="257"/>
        <v>11</v>
      </c>
      <c r="M1148" s="5">
        <f t="shared" si="258"/>
        <v>2022</v>
      </c>
      <c r="N1148" s="6">
        <v>1170</v>
      </c>
      <c r="O1148" s="6">
        <f>-N1148</f>
        <v>-1170</v>
      </c>
      <c r="P1148" s="6">
        <f t="shared" si="273"/>
        <v>0</v>
      </c>
      <c r="Q1148" s="7">
        <f t="shared" si="260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1"/>
        <v>11</v>
      </c>
      <c r="C1149" s="5">
        <f t="shared" si="272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13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56"/>
        <v>44873</v>
      </c>
      <c r="L1149" s="5">
        <f t="shared" si="257"/>
        <v>11</v>
      </c>
      <c r="M1149" s="5">
        <f t="shared" si="258"/>
        <v>2022</v>
      </c>
      <c r="N1149" s="6">
        <v>2250</v>
      </c>
      <c r="O1149" s="6">
        <f>-N1149</f>
        <v>-2250</v>
      </c>
      <c r="P1149" s="6">
        <f t="shared" si="273"/>
        <v>0</v>
      </c>
      <c r="Q1149" s="7">
        <f t="shared" si="260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1"/>
        <v>11</v>
      </c>
      <c r="C1150" s="5">
        <f t="shared" si="272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13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56"/>
        <v>44873</v>
      </c>
      <c r="L1150" s="5">
        <f t="shared" si="257"/>
        <v>11</v>
      </c>
      <c r="M1150" s="5">
        <f t="shared" si="258"/>
        <v>2022</v>
      </c>
      <c r="N1150" s="6">
        <v>855</v>
      </c>
      <c r="O1150" s="6">
        <f>-N1150</f>
        <v>-855</v>
      </c>
      <c r="P1150" s="6">
        <f t="shared" si="273"/>
        <v>0</v>
      </c>
      <c r="Q1150" s="7">
        <f t="shared" si="260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75">MONTH(A1151)</f>
        <v>11</v>
      </c>
      <c r="C1151" s="5">
        <f t="shared" ref="C1151:C1182" si="276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13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56"/>
        <v>44873</v>
      </c>
      <c r="L1151" s="5">
        <f t="shared" si="257"/>
        <v>11</v>
      </c>
      <c r="M1151" s="5">
        <f t="shared" si="258"/>
        <v>2022</v>
      </c>
      <c r="N1151" s="6">
        <v>98</v>
      </c>
      <c r="O1151" s="6">
        <f>-N1151</f>
        <v>-98</v>
      </c>
      <c r="P1151" s="6">
        <f t="shared" ref="P1151:P1214" si="277">SUM(N1151+O1151)</f>
        <v>0</v>
      </c>
      <c r="Q1151" s="7">
        <f t="shared" si="260"/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75"/>
        <v>11</v>
      </c>
      <c r="C1152" s="5">
        <f t="shared" si="276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13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56"/>
        <v>44874</v>
      </c>
      <c r="L1152" s="5">
        <f t="shared" si="257"/>
        <v>11</v>
      </c>
      <c r="M1152" s="5">
        <f t="shared" si="258"/>
        <v>2022</v>
      </c>
      <c r="N1152" s="6">
        <v>1936</v>
      </c>
      <c r="O1152" s="6">
        <f t="shared" ref="O1152:O1154" si="278">-N1152</f>
        <v>-1936</v>
      </c>
      <c r="P1152" s="6">
        <f t="shared" si="277"/>
        <v>0</v>
      </c>
      <c r="Q1152" s="7">
        <f t="shared" si="260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75"/>
        <v>11</v>
      </c>
      <c r="C1153" s="5">
        <f t="shared" si="276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13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56"/>
        <v>44874</v>
      </c>
      <c r="L1153" s="5">
        <f t="shared" si="257"/>
        <v>11</v>
      </c>
      <c r="M1153" s="5">
        <f t="shared" si="258"/>
        <v>2022</v>
      </c>
      <c r="N1153" s="6">
        <v>1068</v>
      </c>
      <c r="O1153" s="6">
        <f t="shared" si="278"/>
        <v>-1068</v>
      </c>
      <c r="P1153" s="6">
        <f t="shared" si="277"/>
        <v>0</v>
      </c>
      <c r="Q1153" s="7">
        <f t="shared" si="260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75"/>
        <v>11</v>
      </c>
      <c r="C1154" s="5">
        <f t="shared" si="276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13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56"/>
        <v>44874</v>
      </c>
      <c r="L1154" s="5">
        <f t="shared" si="257"/>
        <v>11</v>
      </c>
      <c r="M1154" s="5">
        <f t="shared" si="258"/>
        <v>2022</v>
      </c>
      <c r="N1154" s="6">
        <v>90</v>
      </c>
      <c r="O1154" s="6">
        <f t="shared" si="278"/>
        <v>-90</v>
      </c>
      <c r="P1154" s="6">
        <f t="shared" si="277"/>
        <v>0</v>
      </c>
      <c r="Q1154" s="7">
        <f t="shared" si="260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75"/>
        <v>11</v>
      </c>
      <c r="C1155" s="5">
        <f t="shared" si="276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13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79">A1155+J1155</f>
        <v>44876</v>
      </c>
      <c r="L1155" s="5">
        <f t="shared" ref="L1155:L1218" si="280">MONTH(K1155)</f>
        <v>11</v>
      </c>
      <c r="M1155" s="5">
        <f t="shared" ref="M1155:M1218" si="281">YEAR(K1155)</f>
        <v>2022</v>
      </c>
      <c r="N1155" s="6">
        <v>9020</v>
      </c>
      <c r="O1155" s="6">
        <f>-8104.4-915.6</f>
        <v>-9020</v>
      </c>
      <c r="P1155" s="6">
        <f t="shared" si="277"/>
        <v>0</v>
      </c>
      <c r="Q1155" s="7">
        <f t="shared" si="260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75"/>
        <v>11</v>
      </c>
      <c r="C1156" s="5">
        <f t="shared" si="276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13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79"/>
        <v>44876</v>
      </c>
      <c r="L1156" s="5">
        <f t="shared" si="280"/>
        <v>11</v>
      </c>
      <c r="M1156" s="5">
        <f t="shared" si="281"/>
        <v>2022</v>
      </c>
      <c r="N1156" s="6">
        <v>3024</v>
      </c>
      <c r="O1156" s="6">
        <f t="shared" ref="O1156" si="282">-N1156</f>
        <v>-3024</v>
      </c>
      <c r="P1156" s="6">
        <f t="shared" si="277"/>
        <v>0</v>
      </c>
      <c r="Q1156" s="7">
        <f t="shared" si="260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75"/>
        <v>11</v>
      </c>
      <c r="C1157" s="5">
        <f t="shared" si="276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13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79"/>
        <v>44876</v>
      </c>
      <c r="L1157" s="5">
        <f t="shared" si="280"/>
        <v>11</v>
      </c>
      <c r="M1157" s="5">
        <f t="shared" si="281"/>
        <v>2022</v>
      </c>
      <c r="N1157" s="6">
        <v>1170</v>
      </c>
      <c r="O1157" s="6">
        <f>-1060.4-109.6</f>
        <v>-1170</v>
      </c>
      <c r="P1157" s="6">
        <f t="shared" si="277"/>
        <v>0</v>
      </c>
      <c r="Q1157" s="7">
        <f t="shared" si="260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75"/>
        <v>11</v>
      </c>
      <c r="C1158" s="5">
        <f t="shared" si="276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13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79"/>
        <v>44876</v>
      </c>
      <c r="L1158" s="5">
        <f t="shared" si="280"/>
        <v>11</v>
      </c>
      <c r="M1158" s="5">
        <f t="shared" si="281"/>
        <v>2022</v>
      </c>
      <c r="N1158" s="6">
        <v>312.5</v>
      </c>
      <c r="O1158" s="6">
        <f t="shared" ref="O1158:O1160" si="283">-N1158</f>
        <v>-312.5</v>
      </c>
      <c r="P1158" s="6">
        <f t="shared" si="277"/>
        <v>0</v>
      </c>
      <c r="Q1158" s="7">
        <f t="shared" si="260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75"/>
        <v>11</v>
      </c>
      <c r="C1159" s="5">
        <f t="shared" si="276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13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79"/>
        <v>44876</v>
      </c>
      <c r="L1159" s="5">
        <f t="shared" si="280"/>
        <v>11</v>
      </c>
      <c r="M1159" s="5">
        <f t="shared" si="281"/>
        <v>2022</v>
      </c>
      <c r="N1159" s="6">
        <v>1000</v>
      </c>
      <c r="O1159" s="6">
        <f t="shared" si="283"/>
        <v>-1000</v>
      </c>
      <c r="P1159" s="6">
        <f t="shared" si="277"/>
        <v>0</v>
      </c>
      <c r="Q1159" s="7">
        <f t="shared" si="260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75"/>
        <v>11</v>
      </c>
      <c r="C1160" s="5">
        <f t="shared" si="276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13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79"/>
        <v>44876</v>
      </c>
      <c r="L1160" s="5">
        <f t="shared" si="280"/>
        <v>11</v>
      </c>
      <c r="M1160" s="5">
        <f t="shared" si="281"/>
        <v>2022</v>
      </c>
      <c r="N1160" s="6">
        <v>360</v>
      </c>
      <c r="O1160" s="6">
        <f t="shared" si="283"/>
        <v>-360</v>
      </c>
      <c r="P1160" s="6">
        <f t="shared" si="277"/>
        <v>0</v>
      </c>
      <c r="Q1160" s="7">
        <f t="shared" si="260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75"/>
        <v>11</v>
      </c>
      <c r="C1161" s="5">
        <f t="shared" si="276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13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79"/>
        <v>44879</v>
      </c>
      <c r="L1161" s="5">
        <f t="shared" si="280"/>
        <v>11</v>
      </c>
      <c r="M1161" s="5">
        <f t="shared" si="281"/>
        <v>2022</v>
      </c>
      <c r="N1161" s="6">
        <v>7920</v>
      </c>
      <c r="O1161" s="6">
        <f t="shared" ref="O1161:O1170" si="284">-N1161</f>
        <v>-7920</v>
      </c>
      <c r="P1161" s="6">
        <f t="shared" si="277"/>
        <v>0</v>
      </c>
      <c r="Q1161" s="7">
        <f t="shared" si="260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75"/>
        <v>11</v>
      </c>
      <c r="C1162" s="5">
        <f t="shared" si="276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13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79"/>
        <v>44879</v>
      </c>
      <c r="L1162" s="5">
        <f t="shared" si="280"/>
        <v>11</v>
      </c>
      <c r="M1162" s="5">
        <f t="shared" si="281"/>
        <v>2022</v>
      </c>
      <c r="N1162" s="6">
        <v>993.6</v>
      </c>
      <c r="O1162" s="6">
        <f t="shared" si="284"/>
        <v>-993.6</v>
      </c>
      <c r="P1162" s="6">
        <f t="shared" si="277"/>
        <v>0</v>
      </c>
      <c r="Q1162" s="7">
        <f t="shared" si="260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75"/>
        <v>11</v>
      </c>
      <c r="C1163" s="5">
        <f t="shared" si="276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13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79"/>
        <v>44879</v>
      </c>
      <c r="L1163" s="5">
        <f t="shared" si="280"/>
        <v>11</v>
      </c>
      <c r="M1163" s="5">
        <f t="shared" si="281"/>
        <v>2022</v>
      </c>
      <c r="N1163" s="6">
        <v>993.6</v>
      </c>
      <c r="O1163" s="6">
        <f t="shared" si="284"/>
        <v>-993.6</v>
      </c>
      <c r="P1163" s="6">
        <f t="shared" si="277"/>
        <v>0</v>
      </c>
      <c r="Q1163" s="7">
        <f t="shared" si="260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75"/>
        <v>11</v>
      </c>
      <c r="C1164" s="5">
        <f t="shared" si="276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13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79"/>
        <v>44879</v>
      </c>
      <c r="L1164" s="5">
        <f t="shared" si="280"/>
        <v>11</v>
      </c>
      <c r="M1164" s="5">
        <f t="shared" si="281"/>
        <v>2022</v>
      </c>
      <c r="N1164" s="6">
        <v>315</v>
      </c>
      <c r="O1164" s="6">
        <f t="shared" si="284"/>
        <v>-315</v>
      </c>
      <c r="P1164" s="6">
        <f t="shared" si="277"/>
        <v>0</v>
      </c>
      <c r="Q1164" s="7">
        <f t="shared" si="260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75"/>
        <v>11</v>
      </c>
      <c r="C1165" s="5">
        <f t="shared" si="276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13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79"/>
        <v>44879</v>
      </c>
      <c r="L1165" s="5">
        <f t="shared" si="280"/>
        <v>11</v>
      </c>
      <c r="M1165" s="5">
        <f t="shared" si="281"/>
        <v>2022</v>
      </c>
      <c r="N1165" s="6">
        <v>640</v>
      </c>
      <c r="O1165" s="6">
        <f t="shared" si="284"/>
        <v>-640</v>
      </c>
      <c r="P1165" s="6">
        <f t="shared" si="277"/>
        <v>0</v>
      </c>
      <c r="Q1165" s="7">
        <f t="shared" si="260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75"/>
        <v>11</v>
      </c>
      <c r="C1166" s="5">
        <f t="shared" si="276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13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79"/>
        <v>44879</v>
      </c>
      <c r="L1166" s="5">
        <f t="shared" si="280"/>
        <v>11</v>
      </c>
      <c r="M1166" s="5">
        <f t="shared" si="281"/>
        <v>2022</v>
      </c>
      <c r="N1166" s="6">
        <v>360</v>
      </c>
      <c r="O1166" s="6">
        <f t="shared" si="284"/>
        <v>-360</v>
      </c>
      <c r="P1166" s="6">
        <f t="shared" si="277"/>
        <v>0</v>
      </c>
      <c r="Q1166" s="7">
        <f t="shared" si="260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75"/>
        <v>11</v>
      </c>
      <c r="C1167" s="5">
        <f t="shared" si="276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13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79"/>
        <v>44879</v>
      </c>
      <c r="L1167" s="5">
        <f t="shared" si="280"/>
        <v>11</v>
      </c>
      <c r="M1167" s="5">
        <f t="shared" si="281"/>
        <v>2022</v>
      </c>
      <c r="N1167" s="6">
        <v>270</v>
      </c>
      <c r="O1167" s="6">
        <f t="shared" si="284"/>
        <v>-270</v>
      </c>
      <c r="P1167" s="6">
        <f t="shared" si="277"/>
        <v>0</v>
      </c>
      <c r="Q1167" s="7">
        <f t="shared" si="260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75"/>
        <v>11</v>
      </c>
      <c r="C1168" s="5">
        <f t="shared" si="276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13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79"/>
        <v>44879</v>
      </c>
      <c r="L1168" s="5">
        <f t="shared" si="280"/>
        <v>11</v>
      </c>
      <c r="M1168" s="5">
        <f t="shared" si="281"/>
        <v>2022</v>
      </c>
      <c r="N1168" s="6">
        <v>440</v>
      </c>
      <c r="O1168" s="6">
        <f t="shared" si="284"/>
        <v>-440</v>
      </c>
      <c r="P1168" s="6">
        <f t="shared" si="277"/>
        <v>0</v>
      </c>
      <c r="Q1168" s="7">
        <f t="shared" si="260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75"/>
        <v>11</v>
      </c>
      <c r="C1169" s="5">
        <f t="shared" si="276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13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79"/>
        <v>44879</v>
      </c>
      <c r="L1169" s="5">
        <f t="shared" si="280"/>
        <v>11</v>
      </c>
      <c r="M1169" s="5">
        <f t="shared" si="281"/>
        <v>2022</v>
      </c>
      <c r="N1169" s="6">
        <v>1524</v>
      </c>
      <c r="O1169" s="6">
        <f t="shared" si="284"/>
        <v>-1524</v>
      </c>
      <c r="P1169" s="6">
        <f t="shared" si="277"/>
        <v>0</v>
      </c>
      <c r="Q1169" s="7">
        <f t="shared" si="260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75"/>
        <v>11</v>
      </c>
      <c r="C1170" s="5">
        <f t="shared" si="276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13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79"/>
        <v>44879</v>
      </c>
      <c r="L1170" s="5">
        <f t="shared" si="280"/>
        <v>11</v>
      </c>
      <c r="M1170" s="5">
        <f t="shared" si="281"/>
        <v>2022</v>
      </c>
      <c r="N1170" s="6">
        <v>1108.4000000000001</v>
      </c>
      <c r="O1170" s="6">
        <f t="shared" si="284"/>
        <v>-1108.4000000000001</v>
      </c>
      <c r="P1170" s="6">
        <f t="shared" si="277"/>
        <v>0</v>
      </c>
      <c r="Q1170" s="7">
        <f t="shared" ref="Q1170:Q1233" si="285">SUM(Q1169+N1170)</f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75"/>
        <v>11</v>
      </c>
      <c r="C1171" s="5">
        <f t="shared" si="276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13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79"/>
        <v>44880</v>
      </c>
      <c r="L1171" s="5">
        <f t="shared" si="280"/>
        <v>11</v>
      </c>
      <c r="M1171" s="5">
        <f t="shared" si="281"/>
        <v>2022</v>
      </c>
      <c r="N1171" s="6">
        <v>3872</v>
      </c>
      <c r="O1171" s="6">
        <f>-1500-1500-872</f>
        <v>-3872</v>
      </c>
      <c r="P1171" s="6">
        <f t="shared" si="277"/>
        <v>0</v>
      </c>
      <c r="Q1171" s="7">
        <f t="shared" si="285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75"/>
        <v>11</v>
      </c>
      <c r="C1172" s="5">
        <f t="shared" si="276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13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79"/>
        <v>44880</v>
      </c>
      <c r="L1172" s="5">
        <f t="shared" si="280"/>
        <v>11</v>
      </c>
      <c r="M1172" s="5">
        <f t="shared" si="281"/>
        <v>2022</v>
      </c>
      <c r="N1172" s="6">
        <v>961.2</v>
      </c>
      <c r="O1172" s="6">
        <f t="shared" ref="O1172" si="286">-N1172</f>
        <v>-961.2</v>
      </c>
      <c r="P1172" s="6">
        <f t="shared" si="277"/>
        <v>0</v>
      </c>
      <c r="Q1172" s="7">
        <f t="shared" si="285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75"/>
        <v>11</v>
      </c>
      <c r="C1173" s="5">
        <f t="shared" si="276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13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79"/>
        <v>44880</v>
      </c>
      <c r="L1173" s="5">
        <f t="shared" si="280"/>
        <v>11</v>
      </c>
      <c r="M1173" s="5">
        <f t="shared" si="281"/>
        <v>2022</v>
      </c>
      <c r="N1173" s="6">
        <v>450</v>
      </c>
      <c r="O1173" s="6">
        <f>-166.8-283.2</f>
        <v>-450</v>
      </c>
      <c r="P1173" s="6">
        <f t="shared" si="277"/>
        <v>0</v>
      </c>
      <c r="Q1173" s="7">
        <f t="shared" si="285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">
      <c r="A1174" s="96" t="s">
        <v>1070</v>
      </c>
      <c r="B1174" s="5">
        <f t="shared" si="275"/>
        <v>11</v>
      </c>
      <c r="C1174" s="5">
        <f t="shared" si="276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13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79"/>
        <v>44882</v>
      </c>
      <c r="L1174" s="5">
        <f t="shared" si="280"/>
        <v>11</v>
      </c>
      <c r="M1174" s="5">
        <f t="shared" si="281"/>
        <v>2022</v>
      </c>
      <c r="N1174" s="6">
        <v>105</v>
      </c>
      <c r="O1174" s="6">
        <f t="shared" ref="O1174" si="287">-N1174</f>
        <v>-105</v>
      </c>
      <c r="P1174" s="6">
        <f>SUM(N1174+O1174)</f>
        <v>0</v>
      </c>
      <c r="Q1174" s="7">
        <f t="shared" si="285"/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">
      <c r="A1175" s="96" t="s">
        <v>1071</v>
      </c>
      <c r="B1175" s="5">
        <f t="shared" si="275"/>
        <v>11</v>
      </c>
      <c r="C1175" s="5">
        <f t="shared" si="276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13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79"/>
        <v>44887</v>
      </c>
      <c r="L1175" s="5">
        <f t="shared" si="280"/>
        <v>11</v>
      </c>
      <c r="M1175" s="5">
        <f t="shared" si="281"/>
        <v>2022</v>
      </c>
      <c r="N1175" s="6">
        <v>1936</v>
      </c>
      <c r="O1175" s="6">
        <f>-N1175</f>
        <v>-1936</v>
      </c>
      <c r="P1175" s="6">
        <f t="shared" si="277"/>
        <v>0</v>
      </c>
      <c r="Q1175" s="7">
        <f t="shared" si="285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">
      <c r="A1176" s="96" t="s">
        <v>1071</v>
      </c>
      <c r="B1176" s="5">
        <f t="shared" si="275"/>
        <v>11</v>
      </c>
      <c r="C1176" s="5">
        <f t="shared" si="276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13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79"/>
        <v>44887</v>
      </c>
      <c r="L1176" s="5">
        <f t="shared" si="280"/>
        <v>11</v>
      </c>
      <c r="M1176" s="5">
        <f t="shared" si="281"/>
        <v>2022</v>
      </c>
      <c r="N1176" s="6">
        <v>780</v>
      </c>
      <c r="O1176" s="6">
        <f>-N1176</f>
        <v>-780</v>
      </c>
      <c r="P1176" s="6">
        <f t="shared" si="277"/>
        <v>0</v>
      </c>
      <c r="Q1176" s="7">
        <f t="shared" si="285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">
      <c r="A1177" s="96" t="s">
        <v>1071</v>
      </c>
      <c r="B1177" s="5">
        <f t="shared" si="275"/>
        <v>11</v>
      </c>
      <c r="C1177" s="5">
        <f t="shared" si="276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13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79"/>
        <v>44887</v>
      </c>
      <c r="L1177" s="5">
        <f t="shared" si="280"/>
        <v>11</v>
      </c>
      <c r="M1177" s="5">
        <f t="shared" si="281"/>
        <v>2022</v>
      </c>
      <c r="N1177" s="6">
        <v>10824</v>
      </c>
      <c r="O1177" s="6">
        <f t="shared" ref="O1177" si="288">-N1177</f>
        <v>-10824</v>
      </c>
      <c r="P1177" s="6">
        <f t="shared" si="277"/>
        <v>0</v>
      </c>
      <c r="Q1177" s="7">
        <f t="shared" si="285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">
      <c r="A1178" s="96" t="s">
        <v>1071</v>
      </c>
      <c r="B1178" s="5">
        <f t="shared" si="275"/>
        <v>11</v>
      </c>
      <c r="C1178" s="5">
        <f t="shared" si="276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13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79"/>
        <v>44887</v>
      </c>
      <c r="L1178" s="5">
        <f t="shared" si="280"/>
        <v>11</v>
      </c>
      <c r="M1178" s="5">
        <f t="shared" si="281"/>
        <v>2022</v>
      </c>
      <c r="N1178" s="6">
        <v>3024</v>
      </c>
      <c r="O1178" s="6">
        <f>-2393.9-630.1</f>
        <v>-3024</v>
      </c>
      <c r="P1178" s="6">
        <f t="shared" si="277"/>
        <v>0</v>
      </c>
      <c r="Q1178" s="7">
        <f t="shared" si="285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">
      <c r="A1179" s="96" t="s">
        <v>1071</v>
      </c>
      <c r="B1179" s="5">
        <f t="shared" si="275"/>
        <v>11</v>
      </c>
      <c r="C1179" s="5">
        <f t="shared" si="276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13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79"/>
        <v>44887</v>
      </c>
      <c r="L1179" s="5">
        <f t="shared" si="280"/>
        <v>11</v>
      </c>
      <c r="M1179" s="5">
        <f t="shared" si="281"/>
        <v>2022</v>
      </c>
      <c r="N1179" s="6">
        <v>1560</v>
      </c>
      <c r="O1179" s="6">
        <f t="shared" ref="O1179:O1182" si="289">-N1179</f>
        <v>-1560</v>
      </c>
      <c r="P1179" s="6">
        <f t="shared" si="277"/>
        <v>0</v>
      </c>
      <c r="Q1179" s="7">
        <f t="shared" si="285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">
      <c r="A1180" s="96" t="s">
        <v>1071</v>
      </c>
      <c r="B1180" s="5">
        <f t="shared" si="275"/>
        <v>11</v>
      </c>
      <c r="C1180" s="5">
        <f t="shared" si="276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13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79"/>
        <v>44887</v>
      </c>
      <c r="L1180" s="5">
        <f t="shared" si="280"/>
        <v>11</v>
      </c>
      <c r="M1180" s="5">
        <f t="shared" si="281"/>
        <v>2022</v>
      </c>
      <c r="N1180" s="6">
        <v>375</v>
      </c>
      <c r="O1180" s="6">
        <f t="shared" si="289"/>
        <v>-375</v>
      </c>
      <c r="P1180" s="6">
        <f t="shared" si="277"/>
        <v>0</v>
      </c>
      <c r="Q1180" s="7">
        <f t="shared" si="285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">
      <c r="A1181" s="96" t="s">
        <v>1071</v>
      </c>
      <c r="B1181" s="5">
        <f t="shared" si="275"/>
        <v>11</v>
      </c>
      <c r="C1181" s="5">
        <f t="shared" si="276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13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79"/>
        <v>44887</v>
      </c>
      <c r="L1181" s="5">
        <f t="shared" si="280"/>
        <v>11</v>
      </c>
      <c r="M1181" s="5">
        <f t="shared" si="281"/>
        <v>2022</v>
      </c>
      <c r="N1181" s="6">
        <v>1000</v>
      </c>
      <c r="O1181" s="6">
        <f t="shared" si="289"/>
        <v>-1000</v>
      </c>
      <c r="P1181" s="6">
        <f t="shared" si="277"/>
        <v>0</v>
      </c>
      <c r="Q1181" s="7">
        <f t="shared" si="285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">
      <c r="A1182" s="96" t="s">
        <v>1071</v>
      </c>
      <c r="B1182" s="5">
        <f t="shared" si="275"/>
        <v>11</v>
      </c>
      <c r="C1182" s="5">
        <f t="shared" si="276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13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79"/>
        <v>44887</v>
      </c>
      <c r="L1182" s="5">
        <f t="shared" si="280"/>
        <v>11</v>
      </c>
      <c r="M1182" s="5">
        <f t="shared" si="281"/>
        <v>2022</v>
      </c>
      <c r="N1182" s="6">
        <v>453.59999999999997</v>
      </c>
      <c r="O1182" s="6">
        <f t="shared" si="289"/>
        <v>-453.59999999999997</v>
      </c>
      <c r="P1182" s="6">
        <f t="shared" si="277"/>
        <v>0</v>
      </c>
      <c r="Q1182" s="7">
        <f t="shared" si="285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0">MONTH(A1183)</f>
        <v>11</v>
      </c>
      <c r="C1183" s="5">
        <f t="shared" ref="C1183:C1193" si="291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13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79"/>
        <v>44939</v>
      </c>
      <c r="L1183" s="5">
        <f t="shared" si="280"/>
        <v>1</v>
      </c>
      <c r="M1183" s="5">
        <f t="shared" si="281"/>
        <v>2023</v>
      </c>
      <c r="N1183" s="6">
        <v>5808</v>
      </c>
      <c r="O1183" s="6">
        <f>-N1183</f>
        <v>-5808</v>
      </c>
      <c r="P1183" s="6">
        <f t="shared" si="277"/>
        <v>0</v>
      </c>
      <c r="Q1183" s="7">
        <f t="shared" si="285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0"/>
        <v>11</v>
      </c>
      <c r="C1184" s="5">
        <f t="shared" si="291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13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79"/>
        <v>44939</v>
      </c>
      <c r="L1184" s="5">
        <f t="shared" si="280"/>
        <v>1</v>
      </c>
      <c r="M1184" s="5">
        <f t="shared" si="281"/>
        <v>2023</v>
      </c>
      <c r="N1184" s="6">
        <v>306</v>
      </c>
      <c r="O1184" s="6">
        <f>-192-114</f>
        <v>-306</v>
      </c>
      <c r="P1184" s="6">
        <f t="shared" si="277"/>
        <v>0</v>
      </c>
      <c r="Q1184" s="7">
        <f t="shared" si="285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0"/>
        <v>11</v>
      </c>
      <c r="C1185" s="5">
        <f t="shared" si="291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13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79"/>
        <v>44939</v>
      </c>
      <c r="L1185" s="5">
        <f t="shared" si="280"/>
        <v>1</v>
      </c>
      <c r="M1185" s="5">
        <f t="shared" si="281"/>
        <v>2023</v>
      </c>
      <c r="N1185" s="6">
        <v>325</v>
      </c>
      <c r="O1185" s="6">
        <f>-N1185</f>
        <v>-325</v>
      </c>
      <c r="P1185" s="6">
        <f t="shared" si="277"/>
        <v>0</v>
      </c>
      <c r="Q1185" s="7">
        <f t="shared" si="285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0"/>
        <v>11</v>
      </c>
      <c r="C1186" s="5">
        <f t="shared" si="291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13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79"/>
        <v>44939</v>
      </c>
      <c r="L1186" s="5">
        <f t="shared" si="280"/>
        <v>1</v>
      </c>
      <c r="M1186" s="5">
        <f t="shared" si="281"/>
        <v>2023</v>
      </c>
      <c r="N1186" s="6">
        <v>630</v>
      </c>
      <c r="O1186" s="6">
        <f>-N1186</f>
        <v>-630</v>
      </c>
      <c r="P1186" s="6">
        <f t="shared" si="277"/>
        <v>0</v>
      </c>
      <c r="Q1186" s="7">
        <f t="shared" si="285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0"/>
        <v>11</v>
      </c>
      <c r="C1187" s="5">
        <f t="shared" si="291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13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79"/>
        <v>44939</v>
      </c>
      <c r="L1187" s="5">
        <f t="shared" si="280"/>
        <v>1</v>
      </c>
      <c r="M1187" s="5">
        <f t="shared" si="281"/>
        <v>2023</v>
      </c>
      <c r="N1187" s="6">
        <v>150</v>
      </c>
      <c r="O1187" s="6">
        <f>-N1187</f>
        <v>-150</v>
      </c>
      <c r="P1187" s="6">
        <f t="shared" si="277"/>
        <v>0</v>
      </c>
      <c r="Q1187" s="7">
        <f t="shared" si="285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0"/>
        <v>11</v>
      </c>
      <c r="C1188" s="5">
        <f t="shared" si="291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13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79"/>
        <v>45014</v>
      </c>
      <c r="L1188" s="5">
        <f t="shared" si="280"/>
        <v>3</v>
      </c>
      <c r="M1188" s="5">
        <f t="shared" si="281"/>
        <v>2023</v>
      </c>
      <c r="N1188" s="6">
        <v>9020</v>
      </c>
      <c r="O1188" s="6">
        <f t="shared" ref="O1188:O1193" si="292">-N1188</f>
        <v>-9020</v>
      </c>
      <c r="P1188" s="6">
        <f t="shared" si="277"/>
        <v>0</v>
      </c>
      <c r="Q1188" s="7">
        <f t="shared" si="285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0"/>
        <v>11</v>
      </c>
      <c r="C1189" s="5">
        <f t="shared" si="291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13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79"/>
        <v>45014</v>
      </c>
      <c r="L1189" s="5">
        <f t="shared" si="280"/>
        <v>3</v>
      </c>
      <c r="M1189" s="5">
        <f t="shared" si="281"/>
        <v>2023</v>
      </c>
      <c r="N1189" s="6">
        <v>1245</v>
      </c>
      <c r="O1189" s="6">
        <f t="shared" si="292"/>
        <v>-1245</v>
      </c>
      <c r="P1189" s="6">
        <f t="shared" si="277"/>
        <v>0</v>
      </c>
      <c r="Q1189" s="7">
        <f t="shared" si="285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0"/>
        <v>11</v>
      </c>
      <c r="C1190" s="5">
        <f t="shared" si="291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13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79"/>
        <v>45014</v>
      </c>
      <c r="L1190" s="5">
        <f t="shared" si="280"/>
        <v>3</v>
      </c>
      <c r="M1190" s="5">
        <f t="shared" si="281"/>
        <v>2023</v>
      </c>
      <c r="N1190" s="6">
        <v>287.5</v>
      </c>
      <c r="O1190" s="6">
        <f t="shared" si="292"/>
        <v>-287.5</v>
      </c>
      <c r="P1190" s="6">
        <f t="shared" si="277"/>
        <v>0</v>
      </c>
      <c r="Q1190" s="7">
        <f t="shared" si="285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0"/>
        <v>11</v>
      </c>
      <c r="C1191" s="5">
        <f t="shared" si="291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13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79"/>
        <v>45014</v>
      </c>
      <c r="L1191" s="5">
        <f t="shared" si="280"/>
        <v>3</v>
      </c>
      <c r="M1191" s="5">
        <f t="shared" si="281"/>
        <v>2023</v>
      </c>
      <c r="N1191" s="6">
        <v>420</v>
      </c>
      <c r="O1191" s="6">
        <f t="shared" si="292"/>
        <v>-420</v>
      </c>
      <c r="P1191" s="6">
        <f t="shared" si="277"/>
        <v>0</v>
      </c>
      <c r="Q1191" s="7">
        <f t="shared" si="285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0"/>
        <v>11</v>
      </c>
      <c r="C1192" s="5">
        <f t="shared" si="291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13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79"/>
        <v>45014</v>
      </c>
      <c r="L1192" s="5">
        <f t="shared" si="280"/>
        <v>3</v>
      </c>
      <c r="M1192" s="5">
        <f t="shared" si="281"/>
        <v>2023</v>
      </c>
      <c r="N1192" s="6">
        <v>200</v>
      </c>
      <c r="O1192" s="6">
        <f t="shared" si="292"/>
        <v>-200</v>
      </c>
      <c r="P1192" s="6">
        <f t="shared" si="277"/>
        <v>0</v>
      </c>
      <c r="Q1192" s="7">
        <f t="shared" si="285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0"/>
        <v>11</v>
      </c>
      <c r="C1193" s="5">
        <f t="shared" si="291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13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79"/>
        <v>45014</v>
      </c>
      <c r="L1193" s="5">
        <f t="shared" si="280"/>
        <v>3</v>
      </c>
      <c r="M1193" s="5">
        <f t="shared" si="281"/>
        <v>2023</v>
      </c>
      <c r="N1193" s="6">
        <v>238</v>
      </c>
      <c r="O1193" s="6">
        <f t="shared" si="292"/>
        <v>-238</v>
      </c>
      <c r="P1193" s="6">
        <f t="shared" si="277"/>
        <v>0</v>
      </c>
      <c r="Q1193" s="7">
        <f t="shared" si="285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3">MONTH(A1194)</f>
        <v>11</v>
      </c>
      <c r="C1194" s="5">
        <f t="shared" ref="C1194:C1197" si="294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13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79"/>
        <v>44895</v>
      </c>
      <c r="L1194" s="5">
        <f t="shared" si="280"/>
        <v>11</v>
      </c>
      <c r="M1194" s="5">
        <f t="shared" si="281"/>
        <v>2022</v>
      </c>
      <c r="N1194" s="6">
        <v>260</v>
      </c>
      <c r="O1194" s="6">
        <f>-N1194</f>
        <v>-260</v>
      </c>
      <c r="P1194" s="6">
        <f t="shared" si="277"/>
        <v>0</v>
      </c>
      <c r="Q1194" s="7">
        <f t="shared" si="285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3"/>
        <v>11</v>
      </c>
      <c r="C1195" s="5">
        <f t="shared" si="294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13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79"/>
        <v>44895</v>
      </c>
      <c r="L1195" s="5">
        <f t="shared" si="280"/>
        <v>11</v>
      </c>
      <c r="M1195" s="5">
        <f t="shared" si="281"/>
        <v>2022</v>
      </c>
      <c r="N1195" s="6">
        <v>260</v>
      </c>
      <c r="O1195" s="6">
        <f>-N1195</f>
        <v>-260</v>
      </c>
      <c r="P1195" s="6">
        <f t="shared" si="277"/>
        <v>0</v>
      </c>
      <c r="Q1195" s="7">
        <f t="shared" si="285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3"/>
        <v>11</v>
      </c>
      <c r="C1196" s="5">
        <f t="shared" si="294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13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79"/>
        <v>44895</v>
      </c>
      <c r="L1196" s="5">
        <f t="shared" si="280"/>
        <v>11</v>
      </c>
      <c r="M1196" s="5">
        <f t="shared" si="281"/>
        <v>2022</v>
      </c>
      <c r="N1196" s="6">
        <v>115</v>
      </c>
      <c r="O1196" s="6">
        <f>-N1196</f>
        <v>-115</v>
      </c>
      <c r="P1196" s="6">
        <f t="shared" si="277"/>
        <v>0</v>
      </c>
      <c r="Q1196" s="7">
        <f t="shared" si="285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3"/>
        <v>12</v>
      </c>
      <c r="C1197" s="5">
        <f t="shared" si="294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13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79"/>
        <v>44896</v>
      </c>
      <c r="L1197" s="5">
        <f t="shared" si="280"/>
        <v>12</v>
      </c>
      <c r="M1197" s="5">
        <f t="shared" si="281"/>
        <v>2022</v>
      </c>
      <c r="N1197" s="6">
        <v>60</v>
      </c>
      <c r="O1197" s="6">
        <f>-N1197</f>
        <v>-60</v>
      </c>
      <c r="P1197" s="6">
        <f t="shared" si="277"/>
        <v>0</v>
      </c>
      <c r="Q1197" s="7">
        <f t="shared" si="285"/>
        <v>2163234.4500000011</v>
      </c>
      <c r="R1197" s="44" t="str">
        <f>VLOOKUP(F1197,'Set up'!$A$2:$E$55,5,FALSE)</f>
        <v>Trsf</v>
      </c>
    </row>
    <row r="1198" spans="1:19" x14ac:dyDescent="0.3">
      <c r="A1198" s="4">
        <v>44896</v>
      </c>
      <c r="B1198" s="5">
        <f t="shared" ref="B1198:B1210" si="295">MONTH(A1198)</f>
        <v>12</v>
      </c>
      <c r="C1198" s="5">
        <f t="shared" ref="C1198:C1210" si="296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13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79"/>
        <v>44896</v>
      </c>
      <c r="L1198" s="5">
        <f t="shared" si="280"/>
        <v>12</v>
      </c>
      <c r="M1198" s="5">
        <f t="shared" si="281"/>
        <v>2022</v>
      </c>
      <c r="N1198" s="6">
        <v>855</v>
      </c>
      <c r="O1198" s="6">
        <f t="shared" ref="O1198:O1210" si="297">-N1198</f>
        <v>-855</v>
      </c>
      <c r="P1198" s="6">
        <f t="shared" si="277"/>
        <v>0</v>
      </c>
      <c r="Q1198" s="7">
        <f t="shared" si="285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295"/>
        <v>12</v>
      </c>
      <c r="C1199" s="5">
        <f t="shared" si="296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13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79"/>
        <v>44897</v>
      </c>
      <c r="L1199" s="5">
        <f t="shared" si="280"/>
        <v>12</v>
      </c>
      <c r="M1199" s="5">
        <f t="shared" si="281"/>
        <v>2022</v>
      </c>
      <c r="N1199" s="6">
        <v>3608</v>
      </c>
      <c r="O1199" s="6">
        <f t="shared" si="297"/>
        <v>-3608</v>
      </c>
      <c r="P1199" s="6">
        <f t="shared" si="277"/>
        <v>0</v>
      </c>
      <c r="Q1199" s="7">
        <f t="shared" si="285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295"/>
        <v>12</v>
      </c>
      <c r="C1200" s="5">
        <f t="shared" si="296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13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79"/>
        <v>44897</v>
      </c>
      <c r="L1200" s="5">
        <f t="shared" si="280"/>
        <v>12</v>
      </c>
      <c r="M1200" s="5">
        <f t="shared" si="281"/>
        <v>2022</v>
      </c>
      <c r="N1200" s="6">
        <v>756</v>
      </c>
      <c r="O1200" s="6">
        <f t="shared" si="297"/>
        <v>-756</v>
      </c>
      <c r="P1200" s="6">
        <f t="shared" si="277"/>
        <v>0</v>
      </c>
      <c r="Q1200" s="7">
        <f t="shared" si="285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295"/>
        <v>12</v>
      </c>
      <c r="C1201" s="5">
        <f t="shared" si="296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13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79"/>
        <v>44897</v>
      </c>
      <c r="L1201" s="5">
        <f t="shared" si="280"/>
        <v>12</v>
      </c>
      <c r="M1201" s="5">
        <f t="shared" si="281"/>
        <v>2022</v>
      </c>
      <c r="N1201" s="6">
        <v>125</v>
      </c>
      <c r="O1201" s="6">
        <f t="shared" si="297"/>
        <v>-125</v>
      </c>
      <c r="P1201" s="6">
        <f t="shared" si="277"/>
        <v>0</v>
      </c>
      <c r="Q1201" s="7">
        <f t="shared" si="285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295"/>
        <v>12</v>
      </c>
      <c r="C1202" s="5">
        <f t="shared" si="296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13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79"/>
        <v>44897</v>
      </c>
      <c r="L1202" s="5">
        <f t="shared" si="280"/>
        <v>12</v>
      </c>
      <c r="M1202" s="5">
        <f t="shared" si="281"/>
        <v>2022</v>
      </c>
      <c r="N1202" s="6">
        <v>1804</v>
      </c>
      <c r="O1202" s="6">
        <f>-1492.3-311.7</f>
        <v>-1804</v>
      </c>
      <c r="P1202" s="6">
        <f t="shared" si="277"/>
        <v>0</v>
      </c>
      <c r="Q1202" s="7">
        <f t="shared" si="285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295"/>
        <v>12</v>
      </c>
      <c r="C1203" s="5">
        <f t="shared" si="296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13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79"/>
        <v>44897</v>
      </c>
      <c r="L1203" s="5">
        <f t="shared" si="280"/>
        <v>12</v>
      </c>
      <c r="M1203" s="5">
        <f t="shared" si="281"/>
        <v>2022</v>
      </c>
      <c r="N1203" s="6">
        <v>756</v>
      </c>
      <c r="O1203" s="6">
        <f t="shared" si="297"/>
        <v>-756</v>
      </c>
      <c r="P1203" s="6">
        <f t="shared" si="277"/>
        <v>0</v>
      </c>
      <c r="Q1203" s="7">
        <f t="shared" si="285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295"/>
        <v>12</v>
      </c>
      <c r="C1204" s="5">
        <f t="shared" si="296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13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79"/>
        <v>44897</v>
      </c>
      <c r="L1204" s="5">
        <f t="shared" si="280"/>
        <v>12</v>
      </c>
      <c r="M1204" s="5">
        <f t="shared" si="281"/>
        <v>2022</v>
      </c>
      <c r="N1204" s="6">
        <v>292.5</v>
      </c>
      <c r="O1204" s="6">
        <f t="shared" si="297"/>
        <v>-292.5</v>
      </c>
      <c r="P1204" s="6">
        <f t="shared" si="277"/>
        <v>0</v>
      </c>
      <c r="Q1204" s="7">
        <f t="shared" si="285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295"/>
        <v>12</v>
      </c>
      <c r="C1205" s="5">
        <f t="shared" si="296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13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79"/>
        <v>44897</v>
      </c>
      <c r="L1205" s="5">
        <f t="shared" si="280"/>
        <v>12</v>
      </c>
      <c r="M1205" s="5">
        <f t="shared" si="281"/>
        <v>2022</v>
      </c>
      <c r="N1205" s="6">
        <v>62.5</v>
      </c>
      <c r="O1205" s="6">
        <f t="shared" si="297"/>
        <v>-62.5</v>
      </c>
      <c r="P1205" s="6">
        <f t="shared" si="277"/>
        <v>0</v>
      </c>
      <c r="Q1205" s="7">
        <f t="shared" si="285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295"/>
        <v>12</v>
      </c>
      <c r="C1206" s="5">
        <f t="shared" si="296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13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79"/>
        <v>44897</v>
      </c>
      <c r="L1206" s="5">
        <f t="shared" si="280"/>
        <v>12</v>
      </c>
      <c r="M1206" s="5">
        <f t="shared" si="281"/>
        <v>2022</v>
      </c>
      <c r="N1206" s="6">
        <v>1000</v>
      </c>
      <c r="O1206" s="6">
        <f t="shared" si="297"/>
        <v>-1000</v>
      </c>
      <c r="P1206" s="6">
        <f t="shared" si="277"/>
        <v>0</v>
      </c>
      <c r="Q1206" s="7">
        <f t="shared" si="285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295"/>
        <v>12</v>
      </c>
      <c r="C1207" s="5">
        <f t="shared" si="296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13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79"/>
        <v>44958</v>
      </c>
      <c r="L1207" s="5">
        <f t="shared" si="280"/>
        <v>2</v>
      </c>
      <c r="M1207" s="5">
        <f t="shared" si="281"/>
        <v>2023</v>
      </c>
      <c r="N1207" s="6">
        <v>1804</v>
      </c>
      <c r="O1207" s="6">
        <f t="shared" si="297"/>
        <v>-1804</v>
      </c>
      <c r="P1207" s="6">
        <f t="shared" si="277"/>
        <v>0</v>
      </c>
      <c r="Q1207" s="7">
        <f t="shared" si="285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295"/>
        <v>12</v>
      </c>
      <c r="C1208" s="5">
        <f t="shared" si="296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13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79"/>
        <v>44958</v>
      </c>
      <c r="L1208" s="5">
        <f t="shared" si="280"/>
        <v>2</v>
      </c>
      <c r="M1208" s="5">
        <f t="shared" si="281"/>
        <v>2023</v>
      </c>
      <c r="N1208" s="6">
        <v>1804</v>
      </c>
      <c r="O1208" s="6">
        <f t="shared" si="297"/>
        <v>-1804</v>
      </c>
      <c r="P1208" s="6">
        <f t="shared" si="277"/>
        <v>0</v>
      </c>
      <c r="Q1208" s="7">
        <f t="shared" si="285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295"/>
        <v>12</v>
      </c>
      <c r="C1209" s="5">
        <f t="shared" si="296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13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79"/>
        <v>44958</v>
      </c>
      <c r="L1209" s="5">
        <f t="shared" si="280"/>
        <v>2</v>
      </c>
      <c r="M1209" s="5">
        <f t="shared" si="281"/>
        <v>2023</v>
      </c>
      <c r="N1209" s="6">
        <v>874.8</v>
      </c>
      <c r="O1209" s="6">
        <f t="shared" si="297"/>
        <v>-874.8</v>
      </c>
      <c r="P1209" s="6">
        <f t="shared" si="277"/>
        <v>0</v>
      </c>
      <c r="Q1209" s="7">
        <f t="shared" si="285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295"/>
        <v>12</v>
      </c>
      <c r="C1210" s="5">
        <f t="shared" si="296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13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79"/>
        <v>44958</v>
      </c>
      <c r="L1210" s="5">
        <f t="shared" si="280"/>
        <v>2</v>
      </c>
      <c r="M1210" s="5">
        <f t="shared" si="281"/>
        <v>2023</v>
      </c>
      <c r="N1210" s="6">
        <v>150</v>
      </c>
      <c r="O1210" s="6">
        <f t="shared" si="297"/>
        <v>-150</v>
      </c>
      <c r="P1210" s="6">
        <f t="shared" si="277"/>
        <v>0</v>
      </c>
      <c r="Q1210" s="7">
        <f t="shared" si="285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298">MONTH(A1211)</f>
        <v>12</v>
      </c>
      <c r="C1211" s="5">
        <f t="shared" ref="C1211:C1220" si="299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13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79"/>
        <v>44898</v>
      </c>
      <c r="L1211" s="5">
        <f t="shared" si="280"/>
        <v>12</v>
      </c>
      <c r="M1211" s="5">
        <f t="shared" si="281"/>
        <v>2022</v>
      </c>
      <c r="N1211" s="6">
        <v>5412</v>
      </c>
      <c r="O1211" s="6">
        <f t="shared" ref="O1211:O1214" si="300">-N1211</f>
        <v>-5412</v>
      </c>
      <c r="P1211" s="6">
        <f t="shared" si="277"/>
        <v>0</v>
      </c>
      <c r="Q1211" s="7">
        <f t="shared" si="285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298"/>
        <v>12</v>
      </c>
      <c r="C1212" s="5">
        <f t="shared" si="299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13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79"/>
        <v>44898</v>
      </c>
      <c r="L1212" s="5">
        <f t="shared" si="280"/>
        <v>12</v>
      </c>
      <c r="M1212" s="5">
        <f t="shared" si="281"/>
        <v>2022</v>
      </c>
      <c r="N1212" s="6">
        <v>756</v>
      </c>
      <c r="O1212" s="6">
        <f t="shared" si="300"/>
        <v>-756</v>
      </c>
      <c r="P1212" s="6">
        <f t="shared" si="277"/>
        <v>0</v>
      </c>
      <c r="Q1212" s="7">
        <f t="shared" si="285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298"/>
        <v>12</v>
      </c>
      <c r="C1213" s="5">
        <f t="shared" si="299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13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79"/>
        <v>44898</v>
      </c>
      <c r="L1213" s="5">
        <f t="shared" si="280"/>
        <v>12</v>
      </c>
      <c r="M1213" s="5">
        <f t="shared" si="281"/>
        <v>2022</v>
      </c>
      <c r="N1213" s="6">
        <v>1040</v>
      </c>
      <c r="O1213" s="6">
        <f t="shared" si="300"/>
        <v>-1040</v>
      </c>
      <c r="P1213" s="6">
        <f t="shared" si="277"/>
        <v>0</v>
      </c>
      <c r="Q1213" s="7">
        <f t="shared" si="285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298"/>
        <v>12</v>
      </c>
      <c r="C1214" s="5">
        <f t="shared" si="299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13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79"/>
        <v>44898</v>
      </c>
      <c r="L1214" s="5">
        <f t="shared" si="280"/>
        <v>12</v>
      </c>
      <c r="M1214" s="5">
        <f t="shared" si="281"/>
        <v>2022</v>
      </c>
      <c r="N1214" s="6">
        <v>187.5</v>
      </c>
      <c r="O1214" s="6">
        <f t="shared" si="300"/>
        <v>-187.5</v>
      </c>
      <c r="P1214" s="6">
        <f t="shared" si="277"/>
        <v>0</v>
      </c>
      <c r="Q1214" s="7">
        <f t="shared" si="285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298"/>
        <v>12</v>
      </c>
      <c r="C1215" s="5">
        <f t="shared" si="299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13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79"/>
        <v>44900</v>
      </c>
      <c r="L1215" s="5">
        <f t="shared" si="280"/>
        <v>12</v>
      </c>
      <c r="M1215" s="5">
        <f t="shared" si="281"/>
        <v>2022</v>
      </c>
      <c r="N1215" s="6">
        <v>45</v>
      </c>
      <c r="O1215" s="6">
        <f t="shared" ref="O1215:O1220" si="301">-N1215</f>
        <v>-45</v>
      </c>
      <c r="P1215" s="6">
        <f t="shared" ref="P1215:P1278" si="302">SUM(N1215+O1215)</f>
        <v>0</v>
      </c>
      <c r="Q1215" s="7">
        <f t="shared" si="285"/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298"/>
        <v>12</v>
      </c>
      <c r="C1216" s="5">
        <f t="shared" si="299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13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79"/>
        <v>44900</v>
      </c>
      <c r="L1216" s="5">
        <f t="shared" si="280"/>
        <v>12</v>
      </c>
      <c r="M1216" s="5">
        <f t="shared" si="281"/>
        <v>2022</v>
      </c>
      <c r="N1216" s="6">
        <v>48</v>
      </c>
      <c r="O1216" s="6">
        <f t="shared" si="301"/>
        <v>-48</v>
      </c>
      <c r="P1216" s="6">
        <f t="shared" si="302"/>
        <v>0</v>
      </c>
      <c r="Q1216" s="7">
        <f t="shared" si="285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298"/>
        <v>12</v>
      </c>
      <c r="C1217" s="5">
        <f t="shared" si="299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13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79"/>
        <v>44901</v>
      </c>
      <c r="L1217" s="5">
        <f t="shared" si="280"/>
        <v>12</v>
      </c>
      <c r="M1217" s="5">
        <f t="shared" si="281"/>
        <v>2022</v>
      </c>
      <c r="N1217" s="6">
        <v>1936</v>
      </c>
      <c r="O1217" s="6">
        <f t="shared" si="301"/>
        <v>-1936</v>
      </c>
      <c r="P1217" s="6">
        <f t="shared" si="302"/>
        <v>0</v>
      </c>
      <c r="Q1217" s="7">
        <f t="shared" si="285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298"/>
        <v>12</v>
      </c>
      <c r="C1218" s="5">
        <f t="shared" si="299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13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79"/>
        <v>44901</v>
      </c>
      <c r="L1218" s="5">
        <f t="shared" si="280"/>
        <v>12</v>
      </c>
      <c r="M1218" s="5">
        <f t="shared" si="281"/>
        <v>2022</v>
      </c>
      <c r="N1218" s="6">
        <v>801</v>
      </c>
      <c r="O1218" s="6">
        <f t="shared" si="301"/>
        <v>-801</v>
      </c>
      <c r="P1218" s="6">
        <f t="shared" si="302"/>
        <v>0</v>
      </c>
      <c r="Q1218" s="7">
        <f t="shared" si="285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298"/>
        <v>12</v>
      </c>
      <c r="C1219" s="5">
        <f t="shared" si="299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13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3">A1219+J1219</f>
        <v>44901</v>
      </c>
      <c r="L1219" s="5">
        <f t="shared" ref="L1219:L1282" si="304">MONTH(K1219)</f>
        <v>12</v>
      </c>
      <c r="M1219" s="5">
        <f t="shared" ref="M1219:M1282" si="305">YEAR(K1219)</f>
        <v>2022</v>
      </c>
      <c r="N1219" s="6">
        <v>105</v>
      </c>
      <c r="O1219" s="6">
        <f t="shared" si="301"/>
        <v>-105</v>
      </c>
      <c r="P1219" s="6">
        <f t="shared" si="302"/>
        <v>0</v>
      </c>
      <c r="Q1219" s="7">
        <f t="shared" si="285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298"/>
        <v>12</v>
      </c>
      <c r="C1220" s="5">
        <f t="shared" si="299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13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3"/>
        <v>44901</v>
      </c>
      <c r="L1220" s="5">
        <f t="shared" si="304"/>
        <v>12</v>
      </c>
      <c r="M1220" s="5">
        <f t="shared" si="305"/>
        <v>2022</v>
      </c>
      <c r="N1220" s="6">
        <v>225</v>
      </c>
      <c r="O1220" s="6">
        <f t="shared" si="301"/>
        <v>-225</v>
      </c>
      <c r="P1220" s="6">
        <f t="shared" si="302"/>
        <v>0</v>
      </c>
      <c r="Q1220" s="7">
        <f t="shared" si="285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06">MONTH(A1221)</f>
        <v>12</v>
      </c>
      <c r="C1221" s="5">
        <f t="shared" ref="C1221:C1241" si="307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13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3"/>
        <v>44902</v>
      </c>
      <c r="L1221" s="5">
        <f t="shared" si="304"/>
        <v>12</v>
      </c>
      <c r="M1221" s="5">
        <f t="shared" si="305"/>
        <v>2022</v>
      </c>
      <c r="N1221" s="6">
        <v>2024</v>
      </c>
      <c r="O1221" s="6">
        <f>-1500-524</f>
        <v>-2024</v>
      </c>
      <c r="P1221" s="6">
        <f t="shared" si="302"/>
        <v>0</v>
      </c>
      <c r="Q1221" s="7">
        <f t="shared" si="285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06"/>
        <v>12</v>
      </c>
      <c r="C1222" s="5">
        <f t="shared" si="307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13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3"/>
        <v>44904</v>
      </c>
      <c r="L1222" s="5">
        <f t="shared" si="304"/>
        <v>12</v>
      </c>
      <c r="M1222" s="5">
        <f t="shared" si="305"/>
        <v>2022</v>
      </c>
      <c r="N1222" s="6">
        <v>18040</v>
      </c>
      <c r="O1222" s="6">
        <f>-181.8-17858.2</f>
        <v>-18040</v>
      </c>
      <c r="P1222" s="6">
        <f t="shared" si="302"/>
        <v>0</v>
      </c>
      <c r="Q1222" s="7">
        <f t="shared" si="285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06"/>
        <v>12</v>
      </c>
      <c r="C1223" s="5">
        <f t="shared" si="307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13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3"/>
        <v>44904</v>
      </c>
      <c r="L1223" s="5">
        <f t="shared" si="304"/>
        <v>12</v>
      </c>
      <c r="M1223" s="5">
        <f t="shared" si="305"/>
        <v>2022</v>
      </c>
      <c r="N1223" s="6">
        <v>9020</v>
      </c>
      <c r="O1223" s="6">
        <f>-2141.8-6878.2</f>
        <v>-9020</v>
      </c>
      <c r="P1223" s="6">
        <f t="shared" si="302"/>
        <v>0</v>
      </c>
      <c r="Q1223" s="7">
        <f t="shared" si="285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06"/>
        <v>12</v>
      </c>
      <c r="C1224" s="5">
        <f t="shared" si="307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13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3"/>
        <v>44904</v>
      </c>
      <c r="L1224" s="5">
        <f t="shared" si="304"/>
        <v>12</v>
      </c>
      <c r="M1224" s="5">
        <f t="shared" si="305"/>
        <v>2022</v>
      </c>
      <c r="N1224" s="6">
        <v>12852</v>
      </c>
      <c r="O1224" s="6">
        <f>-4121.8-4000-4730.2</f>
        <v>-12852</v>
      </c>
      <c r="P1224" s="6">
        <f t="shared" si="302"/>
        <v>0</v>
      </c>
      <c r="Q1224" s="7">
        <f t="shared" si="285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06"/>
        <v>12</v>
      </c>
      <c r="C1225" s="5">
        <f t="shared" si="307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13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3"/>
        <v>44904</v>
      </c>
      <c r="L1225" s="5">
        <f t="shared" si="304"/>
        <v>12</v>
      </c>
      <c r="M1225" s="5">
        <f t="shared" si="305"/>
        <v>2022</v>
      </c>
      <c r="N1225" s="6">
        <v>585</v>
      </c>
      <c r="O1225" s="6">
        <f>-269.8-315.2</f>
        <v>-585</v>
      </c>
      <c r="P1225" s="6">
        <f t="shared" si="302"/>
        <v>0</v>
      </c>
      <c r="Q1225" s="7">
        <f t="shared" si="285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06"/>
        <v>12</v>
      </c>
      <c r="C1226" s="5">
        <f t="shared" si="307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13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3"/>
        <v>44904</v>
      </c>
      <c r="L1226" s="5">
        <f t="shared" si="304"/>
        <v>12</v>
      </c>
      <c r="M1226" s="5">
        <f t="shared" si="305"/>
        <v>2022</v>
      </c>
      <c r="N1226" s="6">
        <v>5200</v>
      </c>
      <c r="O1226" s="6">
        <f>-N1226</f>
        <v>-5200</v>
      </c>
      <c r="P1226" s="6">
        <f t="shared" si="302"/>
        <v>0</v>
      </c>
      <c r="Q1226" s="7">
        <f t="shared" si="285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06"/>
        <v>12</v>
      </c>
      <c r="C1227" s="5">
        <f t="shared" si="307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13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3"/>
        <v>44904</v>
      </c>
      <c r="L1227" s="5">
        <f t="shared" si="304"/>
        <v>12</v>
      </c>
      <c r="M1227" s="5">
        <f t="shared" si="305"/>
        <v>2022</v>
      </c>
      <c r="N1227" s="6">
        <v>937.5</v>
      </c>
      <c r="O1227" s="6">
        <f>-N1227</f>
        <v>-937.5</v>
      </c>
      <c r="P1227" s="6">
        <f t="shared" si="302"/>
        <v>0</v>
      </c>
      <c r="Q1227" s="7">
        <f t="shared" si="285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06"/>
        <v>12</v>
      </c>
      <c r="C1228" s="5">
        <f t="shared" si="307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13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3"/>
        <v>44904</v>
      </c>
      <c r="L1228" s="5">
        <f t="shared" si="304"/>
        <v>12</v>
      </c>
      <c r="M1228" s="5">
        <f t="shared" si="305"/>
        <v>2022</v>
      </c>
      <c r="N1228" s="6">
        <v>2000</v>
      </c>
      <c r="O1228" s="6">
        <f>-N1228</f>
        <v>-2000</v>
      </c>
      <c r="P1228" s="6">
        <f t="shared" si="302"/>
        <v>0</v>
      </c>
      <c r="Q1228" s="7">
        <f t="shared" si="285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06"/>
        <v>12</v>
      </c>
      <c r="C1229" s="5">
        <f t="shared" si="307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13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3"/>
        <v>44904</v>
      </c>
      <c r="L1229" s="5">
        <f t="shared" si="304"/>
        <v>12</v>
      </c>
      <c r="M1229" s="5">
        <f t="shared" si="305"/>
        <v>2022</v>
      </c>
      <c r="N1229" s="6">
        <v>453.59999999999997</v>
      </c>
      <c r="O1229" s="6">
        <f>-N1229</f>
        <v>-453.59999999999997</v>
      </c>
      <c r="P1229" s="6">
        <f t="shared" si="302"/>
        <v>0</v>
      </c>
      <c r="Q1229" s="7">
        <f t="shared" si="285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06"/>
        <v>12</v>
      </c>
      <c r="C1230" s="5">
        <f t="shared" si="307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13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3"/>
        <v>44908</v>
      </c>
      <c r="L1230" s="5">
        <f t="shared" si="304"/>
        <v>12</v>
      </c>
      <c r="M1230" s="5">
        <f t="shared" si="305"/>
        <v>2022</v>
      </c>
      <c r="N1230" s="6">
        <v>1936</v>
      </c>
      <c r="O1230" s="6">
        <f t="shared" ref="O1230:O1232" si="308">-N1230</f>
        <v>-1936</v>
      </c>
      <c r="P1230" s="6">
        <f t="shared" si="302"/>
        <v>0</v>
      </c>
      <c r="Q1230" s="7">
        <f t="shared" si="285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06"/>
        <v>12</v>
      </c>
      <c r="C1231" s="5">
        <f t="shared" si="307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13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3"/>
        <v>44908</v>
      </c>
      <c r="L1231" s="5">
        <f t="shared" si="304"/>
        <v>12</v>
      </c>
      <c r="M1231" s="5">
        <f t="shared" si="305"/>
        <v>2022</v>
      </c>
      <c r="N1231" s="6">
        <v>801</v>
      </c>
      <c r="O1231" s="6">
        <f t="shared" si="308"/>
        <v>-801</v>
      </c>
      <c r="P1231" s="6">
        <f t="shared" si="302"/>
        <v>0</v>
      </c>
      <c r="Q1231" s="7">
        <f t="shared" si="285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06"/>
        <v>12</v>
      </c>
      <c r="C1232" s="5">
        <f t="shared" si="307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13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3"/>
        <v>44908</v>
      </c>
      <c r="L1232" s="5">
        <f t="shared" si="304"/>
        <v>12</v>
      </c>
      <c r="M1232" s="5">
        <f t="shared" si="305"/>
        <v>2022</v>
      </c>
      <c r="N1232" s="6">
        <v>105</v>
      </c>
      <c r="O1232" s="6">
        <f t="shared" si="308"/>
        <v>-105</v>
      </c>
      <c r="P1232" s="6">
        <f t="shared" si="302"/>
        <v>0</v>
      </c>
      <c r="Q1232" s="7">
        <f t="shared" si="285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06"/>
        <v>12</v>
      </c>
      <c r="C1233" s="5">
        <f t="shared" si="307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13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3"/>
        <v>44909</v>
      </c>
      <c r="L1233" s="5">
        <f t="shared" si="304"/>
        <v>12</v>
      </c>
      <c r="M1233" s="5">
        <f t="shared" si="305"/>
        <v>2022</v>
      </c>
      <c r="N1233" s="6">
        <v>1958</v>
      </c>
      <c r="O1233" s="6">
        <f t="shared" ref="O1233:O1234" si="309">-N1233</f>
        <v>-1958</v>
      </c>
      <c r="P1233" s="6">
        <f t="shared" si="302"/>
        <v>0</v>
      </c>
      <c r="Q1233" s="7">
        <f t="shared" si="285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06"/>
        <v>12</v>
      </c>
      <c r="C1234" s="5">
        <f t="shared" si="307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13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3"/>
        <v>44909</v>
      </c>
      <c r="L1234" s="5">
        <f t="shared" si="304"/>
        <v>12</v>
      </c>
      <c r="M1234" s="5">
        <f t="shared" si="305"/>
        <v>2022</v>
      </c>
      <c r="N1234" s="6">
        <v>105</v>
      </c>
      <c r="O1234" s="6">
        <f t="shared" si="309"/>
        <v>-105</v>
      </c>
      <c r="P1234" s="6">
        <f t="shared" si="302"/>
        <v>0</v>
      </c>
      <c r="Q1234" s="7">
        <f t="shared" ref="Q1234:Q1297" si="310">SUM(Q1233+N1234)</f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06"/>
        <v>12</v>
      </c>
      <c r="C1235" s="5">
        <f t="shared" si="307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13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3"/>
        <v>44917</v>
      </c>
      <c r="L1235" s="5">
        <f t="shared" si="304"/>
        <v>12</v>
      </c>
      <c r="M1235" s="5">
        <f t="shared" si="305"/>
        <v>2022</v>
      </c>
      <c r="N1235" s="6">
        <v>16236</v>
      </c>
      <c r="O1235" s="6">
        <f>-11093.7-200-4942.3</f>
        <v>-16236</v>
      </c>
      <c r="P1235" s="6">
        <f t="shared" si="302"/>
        <v>0</v>
      </c>
      <c r="Q1235" s="7">
        <f t="shared" si="310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06"/>
        <v>12</v>
      </c>
      <c r="C1236" s="5">
        <f t="shared" si="307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13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3"/>
        <v>44917</v>
      </c>
      <c r="L1236" s="5">
        <f t="shared" si="304"/>
        <v>12</v>
      </c>
      <c r="M1236" s="5">
        <f t="shared" si="305"/>
        <v>2022</v>
      </c>
      <c r="N1236" s="6">
        <v>10824</v>
      </c>
      <c r="O1236" s="6">
        <f>-N1236</f>
        <v>-10824</v>
      </c>
      <c r="P1236" s="6">
        <f t="shared" si="302"/>
        <v>0</v>
      </c>
      <c r="Q1236" s="7">
        <f t="shared" si="310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06"/>
        <v>12</v>
      </c>
      <c r="C1237" s="5">
        <f t="shared" si="307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13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3"/>
        <v>44917</v>
      </c>
      <c r="L1237" s="5">
        <f t="shared" si="304"/>
        <v>12</v>
      </c>
      <c r="M1237" s="5">
        <f t="shared" si="305"/>
        <v>2022</v>
      </c>
      <c r="N1237" s="6">
        <v>10584</v>
      </c>
      <c r="O1237" s="6">
        <f>-4233.7-6350.3</f>
        <v>-10584</v>
      </c>
      <c r="P1237" s="6">
        <f t="shared" si="302"/>
        <v>0</v>
      </c>
      <c r="Q1237" s="7">
        <f t="shared" si="310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06"/>
        <v>12</v>
      </c>
      <c r="C1238" s="5">
        <f t="shared" si="307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13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3"/>
        <v>44917</v>
      </c>
      <c r="L1238" s="5">
        <f t="shared" si="304"/>
        <v>12</v>
      </c>
      <c r="M1238" s="5">
        <f t="shared" si="305"/>
        <v>2022</v>
      </c>
      <c r="N1238" s="6">
        <v>5200</v>
      </c>
      <c r="O1238" s="6">
        <f>-3649.7-1550.3</f>
        <v>-5200</v>
      </c>
      <c r="P1238" s="6">
        <f t="shared" si="302"/>
        <v>0</v>
      </c>
      <c r="Q1238" s="7">
        <f t="shared" si="310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06"/>
        <v>12</v>
      </c>
      <c r="C1239" s="5">
        <f t="shared" si="307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13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3"/>
        <v>44917</v>
      </c>
      <c r="L1239" s="5">
        <f t="shared" si="304"/>
        <v>12</v>
      </c>
      <c r="M1239" s="5">
        <f t="shared" si="305"/>
        <v>2022</v>
      </c>
      <c r="N1239" s="6">
        <v>937.5</v>
      </c>
      <c r="O1239" s="6">
        <f t="shared" ref="O1239:O1245" si="311">-N1239</f>
        <v>-937.5</v>
      </c>
      <c r="P1239" s="6">
        <f t="shared" si="302"/>
        <v>0</v>
      </c>
      <c r="Q1239" s="7">
        <f t="shared" si="310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06"/>
        <v>12</v>
      </c>
      <c r="C1240" s="5">
        <f t="shared" si="307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13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3"/>
        <v>44917</v>
      </c>
      <c r="L1240" s="5">
        <f t="shared" si="304"/>
        <v>12</v>
      </c>
      <c r="M1240" s="5">
        <f t="shared" si="305"/>
        <v>2022</v>
      </c>
      <c r="N1240" s="6">
        <v>3000</v>
      </c>
      <c r="O1240" s="6">
        <f t="shared" si="311"/>
        <v>-3000</v>
      </c>
      <c r="P1240" s="6">
        <f t="shared" si="302"/>
        <v>0</v>
      </c>
      <c r="Q1240" s="7">
        <f t="shared" si="310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06"/>
        <v>12</v>
      </c>
      <c r="C1241" s="5">
        <f t="shared" si="307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13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3"/>
        <v>44917</v>
      </c>
      <c r="L1241" s="5">
        <f t="shared" si="304"/>
        <v>12</v>
      </c>
      <c r="M1241" s="5">
        <f t="shared" si="305"/>
        <v>2022</v>
      </c>
      <c r="N1241" s="6">
        <v>840</v>
      </c>
      <c r="O1241" s="6">
        <f t="shared" si="311"/>
        <v>-840</v>
      </c>
      <c r="P1241" s="6">
        <f t="shared" si="302"/>
        <v>0</v>
      </c>
      <c r="Q1241" s="7">
        <f t="shared" si="310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2">MONTH(A1242)</f>
        <v>12</v>
      </c>
      <c r="C1242" s="5">
        <f t="shared" ref="C1242:C1254" si="313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13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3"/>
        <v>44917</v>
      </c>
      <c r="L1242" s="5">
        <f t="shared" si="304"/>
        <v>12</v>
      </c>
      <c r="M1242" s="5">
        <f t="shared" si="305"/>
        <v>2022</v>
      </c>
      <c r="N1242" s="6">
        <v>65</v>
      </c>
      <c r="O1242" s="6">
        <f t="shared" si="311"/>
        <v>-65</v>
      </c>
      <c r="P1242" s="6">
        <f t="shared" si="302"/>
        <v>0</v>
      </c>
      <c r="Q1242" s="7">
        <f t="shared" si="310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2"/>
        <v>12</v>
      </c>
      <c r="C1243" s="5">
        <f t="shared" si="313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13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3"/>
        <v>44915</v>
      </c>
      <c r="L1243" s="5">
        <f t="shared" si="304"/>
        <v>12</v>
      </c>
      <c r="M1243" s="5">
        <f t="shared" si="305"/>
        <v>2022</v>
      </c>
      <c r="N1243" s="6">
        <v>1892</v>
      </c>
      <c r="O1243" s="6">
        <f t="shared" si="311"/>
        <v>-1892</v>
      </c>
      <c r="P1243" s="6">
        <f t="shared" si="302"/>
        <v>0</v>
      </c>
      <c r="Q1243" s="7">
        <f t="shared" si="310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2"/>
        <v>12</v>
      </c>
      <c r="C1244" s="5">
        <f t="shared" si="313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13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3"/>
        <v>44915</v>
      </c>
      <c r="L1244" s="5">
        <f t="shared" si="304"/>
        <v>12</v>
      </c>
      <c r="M1244" s="5">
        <f t="shared" si="305"/>
        <v>2022</v>
      </c>
      <c r="N1244" s="6">
        <v>1020</v>
      </c>
      <c r="O1244" s="6">
        <f t="shared" si="311"/>
        <v>-1020</v>
      </c>
      <c r="P1244" s="6">
        <f t="shared" si="302"/>
        <v>0</v>
      </c>
      <c r="Q1244" s="7">
        <f t="shared" si="310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2"/>
        <v>12</v>
      </c>
      <c r="C1245" s="5">
        <f t="shared" si="313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13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3"/>
        <v>44915</v>
      </c>
      <c r="L1245" s="5">
        <f t="shared" si="304"/>
        <v>12</v>
      </c>
      <c r="M1245" s="5">
        <f t="shared" si="305"/>
        <v>2022</v>
      </c>
      <c r="N1245" s="6">
        <v>420</v>
      </c>
      <c r="O1245" s="6">
        <f t="shared" si="311"/>
        <v>-420</v>
      </c>
      <c r="P1245" s="6">
        <f t="shared" si="302"/>
        <v>0</v>
      </c>
      <c r="Q1245" s="7">
        <f t="shared" si="310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2"/>
        <v>12</v>
      </c>
      <c r="C1246" s="5">
        <f t="shared" si="313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13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3"/>
        <v>44917</v>
      </c>
      <c r="L1246" s="5">
        <f t="shared" si="304"/>
        <v>12</v>
      </c>
      <c r="M1246" s="5">
        <f t="shared" si="305"/>
        <v>2022</v>
      </c>
      <c r="N1246" s="6">
        <v>50</v>
      </c>
      <c r="O1246" s="6">
        <f t="shared" ref="O1246" si="314">-N1246</f>
        <v>-50</v>
      </c>
      <c r="P1246" s="6">
        <f t="shared" si="302"/>
        <v>0</v>
      </c>
      <c r="Q1246" s="7">
        <f t="shared" si="310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2"/>
        <v>12</v>
      </c>
      <c r="C1247" s="5">
        <f t="shared" si="313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13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3"/>
        <v>44918</v>
      </c>
      <c r="L1247" s="5">
        <f t="shared" si="304"/>
        <v>12</v>
      </c>
      <c r="M1247" s="5">
        <f t="shared" si="305"/>
        <v>2022</v>
      </c>
      <c r="N1247" s="6">
        <v>3784</v>
      </c>
      <c r="O1247" s="6">
        <f>-1611.8-1500-672.2</f>
        <v>-3784</v>
      </c>
      <c r="P1247" s="6">
        <f t="shared" si="302"/>
        <v>0</v>
      </c>
      <c r="Q1247" s="7">
        <f t="shared" si="310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2"/>
        <v>12</v>
      </c>
      <c r="C1248" s="5">
        <f t="shared" si="313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13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3"/>
        <v>44918</v>
      </c>
      <c r="L1248" s="5">
        <f t="shared" si="304"/>
        <v>12</v>
      </c>
      <c r="M1248" s="5">
        <f t="shared" si="305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10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2"/>
        <v>12</v>
      </c>
      <c r="C1249" s="5">
        <f t="shared" si="313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13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3"/>
        <v>44918</v>
      </c>
      <c r="L1249" s="5">
        <f t="shared" si="304"/>
        <v>12</v>
      </c>
      <c r="M1249" s="5">
        <f t="shared" si="305"/>
        <v>2022</v>
      </c>
      <c r="N1249" s="6">
        <v>312.5</v>
      </c>
      <c r="O1249" s="6">
        <f t="shared" ref="O1249:O1255" si="315">-N1249</f>
        <v>-312.5</v>
      </c>
      <c r="P1249" s="6">
        <f t="shared" si="302"/>
        <v>0</v>
      </c>
      <c r="Q1249" s="7">
        <f t="shared" si="310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2"/>
        <v>12</v>
      </c>
      <c r="C1250" s="5">
        <f t="shared" si="313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13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3"/>
        <v>44918</v>
      </c>
      <c r="L1250" s="5">
        <f t="shared" si="304"/>
        <v>12</v>
      </c>
      <c r="M1250" s="5">
        <f t="shared" si="305"/>
        <v>2022</v>
      </c>
      <c r="N1250" s="6">
        <v>210</v>
      </c>
      <c r="O1250" s="6">
        <f t="shared" si="315"/>
        <v>-210</v>
      </c>
      <c r="P1250" s="6">
        <f t="shared" si="302"/>
        <v>0</v>
      </c>
      <c r="Q1250" s="7">
        <f t="shared" si="310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2"/>
        <v>12</v>
      </c>
      <c r="C1251" s="5">
        <f t="shared" si="313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13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3"/>
        <v>44918</v>
      </c>
      <c r="L1251" s="5">
        <f t="shared" si="304"/>
        <v>12</v>
      </c>
      <c r="M1251" s="5">
        <f t="shared" si="305"/>
        <v>2022</v>
      </c>
      <c r="N1251" s="6">
        <v>440</v>
      </c>
      <c r="O1251" s="6">
        <f t="shared" si="315"/>
        <v>-440</v>
      </c>
      <c r="P1251" s="6">
        <f t="shared" si="302"/>
        <v>0</v>
      </c>
      <c r="Q1251" s="7">
        <f t="shared" si="310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2"/>
        <v>12</v>
      </c>
      <c r="C1252" s="5">
        <f t="shared" si="313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13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3"/>
        <v>44918</v>
      </c>
      <c r="L1252" s="5">
        <f t="shared" si="304"/>
        <v>12</v>
      </c>
      <c r="M1252" s="5">
        <f t="shared" si="305"/>
        <v>2022</v>
      </c>
      <c r="N1252" s="6">
        <v>450</v>
      </c>
      <c r="O1252" s="6">
        <f t="shared" si="315"/>
        <v>-450</v>
      </c>
      <c r="P1252" s="6">
        <f t="shared" si="302"/>
        <v>0</v>
      </c>
      <c r="Q1252" s="7">
        <f t="shared" si="310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2"/>
        <v>12</v>
      </c>
      <c r="C1253" s="5">
        <f t="shared" si="313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13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3"/>
        <v>44919</v>
      </c>
      <c r="L1253" s="5">
        <f t="shared" si="304"/>
        <v>12</v>
      </c>
      <c r="M1253" s="5">
        <f t="shared" si="305"/>
        <v>2022</v>
      </c>
      <c r="N1253" s="6">
        <v>1936</v>
      </c>
      <c r="O1253" s="6">
        <f t="shared" si="315"/>
        <v>-1936</v>
      </c>
      <c r="P1253" s="6">
        <f t="shared" si="302"/>
        <v>0</v>
      </c>
      <c r="Q1253" s="7">
        <f t="shared" si="310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2"/>
        <v>12</v>
      </c>
      <c r="C1254" s="5">
        <f t="shared" si="313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13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3"/>
        <v>44919</v>
      </c>
      <c r="L1254" s="5">
        <f t="shared" si="304"/>
        <v>12</v>
      </c>
      <c r="M1254" s="5">
        <f t="shared" si="305"/>
        <v>2022</v>
      </c>
      <c r="N1254" s="6">
        <v>801</v>
      </c>
      <c r="O1254" s="6">
        <f t="shared" si="315"/>
        <v>-801</v>
      </c>
      <c r="P1254" s="6">
        <f t="shared" si="302"/>
        <v>0</v>
      </c>
      <c r="Q1254" s="7">
        <f t="shared" si="310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16">MONTH(A1255)</f>
        <v>12</v>
      </c>
      <c r="C1255" s="5">
        <f t="shared" ref="C1255" si="317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13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3"/>
        <v>44919</v>
      </c>
      <c r="L1255" s="5">
        <f t="shared" si="304"/>
        <v>12</v>
      </c>
      <c r="M1255" s="5">
        <f t="shared" si="305"/>
        <v>2022</v>
      </c>
      <c r="N1255" s="6">
        <v>105</v>
      </c>
      <c r="O1255" s="6">
        <f t="shared" si="315"/>
        <v>-105</v>
      </c>
      <c r="P1255" s="6">
        <f t="shared" si="302"/>
        <v>0</v>
      </c>
      <c r="Q1255" s="7">
        <f t="shared" si="310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18">MONTH(A1256)</f>
        <v>12</v>
      </c>
      <c r="C1256" s="5">
        <f t="shared" ref="C1256:C1267" si="319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13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3"/>
        <v>45042</v>
      </c>
      <c r="L1256" s="5">
        <f t="shared" si="304"/>
        <v>4</v>
      </c>
      <c r="M1256" s="5">
        <f t="shared" si="305"/>
        <v>2023</v>
      </c>
      <c r="N1256" s="6">
        <v>10032</v>
      </c>
      <c r="O1256" s="6">
        <f t="shared" ref="O1256:O1262" si="320">-N1256</f>
        <v>-10032</v>
      </c>
      <c r="P1256" s="6">
        <f t="shared" si="302"/>
        <v>0</v>
      </c>
      <c r="Q1256" s="7">
        <f t="shared" si="310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18"/>
        <v>12</v>
      </c>
      <c r="C1257" s="5">
        <f t="shared" si="319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13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3"/>
        <v>45042</v>
      </c>
      <c r="L1257" s="5">
        <f t="shared" si="304"/>
        <v>4</v>
      </c>
      <c r="M1257" s="5">
        <f t="shared" si="305"/>
        <v>2023</v>
      </c>
      <c r="N1257" s="6">
        <v>2250</v>
      </c>
      <c r="O1257" s="6">
        <f t="shared" si="320"/>
        <v>-2250</v>
      </c>
      <c r="P1257" s="6">
        <f t="shared" si="302"/>
        <v>0</v>
      </c>
      <c r="Q1257" s="7">
        <f t="shared" si="310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18"/>
        <v>12</v>
      </c>
      <c r="C1258" s="5">
        <f t="shared" si="319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13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3"/>
        <v>45042</v>
      </c>
      <c r="L1258" s="5">
        <f t="shared" si="304"/>
        <v>4</v>
      </c>
      <c r="M1258" s="5">
        <f t="shared" si="305"/>
        <v>2023</v>
      </c>
      <c r="N1258" s="6">
        <v>575</v>
      </c>
      <c r="O1258" s="6">
        <f t="shared" si="320"/>
        <v>-575</v>
      </c>
      <c r="P1258" s="6">
        <f t="shared" si="302"/>
        <v>0</v>
      </c>
      <c r="Q1258" s="7">
        <f t="shared" si="310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18"/>
        <v>12</v>
      </c>
      <c r="C1259" s="5">
        <f t="shared" si="319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13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3"/>
        <v>45042</v>
      </c>
      <c r="L1259" s="5">
        <f t="shared" si="304"/>
        <v>4</v>
      </c>
      <c r="M1259" s="5">
        <f t="shared" si="305"/>
        <v>2023</v>
      </c>
      <c r="N1259" s="6">
        <v>420</v>
      </c>
      <c r="O1259" s="6">
        <f t="shared" si="320"/>
        <v>-420</v>
      </c>
      <c r="P1259" s="6">
        <f t="shared" si="302"/>
        <v>0</v>
      </c>
      <c r="Q1259" s="7">
        <f t="shared" si="310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18"/>
        <v>12</v>
      </c>
      <c r="C1260" s="5">
        <f t="shared" si="319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13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3"/>
        <v>45042</v>
      </c>
      <c r="L1260" s="5">
        <f t="shared" si="304"/>
        <v>4</v>
      </c>
      <c r="M1260" s="5">
        <f t="shared" si="305"/>
        <v>2023</v>
      </c>
      <c r="N1260" s="6">
        <v>200</v>
      </c>
      <c r="O1260" s="6">
        <f t="shared" si="320"/>
        <v>-200</v>
      </c>
      <c r="P1260" s="6">
        <f t="shared" si="302"/>
        <v>0</v>
      </c>
      <c r="Q1260" s="7">
        <f t="shared" si="310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18"/>
        <v>12</v>
      </c>
      <c r="C1261" s="5">
        <f t="shared" si="319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13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3"/>
        <v>45042</v>
      </c>
      <c r="L1261" s="5">
        <f t="shared" si="304"/>
        <v>4</v>
      </c>
      <c r="M1261" s="5">
        <f t="shared" si="305"/>
        <v>2023</v>
      </c>
      <c r="N1261" s="6">
        <v>330</v>
      </c>
      <c r="O1261" s="6">
        <f t="shared" si="320"/>
        <v>-330</v>
      </c>
      <c r="P1261" s="6">
        <f t="shared" si="302"/>
        <v>0</v>
      </c>
      <c r="Q1261" s="7">
        <f t="shared" si="310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18"/>
        <v>12</v>
      </c>
      <c r="C1262" s="5">
        <f t="shared" si="319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13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3"/>
        <v>45042</v>
      </c>
      <c r="L1262" s="5">
        <f t="shared" si="304"/>
        <v>4</v>
      </c>
      <c r="M1262" s="5">
        <f t="shared" si="305"/>
        <v>2023</v>
      </c>
      <c r="N1262" s="6">
        <v>420</v>
      </c>
      <c r="O1262" s="6">
        <f t="shared" si="320"/>
        <v>-420</v>
      </c>
      <c r="P1262" s="6">
        <f t="shared" si="302"/>
        <v>0</v>
      </c>
      <c r="Q1262" s="7">
        <f t="shared" si="310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18"/>
        <v>12</v>
      </c>
      <c r="C1263" s="5">
        <f t="shared" si="319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13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3"/>
        <v>44923</v>
      </c>
      <c r="L1263" s="5">
        <f t="shared" si="304"/>
        <v>12</v>
      </c>
      <c r="M1263" s="5">
        <f t="shared" si="305"/>
        <v>2022</v>
      </c>
      <c r="N1263" s="6">
        <v>1008</v>
      </c>
      <c r="O1263" s="6">
        <f>-N1263</f>
        <v>-1008</v>
      </c>
      <c r="P1263" s="6">
        <f t="shared" si="302"/>
        <v>0</v>
      </c>
      <c r="Q1263" s="7">
        <f t="shared" si="310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18"/>
        <v>12</v>
      </c>
      <c r="C1264" s="5">
        <f t="shared" si="319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13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3"/>
        <v>44925</v>
      </c>
      <c r="L1264" s="5">
        <f t="shared" si="304"/>
        <v>12</v>
      </c>
      <c r="M1264" s="5">
        <f t="shared" si="305"/>
        <v>2022</v>
      </c>
      <c r="N1264" s="6">
        <v>12628</v>
      </c>
      <c r="O1264" s="6">
        <f>-1607.2-7310-3710.8</f>
        <v>-12628</v>
      </c>
      <c r="P1264" s="6">
        <f t="shared" si="302"/>
        <v>0</v>
      </c>
      <c r="Q1264" s="7">
        <f t="shared" si="310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18"/>
        <v>12</v>
      </c>
      <c r="C1265" s="5">
        <f t="shared" si="319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13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3"/>
        <v>44925</v>
      </c>
      <c r="L1265" s="5">
        <f t="shared" si="304"/>
        <v>12</v>
      </c>
      <c r="M1265" s="5">
        <f t="shared" si="305"/>
        <v>2022</v>
      </c>
      <c r="N1265" s="6">
        <v>5040</v>
      </c>
      <c r="O1265" s="6">
        <f>-2147.2-2892.8</f>
        <v>-5040</v>
      </c>
      <c r="P1265" s="6">
        <f t="shared" si="302"/>
        <v>0</v>
      </c>
      <c r="Q1265" s="7">
        <f t="shared" si="310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18"/>
        <v>12</v>
      </c>
      <c r="C1266" s="5">
        <f t="shared" si="319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13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3"/>
        <v>44925</v>
      </c>
      <c r="L1266" s="5">
        <f t="shared" si="304"/>
        <v>12</v>
      </c>
      <c r="M1266" s="5">
        <f t="shared" si="305"/>
        <v>2022</v>
      </c>
      <c r="N1266" s="6">
        <v>2340</v>
      </c>
      <c r="O1266" s="6">
        <f t="shared" ref="O1266:O1269" si="321">-N1266</f>
        <v>-2340</v>
      </c>
      <c r="P1266" s="6">
        <f t="shared" si="302"/>
        <v>0</v>
      </c>
      <c r="Q1266" s="7">
        <f t="shared" si="310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18"/>
        <v>12</v>
      </c>
      <c r="C1267" s="5">
        <f t="shared" si="319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13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3"/>
        <v>44925</v>
      </c>
      <c r="L1267" s="5">
        <f t="shared" si="304"/>
        <v>12</v>
      </c>
      <c r="M1267" s="5">
        <f t="shared" si="305"/>
        <v>2022</v>
      </c>
      <c r="N1267" s="6">
        <v>312.5</v>
      </c>
      <c r="O1267" s="6">
        <f t="shared" si="321"/>
        <v>-312.5</v>
      </c>
      <c r="P1267" s="6">
        <f t="shared" si="302"/>
        <v>0</v>
      </c>
      <c r="Q1267" s="7">
        <f t="shared" si="310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2">MONTH(A1268)</f>
        <v>12</v>
      </c>
      <c r="C1268" s="5">
        <f t="shared" ref="C1268:C1269" si="323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13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3"/>
        <v>44925</v>
      </c>
      <c r="L1268" s="5">
        <f t="shared" si="304"/>
        <v>12</v>
      </c>
      <c r="M1268" s="5">
        <f t="shared" si="305"/>
        <v>2022</v>
      </c>
      <c r="N1268" s="6">
        <v>1000</v>
      </c>
      <c r="O1268" s="6">
        <f t="shared" si="321"/>
        <v>-1000</v>
      </c>
      <c r="P1268" s="6">
        <f t="shared" si="302"/>
        <v>0</v>
      </c>
      <c r="Q1268" s="7">
        <f t="shared" si="310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2"/>
        <v>12</v>
      </c>
      <c r="C1269" s="5">
        <f t="shared" si="323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13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3"/>
        <v>44925</v>
      </c>
      <c r="L1269" s="5">
        <f t="shared" si="304"/>
        <v>12</v>
      </c>
      <c r="M1269" s="5">
        <f t="shared" si="305"/>
        <v>2022</v>
      </c>
      <c r="N1269" s="6">
        <v>420</v>
      </c>
      <c r="O1269" s="6">
        <f t="shared" si="321"/>
        <v>-420</v>
      </c>
      <c r="P1269" s="6">
        <f t="shared" si="302"/>
        <v>0</v>
      </c>
      <c r="Q1269" s="7">
        <f t="shared" si="310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4">MONTH(A1270)</f>
        <v>1</v>
      </c>
      <c r="C1270" s="5">
        <f t="shared" ref="C1270:C1276" si="325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13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3"/>
        <v>44931</v>
      </c>
      <c r="L1270" s="5">
        <f t="shared" si="304"/>
        <v>1</v>
      </c>
      <c r="M1270" s="5">
        <f t="shared" si="305"/>
        <v>2023</v>
      </c>
      <c r="N1270" s="6">
        <v>17380</v>
      </c>
      <c r="O1270" s="6">
        <f>-4696.7-9000-3683.3</f>
        <v>-17380</v>
      </c>
      <c r="P1270" s="6">
        <f t="shared" si="302"/>
        <v>0</v>
      </c>
      <c r="Q1270" s="7">
        <f t="shared" si="310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4"/>
        <v>1</v>
      </c>
      <c r="C1271" s="5">
        <f t="shared" si="325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13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3"/>
        <v>44931</v>
      </c>
      <c r="L1271" s="5">
        <f t="shared" si="304"/>
        <v>1</v>
      </c>
      <c r="M1271" s="5">
        <f t="shared" si="305"/>
        <v>2023</v>
      </c>
      <c r="N1271" s="6">
        <v>7020</v>
      </c>
      <c r="O1271" s="6">
        <f>-3316.7-3703.3</f>
        <v>-7020</v>
      </c>
      <c r="P1271" s="6">
        <f t="shared" si="302"/>
        <v>0</v>
      </c>
      <c r="Q1271" s="7">
        <f t="shared" si="310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4"/>
        <v>1</v>
      </c>
      <c r="C1272" s="5">
        <f t="shared" si="325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13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3"/>
        <v>44931</v>
      </c>
      <c r="L1272" s="5">
        <f t="shared" si="304"/>
        <v>1</v>
      </c>
      <c r="M1272" s="5">
        <f t="shared" si="305"/>
        <v>2023</v>
      </c>
      <c r="N1272" s="6">
        <v>4095</v>
      </c>
      <c r="O1272" s="6">
        <f>-1796.7-2298.3</f>
        <v>-4095</v>
      </c>
      <c r="P1272" s="6">
        <f t="shared" si="302"/>
        <v>0</v>
      </c>
      <c r="Q1272" s="7">
        <f t="shared" si="310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4"/>
        <v>1</v>
      </c>
      <c r="C1273" s="5">
        <f t="shared" si="325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13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3"/>
        <v>44931</v>
      </c>
      <c r="L1273" s="5">
        <f t="shared" si="304"/>
        <v>1</v>
      </c>
      <c r="M1273" s="5">
        <f t="shared" si="305"/>
        <v>2023</v>
      </c>
      <c r="N1273" s="6">
        <v>625</v>
      </c>
      <c r="O1273" s="6">
        <f t="shared" ref="O1273:O1275" si="326">-N1273</f>
        <v>-625</v>
      </c>
      <c r="P1273" s="6">
        <f t="shared" si="302"/>
        <v>0</v>
      </c>
      <c r="Q1273" s="7">
        <f t="shared" si="310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4"/>
        <v>1</v>
      </c>
      <c r="C1274" s="5">
        <f t="shared" si="325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13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3"/>
        <v>44931</v>
      </c>
      <c r="L1274" s="5">
        <f t="shared" si="304"/>
        <v>1</v>
      </c>
      <c r="M1274" s="5">
        <f t="shared" si="305"/>
        <v>2023</v>
      </c>
      <c r="N1274" s="6">
        <v>380</v>
      </c>
      <c r="O1274" s="6">
        <f t="shared" si="326"/>
        <v>-380</v>
      </c>
      <c r="P1274" s="6">
        <f t="shared" si="302"/>
        <v>0</v>
      </c>
      <c r="Q1274" s="7">
        <f t="shared" si="310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4"/>
        <v>1</v>
      </c>
      <c r="C1275" s="5">
        <f t="shared" si="325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13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3"/>
        <v>44931</v>
      </c>
      <c r="L1275" s="5">
        <f t="shared" si="304"/>
        <v>1</v>
      </c>
      <c r="M1275" s="5">
        <f t="shared" si="305"/>
        <v>2023</v>
      </c>
      <c r="N1275" s="6">
        <v>2000</v>
      </c>
      <c r="O1275" s="6">
        <f t="shared" si="326"/>
        <v>-2000</v>
      </c>
      <c r="P1275" s="6">
        <f t="shared" si="302"/>
        <v>0</v>
      </c>
      <c r="Q1275" s="7">
        <f t="shared" si="310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4"/>
        <v>1</v>
      </c>
      <c r="C1276" s="5">
        <f t="shared" si="325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13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3"/>
        <v>44932</v>
      </c>
      <c r="L1276" s="5">
        <f t="shared" si="304"/>
        <v>1</v>
      </c>
      <c r="M1276" s="5">
        <f t="shared" si="305"/>
        <v>2023</v>
      </c>
      <c r="N1276" s="6">
        <v>3476</v>
      </c>
      <c r="O1276" s="6">
        <f t="shared" ref="O1276:O1280" si="327">-N1276</f>
        <v>-3476</v>
      </c>
      <c r="P1276" s="6">
        <f t="shared" si="302"/>
        <v>0</v>
      </c>
      <c r="Q1276" s="7">
        <f t="shared" si="310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28">MONTH(A1277)</f>
        <v>1</v>
      </c>
      <c r="C1277" s="5">
        <f t="shared" ref="C1277:C1290" si="329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13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3"/>
        <v>44932</v>
      </c>
      <c r="L1277" s="5">
        <f t="shared" si="304"/>
        <v>1</v>
      </c>
      <c r="M1277" s="5">
        <f t="shared" si="305"/>
        <v>2023</v>
      </c>
      <c r="N1277" s="6">
        <v>1872</v>
      </c>
      <c r="O1277" s="6">
        <f t="shared" si="327"/>
        <v>-1872</v>
      </c>
      <c r="P1277" s="6">
        <f t="shared" si="302"/>
        <v>0</v>
      </c>
      <c r="Q1277" s="7">
        <f t="shared" si="310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28"/>
        <v>1</v>
      </c>
      <c r="C1278" s="5">
        <f t="shared" si="329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13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3"/>
        <v>44932</v>
      </c>
      <c r="L1278" s="5">
        <f t="shared" si="304"/>
        <v>1</v>
      </c>
      <c r="M1278" s="5">
        <f t="shared" si="305"/>
        <v>2023</v>
      </c>
      <c r="N1278" s="6">
        <v>570</v>
      </c>
      <c r="O1278" s="6">
        <f t="shared" si="327"/>
        <v>-570</v>
      </c>
      <c r="P1278" s="6">
        <f t="shared" si="302"/>
        <v>0</v>
      </c>
      <c r="Q1278" s="7">
        <f t="shared" si="310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28"/>
        <v>1</v>
      </c>
      <c r="C1279" s="5">
        <f t="shared" si="329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13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3"/>
        <v>44932</v>
      </c>
      <c r="L1279" s="5">
        <f t="shared" si="304"/>
        <v>1</v>
      </c>
      <c r="M1279" s="5">
        <f t="shared" si="305"/>
        <v>2023</v>
      </c>
      <c r="N1279" s="6">
        <v>62.5</v>
      </c>
      <c r="O1279" s="6">
        <f t="shared" si="327"/>
        <v>-62.5</v>
      </c>
      <c r="P1279" s="6">
        <f t="shared" ref="P1279:P1290" si="330">SUM(N1279+O1279)</f>
        <v>0</v>
      </c>
      <c r="Q1279" s="7">
        <f t="shared" si="310"/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28"/>
        <v>1</v>
      </c>
      <c r="C1280" s="5">
        <f t="shared" si="329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13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3"/>
        <v>44932</v>
      </c>
      <c r="L1280" s="5">
        <f t="shared" si="304"/>
        <v>1</v>
      </c>
      <c r="M1280" s="5">
        <f t="shared" si="305"/>
        <v>2023</v>
      </c>
      <c r="N1280" s="6">
        <v>400</v>
      </c>
      <c r="O1280" s="6">
        <f t="shared" si="327"/>
        <v>-400</v>
      </c>
      <c r="P1280" s="6">
        <f t="shared" si="330"/>
        <v>0</v>
      </c>
      <c r="Q1280" s="7">
        <f t="shared" si="310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28"/>
        <v>1</v>
      </c>
      <c r="C1281" s="5">
        <f t="shared" si="329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13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3"/>
        <v>44933</v>
      </c>
      <c r="L1281" s="5">
        <f t="shared" si="304"/>
        <v>1</v>
      </c>
      <c r="M1281" s="5">
        <f t="shared" si="305"/>
        <v>2023</v>
      </c>
      <c r="N1281" s="6">
        <v>5214</v>
      </c>
      <c r="O1281" s="6">
        <f>-896.7-4317.3</f>
        <v>-5214</v>
      </c>
      <c r="P1281" s="6">
        <f t="shared" si="330"/>
        <v>0</v>
      </c>
      <c r="Q1281" s="7">
        <f t="shared" si="310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28"/>
        <v>1</v>
      </c>
      <c r="C1282" s="5">
        <f t="shared" si="329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13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3"/>
        <v>44933</v>
      </c>
      <c r="L1282" s="5">
        <f t="shared" si="304"/>
        <v>1</v>
      </c>
      <c r="M1282" s="5">
        <f t="shared" si="305"/>
        <v>2023</v>
      </c>
      <c r="N1282" s="6">
        <v>2340</v>
      </c>
      <c r="O1282" s="6">
        <f>-1682.7-657.3</f>
        <v>-2340</v>
      </c>
      <c r="P1282" s="6">
        <f t="shared" si="330"/>
        <v>0</v>
      </c>
      <c r="Q1282" s="7">
        <f t="shared" si="310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28"/>
        <v>1</v>
      </c>
      <c r="C1283" s="5">
        <f t="shared" si="329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13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1">A1283+J1283</f>
        <v>44933</v>
      </c>
      <c r="L1283" s="5">
        <f t="shared" ref="L1283:L1346" si="332">MONTH(K1283)</f>
        <v>1</v>
      </c>
      <c r="M1283" s="5">
        <f t="shared" ref="M1283:M1346" si="333">YEAR(K1283)</f>
        <v>2023</v>
      </c>
      <c r="N1283" s="6">
        <v>1092</v>
      </c>
      <c r="O1283" s="6">
        <f t="shared" ref="O1283:O1285" si="334">-N1283</f>
        <v>-1092</v>
      </c>
      <c r="P1283" s="6">
        <f t="shared" si="330"/>
        <v>0</v>
      </c>
      <c r="Q1283" s="7">
        <f t="shared" si="310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28"/>
        <v>1</v>
      </c>
      <c r="C1284" s="5">
        <f t="shared" si="329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13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1"/>
        <v>44933</v>
      </c>
      <c r="L1284" s="5">
        <f t="shared" si="332"/>
        <v>1</v>
      </c>
      <c r="M1284" s="5">
        <f t="shared" si="333"/>
        <v>2023</v>
      </c>
      <c r="N1284" s="6">
        <v>380</v>
      </c>
      <c r="O1284" s="6">
        <f t="shared" si="334"/>
        <v>-380</v>
      </c>
      <c r="P1284" s="6">
        <f t="shared" si="330"/>
        <v>0</v>
      </c>
      <c r="Q1284" s="7">
        <f t="shared" si="310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28"/>
        <v>1</v>
      </c>
      <c r="C1285" s="5">
        <f t="shared" si="329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13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1"/>
        <v>44933</v>
      </c>
      <c r="L1285" s="5">
        <f t="shared" si="332"/>
        <v>1</v>
      </c>
      <c r="M1285" s="5">
        <f t="shared" si="333"/>
        <v>2023</v>
      </c>
      <c r="N1285" s="6">
        <v>187.5</v>
      </c>
      <c r="O1285" s="6">
        <f t="shared" si="334"/>
        <v>-187.5</v>
      </c>
      <c r="P1285" s="6">
        <f t="shared" si="330"/>
        <v>0</v>
      </c>
      <c r="Q1285" s="7">
        <f t="shared" si="310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28"/>
        <v>1</v>
      </c>
      <c r="C1286" s="5">
        <f t="shared" si="329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13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1"/>
        <v>44935</v>
      </c>
      <c r="L1286" s="5">
        <f t="shared" si="332"/>
        <v>1</v>
      </c>
      <c r="M1286" s="5">
        <f t="shared" si="333"/>
        <v>2023</v>
      </c>
      <c r="N1286" s="95">
        <v>1870</v>
      </c>
      <c r="O1286" s="6">
        <f t="shared" ref="O1286:O1290" si="335">-N1286</f>
        <v>-1870</v>
      </c>
      <c r="P1286" s="6">
        <f t="shared" si="330"/>
        <v>0</v>
      </c>
      <c r="Q1286" s="7">
        <f t="shared" si="310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28"/>
        <v>1</v>
      </c>
      <c r="C1287" s="5">
        <f t="shared" si="329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13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1"/>
        <v>44935</v>
      </c>
      <c r="L1287" s="5">
        <f t="shared" si="332"/>
        <v>1</v>
      </c>
      <c r="M1287" s="5">
        <f t="shared" si="333"/>
        <v>2023</v>
      </c>
      <c r="N1287" s="95">
        <v>510</v>
      </c>
      <c r="O1287" s="6">
        <f t="shared" si="335"/>
        <v>-510</v>
      </c>
      <c r="P1287" s="6">
        <f t="shared" si="330"/>
        <v>0</v>
      </c>
      <c r="Q1287" s="7">
        <f t="shared" si="310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28"/>
        <v>1</v>
      </c>
      <c r="C1288" s="5">
        <f t="shared" si="329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13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1"/>
        <v>44935</v>
      </c>
      <c r="L1288" s="5">
        <f t="shared" si="332"/>
        <v>1</v>
      </c>
      <c r="M1288" s="5">
        <f t="shared" si="333"/>
        <v>2023</v>
      </c>
      <c r="N1288" s="95">
        <v>105</v>
      </c>
      <c r="O1288" s="6">
        <f t="shared" si="335"/>
        <v>-105</v>
      </c>
      <c r="P1288" s="6">
        <f t="shared" si="330"/>
        <v>0</v>
      </c>
      <c r="Q1288" s="7">
        <f t="shared" si="310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28"/>
        <v>1</v>
      </c>
      <c r="C1289" s="5">
        <f t="shared" si="329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13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1"/>
        <v>44935</v>
      </c>
      <c r="L1289" s="5">
        <f t="shared" si="332"/>
        <v>1</v>
      </c>
      <c r="M1289" s="5">
        <f t="shared" si="333"/>
        <v>2023</v>
      </c>
      <c r="N1289" s="95">
        <v>576</v>
      </c>
      <c r="O1289" s="6">
        <f t="shared" si="335"/>
        <v>-576</v>
      </c>
      <c r="P1289" s="6">
        <f t="shared" si="330"/>
        <v>0</v>
      </c>
      <c r="Q1289" s="7">
        <f t="shared" si="310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28"/>
        <v>1</v>
      </c>
      <c r="C1290" s="5">
        <f t="shared" si="329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13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1"/>
        <v>44935</v>
      </c>
      <c r="L1290" s="5">
        <f t="shared" si="332"/>
        <v>1</v>
      </c>
      <c r="M1290" s="5">
        <f t="shared" si="333"/>
        <v>2023</v>
      </c>
      <c r="N1290" s="95">
        <v>312.5</v>
      </c>
      <c r="O1290" s="6">
        <f t="shared" si="335"/>
        <v>-312.5</v>
      </c>
      <c r="P1290" s="6">
        <f t="shared" si="330"/>
        <v>0</v>
      </c>
      <c r="Q1290" s="7">
        <f t="shared" si="310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36">MONTH(A1291)</f>
        <v>1</v>
      </c>
      <c r="C1291" s="5">
        <f t="shared" ref="C1291:C1312" si="337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13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1"/>
        <v>44935</v>
      </c>
      <c r="L1291" s="5">
        <f t="shared" si="332"/>
        <v>1</v>
      </c>
      <c r="M1291" s="5">
        <f t="shared" si="333"/>
        <v>2023</v>
      </c>
      <c r="N1291" s="6">
        <v>1738</v>
      </c>
      <c r="O1291" s="6">
        <f>-N1291</f>
        <v>-1738</v>
      </c>
      <c r="P1291" s="6">
        <f t="shared" ref="P1291:P1312" si="338">SUM(N1291+O1291)</f>
        <v>0</v>
      </c>
      <c r="Q1291" s="7">
        <f t="shared" si="310"/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36"/>
        <v>1</v>
      </c>
      <c r="C1292" s="5">
        <f t="shared" si="337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13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1"/>
        <v>44935</v>
      </c>
      <c r="L1292" s="5">
        <f t="shared" si="332"/>
        <v>1</v>
      </c>
      <c r="M1292" s="5">
        <f t="shared" si="333"/>
        <v>2023</v>
      </c>
      <c r="N1292" s="6">
        <v>936</v>
      </c>
      <c r="O1292" s="6">
        <f>-N1292</f>
        <v>-936</v>
      </c>
      <c r="P1292" s="6">
        <f t="shared" si="338"/>
        <v>0</v>
      </c>
      <c r="Q1292" s="7">
        <f t="shared" si="310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36"/>
        <v>1</v>
      </c>
      <c r="C1293" s="5">
        <f t="shared" si="337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13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1"/>
        <v>44935</v>
      </c>
      <c r="L1293" s="5">
        <f t="shared" si="332"/>
        <v>1</v>
      </c>
      <c r="M1293" s="5">
        <f t="shared" si="333"/>
        <v>2023</v>
      </c>
      <c r="N1293" s="6">
        <v>62.5</v>
      </c>
      <c r="O1293" s="6">
        <f>-N1293</f>
        <v>-62.5</v>
      </c>
      <c r="P1293" s="6">
        <f t="shared" si="338"/>
        <v>0</v>
      </c>
      <c r="Q1293" s="7">
        <f t="shared" si="310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36"/>
        <v>1</v>
      </c>
      <c r="C1294" s="5">
        <f t="shared" si="337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13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1"/>
        <v>44935</v>
      </c>
      <c r="L1294" s="5">
        <f t="shared" si="332"/>
        <v>1</v>
      </c>
      <c r="M1294" s="5">
        <f t="shared" si="333"/>
        <v>2023</v>
      </c>
      <c r="N1294" s="6">
        <v>200</v>
      </c>
      <c r="O1294" s="6">
        <f>-N1294</f>
        <v>-200</v>
      </c>
      <c r="P1294" s="6">
        <f t="shared" si="338"/>
        <v>0</v>
      </c>
      <c r="Q1294" s="7">
        <f t="shared" si="310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36"/>
        <v>1</v>
      </c>
      <c r="C1295" s="5">
        <f t="shared" si="337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13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1"/>
        <v>44935</v>
      </c>
      <c r="L1295" s="5">
        <f t="shared" si="332"/>
        <v>1</v>
      </c>
      <c r="M1295" s="5">
        <f t="shared" si="333"/>
        <v>2023</v>
      </c>
      <c r="N1295" s="6">
        <v>800</v>
      </c>
      <c r="O1295" s="6">
        <f t="shared" ref="O1295" si="339">-N1295</f>
        <v>-800</v>
      </c>
      <c r="P1295" s="6">
        <f t="shared" si="338"/>
        <v>0</v>
      </c>
      <c r="Q1295" s="7">
        <f t="shared" si="310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36"/>
        <v>1</v>
      </c>
      <c r="C1296" s="5">
        <f t="shared" si="337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13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1"/>
        <v>44937</v>
      </c>
      <c r="L1296" s="5">
        <f t="shared" si="332"/>
        <v>1</v>
      </c>
      <c r="M1296" s="5">
        <f t="shared" si="333"/>
        <v>2023</v>
      </c>
      <c r="N1296" s="6">
        <v>1804</v>
      </c>
      <c r="O1296" s="6">
        <f>-N1296</f>
        <v>-1804</v>
      </c>
      <c r="P1296" s="6">
        <f t="shared" si="338"/>
        <v>0</v>
      </c>
      <c r="Q1296" s="7">
        <f t="shared" si="310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36"/>
        <v>1</v>
      </c>
      <c r="C1297" s="5">
        <f t="shared" si="337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137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1"/>
        <v>44937</v>
      </c>
      <c r="L1297" s="5">
        <f t="shared" si="332"/>
        <v>1</v>
      </c>
      <c r="M1297" s="5">
        <f t="shared" si="333"/>
        <v>2023</v>
      </c>
      <c r="N1297" s="6">
        <v>1738</v>
      </c>
      <c r="O1297" s="6">
        <f t="shared" ref="O1297:O1300" si="340">-N1297</f>
        <v>-1738</v>
      </c>
      <c r="P1297" s="6">
        <f t="shared" si="338"/>
        <v>0</v>
      </c>
      <c r="Q1297" s="7">
        <f t="shared" si="310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36"/>
        <v>1</v>
      </c>
      <c r="C1298" s="5">
        <f t="shared" si="337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137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1"/>
        <v>44937</v>
      </c>
      <c r="L1298" s="5">
        <f t="shared" si="332"/>
        <v>1</v>
      </c>
      <c r="M1298" s="5">
        <f t="shared" si="333"/>
        <v>2023</v>
      </c>
      <c r="N1298" s="6">
        <v>237</v>
      </c>
      <c r="O1298" s="6">
        <f t="shared" si="340"/>
        <v>-237</v>
      </c>
      <c r="P1298" s="6">
        <f t="shared" si="338"/>
        <v>0</v>
      </c>
      <c r="Q1298" s="7">
        <f t="shared" ref="Q1298:Q1361" si="341">SUM(Q1297+N1298)</f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36"/>
        <v>1</v>
      </c>
      <c r="C1299" s="5">
        <f t="shared" si="337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137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1"/>
        <v>44937</v>
      </c>
      <c r="L1299" s="5">
        <f t="shared" si="332"/>
        <v>1</v>
      </c>
      <c r="M1299" s="5">
        <f t="shared" si="333"/>
        <v>2023</v>
      </c>
      <c r="N1299" s="6">
        <v>95</v>
      </c>
      <c r="O1299" s="6">
        <f t="shared" si="340"/>
        <v>-95</v>
      </c>
      <c r="P1299" s="6">
        <f t="shared" si="338"/>
        <v>0</v>
      </c>
      <c r="Q1299" s="7">
        <f t="shared" si="341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36"/>
        <v>1</v>
      </c>
      <c r="C1300" s="5">
        <f t="shared" si="337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137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1"/>
        <v>44937</v>
      </c>
      <c r="L1300" s="5">
        <f t="shared" si="332"/>
        <v>1</v>
      </c>
      <c r="M1300" s="5">
        <f t="shared" si="333"/>
        <v>2023</v>
      </c>
      <c r="N1300" s="6">
        <v>62.5</v>
      </c>
      <c r="O1300" s="6">
        <f t="shared" si="340"/>
        <v>-62.5</v>
      </c>
      <c r="P1300" s="6">
        <f t="shared" si="338"/>
        <v>0</v>
      </c>
      <c r="Q1300" s="7">
        <f t="shared" si="341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36"/>
        <v>1</v>
      </c>
      <c r="C1301" s="5">
        <f t="shared" si="337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13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1"/>
        <v>44937</v>
      </c>
      <c r="L1301" s="5">
        <f t="shared" si="332"/>
        <v>1</v>
      </c>
      <c r="M1301" s="5">
        <f t="shared" si="333"/>
        <v>2023</v>
      </c>
      <c r="N1301" s="6">
        <v>1738</v>
      </c>
      <c r="O1301" s="6">
        <f>-N1301</f>
        <v>-1738</v>
      </c>
      <c r="P1301" s="6">
        <f t="shared" si="338"/>
        <v>0</v>
      </c>
      <c r="Q1301" s="7">
        <f t="shared" si="341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36"/>
        <v>1</v>
      </c>
      <c r="C1302" s="5">
        <f t="shared" si="337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13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1"/>
        <v>44937</v>
      </c>
      <c r="L1302" s="5">
        <f t="shared" si="332"/>
        <v>1</v>
      </c>
      <c r="M1302" s="5">
        <f t="shared" si="333"/>
        <v>2023</v>
      </c>
      <c r="N1302" s="6">
        <v>702</v>
      </c>
      <c r="O1302" s="6">
        <f>-N1302</f>
        <v>-702</v>
      </c>
      <c r="P1302" s="6">
        <f t="shared" si="338"/>
        <v>0</v>
      </c>
      <c r="Q1302" s="7">
        <f t="shared" si="341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36"/>
        <v>1</v>
      </c>
      <c r="C1303" s="5">
        <f t="shared" si="337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13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1"/>
        <v>45058</v>
      </c>
      <c r="L1303" s="5">
        <f t="shared" si="332"/>
        <v>5</v>
      </c>
      <c r="M1303" s="5">
        <f t="shared" si="333"/>
        <v>2023</v>
      </c>
      <c r="N1303" s="6">
        <v>9768</v>
      </c>
      <c r="O1303" s="6">
        <f t="shared" ref="O1303:O1309" si="342">-N1303</f>
        <v>-9768</v>
      </c>
      <c r="P1303" s="6">
        <f t="shared" si="338"/>
        <v>0</v>
      </c>
      <c r="Q1303" s="7">
        <f t="shared" si="341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36"/>
        <v>1</v>
      </c>
      <c r="C1304" s="5">
        <f t="shared" si="337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13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1"/>
        <v>45058</v>
      </c>
      <c r="L1304" s="5">
        <f t="shared" si="332"/>
        <v>5</v>
      </c>
      <c r="M1304" s="5">
        <f t="shared" si="333"/>
        <v>2023</v>
      </c>
      <c r="N1304" s="6">
        <v>2070</v>
      </c>
      <c r="O1304" s="6">
        <f t="shared" si="342"/>
        <v>-2070</v>
      </c>
      <c r="P1304" s="6">
        <f t="shared" si="338"/>
        <v>0</v>
      </c>
      <c r="Q1304" s="7">
        <f t="shared" si="341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36"/>
        <v>1</v>
      </c>
      <c r="C1305" s="5">
        <f t="shared" si="337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13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1"/>
        <v>45058</v>
      </c>
      <c r="L1305" s="5">
        <f t="shared" si="332"/>
        <v>5</v>
      </c>
      <c r="M1305" s="5">
        <f t="shared" si="333"/>
        <v>2023</v>
      </c>
      <c r="N1305" s="6">
        <v>575</v>
      </c>
      <c r="O1305" s="6">
        <f t="shared" si="342"/>
        <v>-575</v>
      </c>
      <c r="P1305" s="6">
        <f t="shared" si="338"/>
        <v>0</v>
      </c>
      <c r="Q1305" s="7">
        <f t="shared" si="341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36"/>
        <v>1</v>
      </c>
      <c r="C1306" s="5">
        <f t="shared" si="337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13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1"/>
        <v>45058</v>
      </c>
      <c r="L1306" s="5">
        <f t="shared" si="332"/>
        <v>5</v>
      </c>
      <c r="M1306" s="5">
        <f t="shared" si="333"/>
        <v>2023</v>
      </c>
      <c r="N1306" s="6">
        <v>840</v>
      </c>
      <c r="O1306" s="6">
        <f t="shared" si="342"/>
        <v>-840</v>
      </c>
      <c r="P1306" s="6">
        <f t="shared" si="338"/>
        <v>0</v>
      </c>
      <c r="Q1306" s="7">
        <f t="shared" si="341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36"/>
        <v>1</v>
      </c>
      <c r="C1307" s="5">
        <f t="shared" si="337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13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1"/>
        <v>45058</v>
      </c>
      <c r="L1307" s="5">
        <f t="shared" si="332"/>
        <v>5</v>
      </c>
      <c r="M1307" s="5">
        <f t="shared" si="333"/>
        <v>2023</v>
      </c>
      <c r="N1307" s="6">
        <v>200</v>
      </c>
      <c r="O1307" s="6">
        <f t="shared" si="342"/>
        <v>-200</v>
      </c>
      <c r="P1307" s="6">
        <f t="shared" si="338"/>
        <v>0</v>
      </c>
      <c r="Q1307" s="7">
        <f t="shared" si="341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36"/>
        <v>1</v>
      </c>
      <c r="C1308" s="5">
        <f t="shared" si="337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13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1"/>
        <v>45058</v>
      </c>
      <c r="L1308" s="5">
        <f t="shared" si="332"/>
        <v>5</v>
      </c>
      <c r="M1308" s="5">
        <f t="shared" si="333"/>
        <v>2023</v>
      </c>
      <c r="N1308" s="6">
        <v>395</v>
      </c>
      <c r="O1308" s="6">
        <f t="shared" si="342"/>
        <v>-395</v>
      </c>
      <c r="P1308" s="6">
        <f t="shared" si="338"/>
        <v>0</v>
      </c>
      <c r="Q1308" s="7">
        <f t="shared" si="341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36"/>
        <v>1</v>
      </c>
      <c r="C1309" s="5">
        <f t="shared" si="337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13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1"/>
        <v>45058</v>
      </c>
      <c r="L1309" s="5">
        <f t="shared" si="332"/>
        <v>5</v>
      </c>
      <c r="M1309" s="5">
        <f t="shared" si="333"/>
        <v>2023</v>
      </c>
      <c r="N1309" s="6">
        <v>420</v>
      </c>
      <c r="O1309" s="6">
        <f t="shared" si="342"/>
        <v>-420</v>
      </c>
      <c r="P1309" s="6">
        <f t="shared" si="338"/>
        <v>0</v>
      </c>
      <c r="Q1309" s="7">
        <f t="shared" si="341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36"/>
        <v>1</v>
      </c>
      <c r="C1310" s="5">
        <f t="shared" si="337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13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1"/>
        <v>44938</v>
      </c>
      <c r="L1310" s="5">
        <f t="shared" si="332"/>
        <v>1</v>
      </c>
      <c r="M1310" s="5">
        <f t="shared" si="333"/>
        <v>2023</v>
      </c>
      <c r="N1310" s="6">
        <v>8690</v>
      </c>
      <c r="O1310" s="6">
        <f>-2383.2-5800-506.8</f>
        <v>-8690</v>
      </c>
      <c r="P1310" s="6">
        <f t="shared" si="338"/>
        <v>0</v>
      </c>
      <c r="Q1310" s="7">
        <f t="shared" si="341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36"/>
        <v>1</v>
      </c>
      <c r="C1311" s="5">
        <f t="shared" si="337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13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1"/>
        <v>44938</v>
      </c>
      <c r="L1311" s="5">
        <f t="shared" si="332"/>
        <v>1</v>
      </c>
      <c r="M1311" s="5">
        <f t="shared" si="333"/>
        <v>2023</v>
      </c>
      <c r="N1311" s="6">
        <v>3510</v>
      </c>
      <c r="O1311" s="6">
        <f t="shared" ref="O1311:O1315" si="343">-N1311</f>
        <v>-3510</v>
      </c>
      <c r="P1311" s="6">
        <f t="shared" si="338"/>
        <v>0</v>
      </c>
      <c r="Q1311" s="7">
        <f t="shared" si="341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36"/>
        <v>1</v>
      </c>
      <c r="C1312" s="5">
        <f t="shared" si="337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13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1"/>
        <v>44938</v>
      </c>
      <c r="L1312" s="5">
        <f t="shared" si="332"/>
        <v>1</v>
      </c>
      <c r="M1312" s="5">
        <f t="shared" si="333"/>
        <v>2023</v>
      </c>
      <c r="N1312" s="6">
        <v>1638</v>
      </c>
      <c r="O1312" s="6">
        <f t="shared" si="343"/>
        <v>-1638</v>
      </c>
      <c r="P1312" s="6">
        <f t="shared" si="338"/>
        <v>0</v>
      </c>
      <c r="Q1312" s="7">
        <f t="shared" si="341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44">MONTH(A1313)</f>
        <v>1</v>
      </c>
      <c r="C1313" s="5">
        <f t="shared" ref="C1313:C1319" si="345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13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1"/>
        <v>44938</v>
      </c>
      <c r="L1313" s="5">
        <f t="shared" si="332"/>
        <v>1</v>
      </c>
      <c r="M1313" s="5">
        <f t="shared" si="333"/>
        <v>2023</v>
      </c>
      <c r="N1313" s="6">
        <v>1000</v>
      </c>
      <c r="O1313" s="6">
        <f t="shared" si="343"/>
        <v>-1000</v>
      </c>
      <c r="P1313" s="6">
        <f t="shared" ref="P1313:P1326" si="346">SUM(N1313+O1313)</f>
        <v>0</v>
      </c>
      <c r="Q1313" s="7">
        <f t="shared" si="341"/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44"/>
        <v>1</v>
      </c>
      <c r="C1314" s="5">
        <f t="shared" si="345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13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1"/>
        <v>44938</v>
      </c>
      <c r="L1314" s="5">
        <f t="shared" si="332"/>
        <v>1</v>
      </c>
      <c r="M1314" s="5">
        <f t="shared" si="333"/>
        <v>2023</v>
      </c>
      <c r="N1314" s="6">
        <v>312.5</v>
      </c>
      <c r="O1314" s="6">
        <f>-45.2-267.3</f>
        <v>-312.5</v>
      </c>
      <c r="P1314" s="6">
        <f t="shared" si="346"/>
        <v>0</v>
      </c>
      <c r="Q1314" s="7">
        <f t="shared" si="341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44"/>
        <v>1</v>
      </c>
      <c r="C1315" s="5">
        <f t="shared" si="345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13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1"/>
        <v>44938</v>
      </c>
      <c r="L1315" s="5">
        <f t="shared" si="332"/>
        <v>1</v>
      </c>
      <c r="M1315" s="5">
        <f t="shared" si="333"/>
        <v>2023</v>
      </c>
      <c r="N1315" s="6">
        <v>420</v>
      </c>
      <c r="O1315" s="6">
        <f t="shared" si="343"/>
        <v>-420</v>
      </c>
      <c r="P1315" s="6">
        <f t="shared" si="346"/>
        <v>0</v>
      </c>
      <c r="Q1315" s="7">
        <f t="shared" si="341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44"/>
        <v>1</v>
      </c>
      <c r="C1316" s="5">
        <f t="shared" si="345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2" t="s">
        <v>772</v>
      </c>
      <c r="H1316" s="13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1"/>
        <v>44938</v>
      </c>
      <c r="L1316" s="5">
        <f t="shared" si="332"/>
        <v>1</v>
      </c>
      <c r="M1316" s="5">
        <f t="shared" si="333"/>
        <v>2023</v>
      </c>
      <c r="N1316" s="6">
        <v>256</v>
      </c>
      <c r="O1316" s="6">
        <f t="shared" ref="O1316" si="347">-N1316</f>
        <v>-256</v>
      </c>
      <c r="P1316" s="6">
        <f t="shared" si="346"/>
        <v>0</v>
      </c>
      <c r="Q1316" s="7">
        <f t="shared" si="341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44"/>
        <v>1</v>
      </c>
      <c r="C1317" s="5">
        <f t="shared" si="345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13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1"/>
        <v>44939</v>
      </c>
      <c r="L1317" s="5">
        <f t="shared" si="332"/>
        <v>1</v>
      </c>
      <c r="M1317" s="5">
        <f t="shared" si="333"/>
        <v>2023</v>
      </c>
      <c r="N1317" s="6">
        <v>1738</v>
      </c>
      <c r="O1317" s="6">
        <f>-N1317</f>
        <v>-1738</v>
      </c>
      <c r="P1317" s="6">
        <f t="shared" si="346"/>
        <v>0</v>
      </c>
      <c r="Q1317" s="7">
        <f t="shared" si="341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44"/>
        <v>1</v>
      </c>
      <c r="C1318" s="5">
        <f t="shared" si="345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13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1"/>
        <v>44939</v>
      </c>
      <c r="L1318" s="5">
        <f t="shared" si="332"/>
        <v>1</v>
      </c>
      <c r="M1318" s="5">
        <f t="shared" si="333"/>
        <v>2023</v>
      </c>
      <c r="N1318" s="6">
        <v>62.5</v>
      </c>
      <c r="O1318" s="6">
        <f>-N1318</f>
        <v>-62.5</v>
      </c>
      <c r="P1318" s="6">
        <f t="shared" si="346"/>
        <v>0</v>
      </c>
      <c r="Q1318" s="7">
        <f t="shared" si="341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44"/>
        <v>1</v>
      </c>
      <c r="C1319" s="5">
        <f t="shared" si="345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13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1"/>
        <v>44940</v>
      </c>
      <c r="L1319" s="5">
        <f t="shared" si="332"/>
        <v>1</v>
      </c>
      <c r="M1319" s="5">
        <f t="shared" si="333"/>
        <v>2023</v>
      </c>
      <c r="N1319" s="6">
        <v>250</v>
      </c>
      <c r="O1319" s="6">
        <f t="shared" ref="O1319:O1323" si="348">-N1319</f>
        <v>-250</v>
      </c>
      <c r="P1319" s="6">
        <f t="shared" si="346"/>
        <v>0</v>
      </c>
      <c r="Q1319" s="7">
        <f t="shared" si="341"/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49">MONTH(A1320)</f>
        <v>1</v>
      </c>
      <c r="C1320" s="5">
        <f t="shared" ref="C1320:C1326" si="350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13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1"/>
        <v>44940</v>
      </c>
      <c r="L1320" s="5">
        <f t="shared" si="332"/>
        <v>1</v>
      </c>
      <c r="M1320" s="5">
        <f t="shared" si="333"/>
        <v>2023</v>
      </c>
      <c r="N1320" s="6">
        <v>8690</v>
      </c>
      <c r="O1320" s="6">
        <f t="shared" si="348"/>
        <v>-8690</v>
      </c>
      <c r="P1320" s="6">
        <f t="shared" si="346"/>
        <v>0</v>
      </c>
      <c r="Q1320" s="7">
        <f t="shared" si="341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49"/>
        <v>1</v>
      </c>
      <c r="C1321" s="5">
        <f t="shared" si="350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13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1"/>
        <v>44940</v>
      </c>
      <c r="L1321" s="5">
        <f t="shared" si="332"/>
        <v>1</v>
      </c>
      <c r="M1321" s="5">
        <f t="shared" si="333"/>
        <v>2023</v>
      </c>
      <c r="N1321" s="6">
        <v>3510</v>
      </c>
      <c r="O1321" s="6">
        <f t="shared" si="348"/>
        <v>-3510</v>
      </c>
      <c r="P1321" s="6">
        <f t="shared" si="346"/>
        <v>0</v>
      </c>
      <c r="Q1321" s="7">
        <f t="shared" si="341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49"/>
        <v>1</v>
      </c>
      <c r="C1322" s="5">
        <f t="shared" si="350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13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1"/>
        <v>44940</v>
      </c>
      <c r="L1322" s="5">
        <f t="shared" si="332"/>
        <v>1</v>
      </c>
      <c r="M1322" s="5">
        <f t="shared" si="333"/>
        <v>2023</v>
      </c>
      <c r="N1322" s="6">
        <v>1638</v>
      </c>
      <c r="O1322" s="6">
        <f t="shared" si="348"/>
        <v>-1638</v>
      </c>
      <c r="P1322" s="6">
        <f t="shared" si="346"/>
        <v>0</v>
      </c>
      <c r="Q1322" s="7">
        <f t="shared" si="341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49"/>
        <v>1</v>
      </c>
      <c r="C1323" s="5">
        <f t="shared" si="350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13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1"/>
        <v>44940</v>
      </c>
      <c r="L1323" s="5">
        <f t="shared" si="332"/>
        <v>1</v>
      </c>
      <c r="M1323" s="5">
        <f t="shared" si="333"/>
        <v>2023</v>
      </c>
      <c r="N1323" s="6">
        <v>312.5</v>
      </c>
      <c r="O1323" s="6">
        <f t="shared" si="348"/>
        <v>-312.5</v>
      </c>
      <c r="P1323" s="6">
        <f t="shared" si="346"/>
        <v>0</v>
      </c>
      <c r="Q1323" s="7">
        <f t="shared" si="341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49"/>
        <v>1</v>
      </c>
      <c r="C1324" s="5">
        <f t="shared" si="350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13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1"/>
        <v>44942</v>
      </c>
      <c r="L1324" s="5">
        <f t="shared" si="332"/>
        <v>1</v>
      </c>
      <c r="M1324" s="5">
        <f t="shared" si="333"/>
        <v>2023</v>
      </c>
      <c r="N1324" s="6">
        <v>1936</v>
      </c>
      <c r="O1324" s="6">
        <f t="shared" ref="O1324:O1326" si="351">-N1324</f>
        <v>-1936</v>
      </c>
      <c r="P1324" s="6">
        <f t="shared" si="346"/>
        <v>0</v>
      </c>
      <c r="Q1324" s="7">
        <f t="shared" si="341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49"/>
        <v>1</v>
      </c>
      <c r="C1325" s="5">
        <f t="shared" si="350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13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1"/>
        <v>44942</v>
      </c>
      <c r="L1325" s="5">
        <f t="shared" si="332"/>
        <v>1</v>
      </c>
      <c r="M1325" s="5">
        <f t="shared" si="333"/>
        <v>2023</v>
      </c>
      <c r="N1325" s="6">
        <v>801</v>
      </c>
      <c r="O1325" s="6">
        <f t="shared" si="351"/>
        <v>-801</v>
      </c>
      <c r="P1325" s="6">
        <f t="shared" si="346"/>
        <v>0</v>
      </c>
      <c r="Q1325" s="7">
        <f t="shared" si="341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49"/>
        <v>1</v>
      </c>
      <c r="C1326" s="5">
        <f t="shared" si="350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13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1"/>
        <v>44942</v>
      </c>
      <c r="L1326" s="5">
        <f t="shared" si="332"/>
        <v>1</v>
      </c>
      <c r="M1326" s="5">
        <f t="shared" si="333"/>
        <v>2023</v>
      </c>
      <c r="N1326" s="6">
        <v>95</v>
      </c>
      <c r="O1326" s="6">
        <f t="shared" si="351"/>
        <v>-95</v>
      </c>
      <c r="P1326" s="6">
        <f t="shared" si="346"/>
        <v>0</v>
      </c>
      <c r="Q1326" s="7">
        <f t="shared" si="341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52">MONTH(A1327)</f>
        <v>1</v>
      </c>
      <c r="C1327" s="5">
        <f t="shared" ref="C1327:C1346" si="353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13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1"/>
        <v>44944</v>
      </c>
      <c r="L1327" s="5">
        <f t="shared" si="332"/>
        <v>1</v>
      </c>
      <c r="M1327" s="5">
        <f t="shared" si="333"/>
        <v>2023</v>
      </c>
      <c r="N1327" s="6">
        <v>1936</v>
      </c>
      <c r="O1327" s="6">
        <f>-1720-216</f>
        <v>-1936</v>
      </c>
      <c r="P1327" s="6">
        <f t="shared" ref="P1327:P1346" si="354">SUM(N1327+O1327)</f>
        <v>0</v>
      </c>
      <c r="Q1327" s="7">
        <f t="shared" si="341"/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52"/>
        <v>1</v>
      </c>
      <c r="C1328" s="5">
        <f t="shared" si="353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13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1"/>
        <v>45064</v>
      </c>
      <c r="L1328" s="5">
        <f t="shared" si="332"/>
        <v>5</v>
      </c>
      <c r="M1328" s="5">
        <f t="shared" si="333"/>
        <v>2023</v>
      </c>
      <c r="N1328" s="6">
        <v>13024</v>
      </c>
      <c r="O1328" s="6">
        <f t="shared" ref="O1328:O1333" si="355">-N1328</f>
        <v>-13024</v>
      </c>
      <c r="P1328" s="6">
        <f t="shared" si="354"/>
        <v>0</v>
      </c>
      <c r="Q1328" s="7">
        <f t="shared" si="341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52"/>
        <v>1</v>
      </c>
      <c r="C1329" s="5">
        <f t="shared" si="353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13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1"/>
        <v>45064</v>
      </c>
      <c r="L1329" s="5">
        <f t="shared" si="332"/>
        <v>5</v>
      </c>
      <c r="M1329" s="5">
        <f t="shared" si="333"/>
        <v>2023</v>
      </c>
      <c r="N1329" s="6">
        <v>2070</v>
      </c>
      <c r="O1329" s="6">
        <f t="shared" si="355"/>
        <v>-2070</v>
      </c>
      <c r="P1329" s="6">
        <f t="shared" si="354"/>
        <v>0</v>
      </c>
      <c r="Q1329" s="7">
        <f t="shared" si="341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52"/>
        <v>1</v>
      </c>
      <c r="C1330" s="5">
        <f t="shared" si="353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13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1"/>
        <v>45064</v>
      </c>
      <c r="L1330" s="5">
        <f t="shared" si="332"/>
        <v>5</v>
      </c>
      <c r="M1330" s="5">
        <f t="shared" si="333"/>
        <v>2023</v>
      </c>
      <c r="N1330" s="6">
        <v>575</v>
      </c>
      <c r="O1330" s="6">
        <f t="shared" si="355"/>
        <v>-575</v>
      </c>
      <c r="P1330" s="6">
        <f t="shared" si="354"/>
        <v>0</v>
      </c>
      <c r="Q1330" s="7">
        <f t="shared" si="341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52"/>
        <v>1</v>
      </c>
      <c r="C1331" s="5">
        <f t="shared" si="353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13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1"/>
        <v>45064</v>
      </c>
      <c r="L1331" s="5">
        <f t="shared" si="332"/>
        <v>5</v>
      </c>
      <c r="M1331" s="5">
        <f t="shared" si="333"/>
        <v>2023</v>
      </c>
      <c r="N1331" s="6">
        <v>840</v>
      </c>
      <c r="O1331" s="6">
        <f t="shared" si="355"/>
        <v>-840</v>
      </c>
      <c r="P1331" s="6">
        <f t="shared" si="354"/>
        <v>0</v>
      </c>
      <c r="Q1331" s="7">
        <f t="shared" si="341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52"/>
        <v>1</v>
      </c>
      <c r="C1332" s="5">
        <f t="shared" si="353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13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1"/>
        <v>45064</v>
      </c>
      <c r="L1332" s="5">
        <f t="shared" si="332"/>
        <v>5</v>
      </c>
      <c r="M1332" s="5">
        <f t="shared" si="333"/>
        <v>2023</v>
      </c>
      <c r="N1332" s="6">
        <v>200</v>
      </c>
      <c r="O1332" s="6">
        <f t="shared" si="355"/>
        <v>-200</v>
      </c>
      <c r="P1332" s="6">
        <f t="shared" si="354"/>
        <v>0</v>
      </c>
      <c r="Q1332" s="7">
        <f t="shared" si="341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52"/>
        <v>1</v>
      </c>
      <c r="C1333" s="5">
        <f t="shared" si="353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13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1"/>
        <v>45064</v>
      </c>
      <c r="L1333" s="5">
        <f t="shared" si="332"/>
        <v>5</v>
      </c>
      <c r="M1333" s="5">
        <f t="shared" si="333"/>
        <v>2023</v>
      </c>
      <c r="N1333" s="6">
        <v>420</v>
      </c>
      <c r="O1333" s="6">
        <f t="shared" si="355"/>
        <v>-420</v>
      </c>
      <c r="P1333" s="6">
        <f t="shared" si="354"/>
        <v>0</v>
      </c>
      <c r="Q1333" s="7">
        <f t="shared" si="341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52"/>
        <v>1</v>
      </c>
      <c r="C1334" s="5">
        <f t="shared" si="353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13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1"/>
        <v>44945</v>
      </c>
      <c r="L1334" s="5">
        <f t="shared" si="332"/>
        <v>1</v>
      </c>
      <c r="M1334" s="5">
        <f t="shared" si="333"/>
        <v>2023</v>
      </c>
      <c r="N1334" s="6">
        <v>8690</v>
      </c>
      <c r="O1334" s="6">
        <f>-8162.2-527.8</f>
        <v>-8690</v>
      </c>
      <c r="P1334" s="6">
        <f t="shared" si="354"/>
        <v>0</v>
      </c>
      <c r="Q1334" s="7">
        <f t="shared" si="341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52"/>
        <v>1</v>
      </c>
      <c r="C1335" s="5">
        <f t="shared" si="353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13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1"/>
        <v>44945</v>
      </c>
      <c r="L1335" s="5">
        <f t="shared" si="332"/>
        <v>1</v>
      </c>
      <c r="M1335" s="5">
        <f t="shared" si="333"/>
        <v>2023</v>
      </c>
      <c r="N1335" s="6">
        <v>3510</v>
      </c>
      <c r="O1335" s="6">
        <f t="shared" ref="O1335:O1337" si="356">-N1335</f>
        <v>-3510</v>
      </c>
      <c r="P1335" s="6">
        <f t="shared" si="354"/>
        <v>0</v>
      </c>
      <c r="Q1335" s="7">
        <f t="shared" si="341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52"/>
        <v>1</v>
      </c>
      <c r="C1336" s="5">
        <f t="shared" si="353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13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1"/>
        <v>44945</v>
      </c>
      <c r="L1336" s="5">
        <f t="shared" si="332"/>
        <v>1</v>
      </c>
      <c r="M1336" s="5">
        <f t="shared" si="333"/>
        <v>2023</v>
      </c>
      <c r="N1336" s="6">
        <v>1365</v>
      </c>
      <c r="O1336" s="6">
        <f t="shared" si="356"/>
        <v>-1365</v>
      </c>
      <c r="P1336" s="6">
        <f t="shared" si="354"/>
        <v>0</v>
      </c>
      <c r="Q1336" s="7">
        <f t="shared" si="341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52"/>
        <v>1</v>
      </c>
      <c r="C1337" s="5">
        <f t="shared" si="353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13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1"/>
        <v>44945</v>
      </c>
      <c r="L1337" s="5">
        <f t="shared" si="332"/>
        <v>1</v>
      </c>
      <c r="M1337" s="5">
        <f t="shared" si="333"/>
        <v>2023</v>
      </c>
      <c r="N1337" s="6">
        <v>1000</v>
      </c>
      <c r="O1337" s="6">
        <f t="shared" si="356"/>
        <v>-1000</v>
      </c>
      <c r="P1337" s="6">
        <f t="shared" si="354"/>
        <v>0</v>
      </c>
      <c r="Q1337" s="7">
        <f t="shared" si="341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52"/>
        <v>1</v>
      </c>
      <c r="C1338" s="5">
        <f t="shared" si="353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13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1"/>
        <v>44946</v>
      </c>
      <c r="L1338" s="5">
        <f t="shared" si="332"/>
        <v>1</v>
      </c>
      <c r="M1338" s="5">
        <f t="shared" si="333"/>
        <v>2023</v>
      </c>
      <c r="N1338" s="6">
        <v>3476</v>
      </c>
      <c r="O1338" s="6">
        <f>-475.7-1000-1500-500.3</f>
        <v>-3476</v>
      </c>
      <c r="P1338" s="6">
        <f t="shared" si="354"/>
        <v>0</v>
      </c>
      <c r="Q1338" s="7">
        <f t="shared" si="341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52"/>
        <v>1</v>
      </c>
      <c r="C1339" s="5">
        <f t="shared" si="353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13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1"/>
        <v>44946</v>
      </c>
      <c r="L1339" s="5">
        <f t="shared" si="332"/>
        <v>1</v>
      </c>
      <c r="M1339" s="5">
        <f t="shared" si="333"/>
        <v>2023</v>
      </c>
      <c r="N1339" s="6">
        <v>1263.5999999999999</v>
      </c>
      <c r="O1339" s="6">
        <f t="shared" ref="O1339" si="357">-N1339</f>
        <v>-1263.5999999999999</v>
      </c>
      <c r="P1339" s="6">
        <f t="shared" si="354"/>
        <v>0</v>
      </c>
      <c r="Q1339" s="7">
        <f t="shared" si="341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52"/>
        <v>1</v>
      </c>
      <c r="C1340" s="5">
        <f t="shared" si="353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13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1"/>
        <v>44946</v>
      </c>
      <c r="L1340" s="5">
        <f t="shared" si="332"/>
        <v>1</v>
      </c>
      <c r="M1340" s="5">
        <f t="shared" si="333"/>
        <v>2023</v>
      </c>
      <c r="N1340" s="6">
        <v>312.5</v>
      </c>
      <c r="O1340" s="6">
        <f>-236.1-76.4</f>
        <v>-312.5</v>
      </c>
      <c r="P1340" s="6">
        <f t="shared" si="354"/>
        <v>0</v>
      </c>
      <c r="Q1340" s="7">
        <f t="shared" si="341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52"/>
        <v>1</v>
      </c>
      <c r="C1341" s="5">
        <f t="shared" si="353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13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1"/>
        <v>44946</v>
      </c>
      <c r="L1341" s="5">
        <f t="shared" si="332"/>
        <v>1</v>
      </c>
      <c r="M1341" s="5">
        <f t="shared" si="333"/>
        <v>2023</v>
      </c>
      <c r="N1341" s="6">
        <v>210</v>
      </c>
      <c r="O1341" s="6">
        <f t="shared" ref="O1341:O1342" si="358">-N1341</f>
        <v>-210</v>
      </c>
      <c r="P1341" s="6">
        <f t="shared" si="354"/>
        <v>0</v>
      </c>
      <c r="Q1341" s="7">
        <f t="shared" si="341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52"/>
        <v>1</v>
      </c>
      <c r="C1342" s="5">
        <f t="shared" si="353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13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1"/>
        <v>44946</v>
      </c>
      <c r="L1342" s="5">
        <f t="shared" si="332"/>
        <v>1</v>
      </c>
      <c r="M1342" s="5">
        <f t="shared" si="333"/>
        <v>2023</v>
      </c>
      <c r="N1342" s="6">
        <v>440</v>
      </c>
      <c r="O1342" s="6">
        <f t="shared" si="358"/>
        <v>-440</v>
      </c>
      <c r="P1342" s="6">
        <f t="shared" si="354"/>
        <v>0</v>
      </c>
      <c r="Q1342" s="7">
        <f t="shared" si="341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52"/>
        <v>1</v>
      </c>
      <c r="C1343" s="5">
        <f t="shared" si="353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13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1"/>
        <v>44946</v>
      </c>
      <c r="L1343" s="5">
        <f t="shared" si="332"/>
        <v>1</v>
      </c>
      <c r="M1343" s="5">
        <f t="shared" si="333"/>
        <v>2023</v>
      </c>
      <c r="N1343" s="6">
        <v>450</v>
      </c>
      <c r="O1343" s="6">
        <f>-273.6-176.4</f>
        <v>-450</v>
      </c>
      <c r="P1343" s="6">
        <f t="shared" si="354"/>
        <v>0</v>
      </c>
      <c r="Q1343" s="7">
        <f t="shared" si="341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52"/>
        <v>1</v>
      </c>
      <c r="C1344" s="5">
        <f t="shared" si="353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13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1"/>
        <v>45013</v>
      </c>
      <c r="L1344" s="5">
        <f t="shared" si="332"/>
        <v>3</v>
      </c>
      <c r="M1344" s="5">
        <f t="shared" si="333"/>
        <v>2023</v>
      </c>
      <c r="N1344" s="6">
        <v>3256</v>
      </c>
      <c r="O1344" s="6">
        <f t="shared" ref="O1344:O1346" si="359">-N1344</f>
        <v>-3256</v>
      </c>
      <c r="P1344" s="6">
        <f t="shared" si="354"/>
        <v>0</v>
      </c>
      <c r="Q1344" s="7">
        <f t="shared" si="341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52"/>
        <v>1</v>
      </c>
      <c r="C1345" s="5">
        <f t="shared" si="353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13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1"/>
        <v>45013</v>
      </c>
      <c r="L1345" s="5">
        <f t="shared" si="332"/>
        <v>3</v>
      </c>
      <c r="M1345" s="5">
        <f t="shared" si="333"/>
        <v>2023</v>
      </c>
      <c r="N1345" s="6">
        <v>1628</v>
      </c>
      <c r="O1345" s="6">
        <f t="shared" si="359"/>
        <v>-1628</v>
      </c>
      <c r="P1345" s="6">
        <f t="shared" si="354"/>
        <v>0</v>
      </c>
      <c r="Q1345" s="7">
        <f t="shared" si="341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52"/>
        <v>1</v>
      </c>
      <c r="C1346" s="5">
        <f t="shared" si="353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13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1"/>
        <v>45013</v>
      </c>
      <c r="L1346" s="5">
        <f t="shared" si="332"/>
        <v>3</v>
      </c>
      <c r="M1346" s="5">
        <f t="shared" si="333"/>
        <v>2023</v>
      </c>
      <c r="N1346" s="6">
        <v>732</v>
      </c>
      <c r="O1346" s="6">
        <f t="shared" si="359"/>
        <v>-732</v>
      </c>
      <c r="P1346" s="6">
        <f t="shared" si="354"/>
        <v>0</v>
      </c>
      <c r="Q1346" s="7">
        <f t="shared" si="341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0">MONTH(A1347)</f>
        <v>1</v>
      </c>
      <c r="C1347" s="5">
        <f t="shared" ref="C1347:C1362" si="361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13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62">A1347+J1347</f>
        <v>44953</v>
      </c>
      <c r="L1347" s="5">
        <f t="shared" ref="L1347:L1410" si="363">MONTH(K1347)</f>
        <v>1</v>
      </c>
      <c r="M1347" s="5">
        <f t="shared" ref="M1347:M1410" si="364">YEAR(K1347)</f>
        <v>2023</v>
      </c>
      <c r="N1347" s="6">
        <v>1738</v>
      </c>
      <c r="O1347" s="6">
        <f t="shared" ref="O1347:O1352" si="365">-N1347</f>
        <v>-1738</v>
      </c>
      <c r="P1347" s="6">
        <f t="shared" ref="P1347:P1362" si="366">SUM(N1347+O1347)</f>
        <v>0</v>
      </c>
      <c r="Q1347" s="7">
        <f t="shared" si="341"/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0"/>
        <v>1</v>
      </c>
      <c r="C1348" s="5">
        <f t="shared" si="361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13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62"/>
        <v>44953</v>
      </c>
      <c r="L1348" s="5">
        <f t="shared" si="363"/>
        <v>1</v>
      </c>
      <c r="M1348" s="5">
        <f t="shared" si="364"/>
        <v>2023</v>
      </c>
      <c r="N1348" s="6">
        <v>438</v>
      </c>
      <c r="O1348" s="6">
        <f t="shared" si="365"/>
        <v>-438</v>
      </c>
      <c r="P1348" s="6">
        <f t="shared" si="366"/>
        <v>0</v>
      </c>
      <c r="Q1348" s="7">
        <f t="shared" si="341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0"/>
        <v>1</v>
      </c>
      <c r="C1349" s="5">
        <f t="shared" si="361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13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62"/>
        <v>44953</v>
      </c>
      <c r="L1349" s="5">
        <f t="shared" si="363"/>
        <v>1</v>
      </c>
      <c r="M1349" s="5">
        <f t="shared" si="364"/>
        <v>2023</v>
      </c>
      <c r="N1349" s="6">
        <v>219</v>
      </c>
      <c r="O1349" s="6">
        <f t="shared" si="365"/>
        <v>-219</v>
      </c>
      <c r="P1349" s="6">
        <f t="shared" si="366"/>
        <v>0</v>
      </c>
      <c r="Q1349" s="7">
        <f t="shared" si="341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0"/>
        <v>1</v>
      </c>
      <c r="C1350" s="5">
        <f t="shared" si="361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13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62"/>
        <v>44953</v>
      </c>
      <c r="L1350" s="5">
        <f t="shared" si="363"/>
        <v>1</v>
      </c>
      <c r="M1350" s="5">
        <f t="shared" si="364"/>
        <v>2023</v>
      </c>
      <c r="N1350" s="6">
        <v>394.8</v>
      </c>
      <c r="O1350" s="6">
        <f t="shared" si="365"/>
        <v>-394.8</v>
      </c>
      <c r="P1350" s="6">
        <f t="shared" si="366"/>
        <v>0</v>
      </c>
      <c r="Q1350" s="7">
        <f t="shared" si="341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0"/>
        <v>1</v>
      </c>
      <c r="C1351" s="5">
        <f t="shared" si="361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13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62"/>
        <v>44953</v>
      </c>
      <c r="L1351" s="5">
        <f t="shared" si="363"/>
        <v>1</v>
      </c>
      <c r="M1351" s="5">
        <f t="shared" si="364"/>
        <v>2023</v>
      </c>
      <c r="N1351" s="6">
        <v>64</v>
      </c>
      <c r="O1351" s="6">
        <f t="shared" si="365"/>
        <v>-64</v>
      </c>
      <c r="P1351" s="6">
        <f t="shared" si="366"/>
        <v>0</v>
      </c>
      <c r="Q1351" s="7">
        <f t="shared" si="341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0"/>
        <v>1</v>
      </c>
      <c r="C1352" s="5">
        <f t="shared" si="361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13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62"/>
        <v>44953</v>
      </c>
      <c r="L1352" s="5">
        <f t="shared" si="363"/>
        <v>1</v>
      </c>
      <c r="M1352" s="5">
        <f t="shared" si="364"/>
        <v>2023</v>
      </c>
      <c r="N1352" s="6">
        <v>64</v>
      </c>
      <c r="O1352" s="6">
        <f t="shared" si="365"/>
        <v>-64</v>
      </c>
      <c r="P1352" s="6">
        <f t="shared" si="366"/>
        <v>0</v>
      </c>
      <c r="Q1352" s="7">
        <f t="shared" si="341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0"/>
        <v>1</v>
      </c>
      <c r="C1353" s="5">
        <f t="shared" si="361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13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62"/>
        <v>44956</v>
      </c>
      <c r="L1353" s="5">
        <f t="shared" si="363"/>
        <v>1</v>
      </c>
      <c r="M1353" s="5">
        <f t="shared" si="364"/>
        <v>2023</v>
      </c>
      <c r="N1353" s="6">
        <v>8690</v>
      </c>
      <c r="O1353" s="6">
        <f>-8097.2-592.8</f>
        <v>-8690</v>
      </c>
      <c r="P1353" s="6">
        <f t="shared" si="366"/>
        <v>0</v>
      </c>
      <c r="Q1353" s="7">
        <f t="shared" si="341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0"/>
        <v>1</v>
      </c>
      <c r="C1354" s="5">
        <f t="shared" si="361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13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62"/>
        <v>44956</v>
      </c>
      <c r="L1354" s="5">
        <f t="shared" si="363"/>
        <v>1</v>
      </c>
      <c r="M1354" s="5">
        <f t="shared" si="364"/>
        <v>2023</v>
      </c>
      <c r="N1354" s="6">
        <v>702</v>
      </c>
      <c r="O1354" s="6">
        <f t="shared" ref="O1354:O1358" si="367">-N1354</f>
        <v>-702</v>
      </c>
      <c r="P1354" s="6">
        <f t="shared" si="366"/>
        <v>0</v>
      </c>
      <c r="Q1354" s="7">
        <f t="shared" si="341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0"/>
        <v>1</v>
      </c>
      <c r="C1355" s="5">
        <f t="shared" si="361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13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62"/>
        <v>44956</v>
      </c>
      <c r="L1355" s="5">
        <f t="shared" si="363"/>
        <v>1</v>
      </c>
      <c r="M1355" s="5">
        <f t="shared" si="364"/>
        <v>2023</v>
      </c>
      <c r="N1355" s="6">
        <v>1684.8</v>
      </c>
      <c r="O1355" s="6">
        <f t="shared" si="367"/>
        <v>-1684.8</v>
      </c>
      <c r="P1355" s="6">
        <f t="shared" si="366"/>
        <v>0</v>
      </c>
      <c r="Q1355" s="7">
        <f t="shared" si="341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0"/>
        <v>1</v>
      </c>
      <c r="C1356" s="5">
        <f t="shared" si="361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13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62"/>
        <v>44956</v>
      </c>
      <c r="L1356" s="5">
        <f t="shared" si="363"/>
        <v>1</v>
      </c>
      <c r="M1356" s="5">
        <f t="shared" si="364"/>
        <v>2023</v>
      </c>
      <c r="N1356" s="6">
        <v>1911</v>
      </c>
      <c r="O1356" s="6">
        <f t="shared" si="367"/>
        <v>-1911</v>
      </c>
      <c r="P1356" s="6">
        <f t="shared" si="366"/>
        <v>0</v>
      </c>
      <c r="Q1356" s="7">
        <f t="shared" si="341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0"/>
        <v>1</v>
      </c>
      <c r="C1357" s="5">
        <f t="shared" si="361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13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62"/>
        <v>44956</v>
      </c>
      <c r="L1357" s="5">
        <f t="shared" si="363"/>
        <v>1</v>
      </c>
      <c r="M1357" s="5">
        <f t="shared" si="364"/>
        <v>2023</v>
      </c>
      <c r="N1357" s="6">
        <v>1000</v>
      </c>
      <c r="O1357" s="6">
        <f t="shared" si="367"/>
        <v>-1000</v>
      </c>
      <c r="P1357" s="6">
        <f t="shared" si="366"/>
        <v>0</v>
      </c>
      <c r="Q1357" s="7">
        <f t="shared" si="341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0"/>
        <v>1</v>
      </c>
      <c r="C1358" s="5">
        <f t="shared" si="361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13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62"/>
        <v>44956</v>
      </c>
      <c r="L1358" s="5">
        <f t="shared" si="363"/>
        <v>1</v>
      </c>
      <c r="M1358" s="5">
        <f t="shared" si="364"/>
        <v>2023</v>
      </c>
      <c r="N1358" s="6">
        <v>250</v>
      </c>
      <c r="O1358" s="6">
        <f t="shared" si="367"/>
        <v>-250</v>
      </c>
      <c r="P1358" s="6">
        <f t="shared" si="366"/>
        <v>0</v>
      </c>
      <c r="Q1358" s="7">
        <f t="shared" si="341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0"/>
        <v>1</v>
      </c>
      <c r="C1359" s="5">
        <f t="shared" si="361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13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62"/>
        <v>44956</v>
      </c>
      <c r="L1359" s="5">
        <f t="shared" si="363"/>
        <v>1</v>
      </c>
      <c r="M1359" s="5">
        <f t="shared" si="364"/>
        <v>2023</v>
      </c>
      <c r="N1359" s="6">
        <v>380</v>
      </c>
      <c r="O1359" s="6">
        <f>-259.4-120.6</f>
        <v>-380</v>
      </c>
      <c r="P1359" s="6">
        <f t="shared" si="366"/>
        <v>0</v>
      </c>
      <c r="Q1359" s="7">
        <f t="shared" si="341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0"/>
        <v>1</v>
      </c>
      <c r="C1360" s="5">
        <f t="shared" si="361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13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62"/>
        <v>44956</v>
      </c>
      <c r="L1360" s="5">
        <f t="shared" si="363"/>
        <v>1</v>
      </c>
      <c r="M1360" s="5">
        <f t="shared" si="364"/>
        <v>2023</v>
      </c>
      <c r="N1360" s="6">
        <v>570</v>
      </c>
      <c r="O1360" s="6">
        <f t="shared" ref="O1360" si="368">-N1360</f>
        <v>-570</v>
      </c>
      <c r="P1360" s="6">
        <f t="shared" si="366"/>
        <v>0</v>
      </c>
      <c r="Q1360" s="7">
        <f t="shared" si="341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0"/>
        <v>2</v>
      </c>
      <c r="C1361" s="5">
        <f t="shared" si="361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13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62"/>
        <v>44958</v>
      </c>
      <c r="L1361" s="5">
        <f t="shared" si="363"/>
        <v>2</v>
      </c>
      <c r="M1361" s="5">
        <f t="shared" si="364"/>
        <v>2023</v>
      </c>
      <c r="N1361" s="6">
        <v>3555</v>
      </c>
      <c r="O1361" s="6">
        <f t="shared" ref="O1361:O1364" si="369">-N1361</f>
        <v>-3555</v>
      </c>
      <c r="P1361" s="6">
        <f t="shared" si="366"/>
        <v>0</v>
      </c>
      <c r="Q1361" s="7">
        <f t="shared" si="341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0"/>
        <v>2</v>
      </c>
      <c r="C1362" s="5">
        <f t="shared" si="361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13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62"/>
        <v>44959</v>
      </c>
      <c r="L1362" s="5">
        <f t="shared" si="363"/>
        <v>2</v>
      </c>
      <c r="M1362" s="5">
        <f t="shared" si="364"/>
        <v>2023</v>
      </c>
      <c r="N1362" s="6">
        <v>1870</v>
      </c>
      <c r="O1362" s="6">
        <f t="shared" si="369"/>
        <v>-1870</v>
      </c>
      <c r="P1362" s="6">
        <f t="shared" si="366"/>
        <v>0</v>
      </c>
      <c r="Q1362" s="7">
        <f t="shared" ref="Q1362:Q1425" si="370">SUM(Q1361+N1362)</f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71">MONTH(A1363)</f>
        <v>2</v>
      </c>
      <c r="C1363" s="5">
        <f t="shared" ref="C1363:C1365" si="372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13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62"/>
        <v>44959</v>
      </c>
      <c r="L1363" s="5">
        <f t="shared" si="363"/>
        <v>2</v>
      </c>
      <c r="M1363" s="5">
        <f t="shared" si="364"/>
        <v>2023</v>
      </c>
      <c r="N1363" s="6">
        <v>510</v>
      </c>
      <c r="O1363" s="6">
        <f t="shared" si="369"/>
        <v>-510</v>
      </c>
      <c r="P1363" s="6">
        <f t="shared" ref="P1363:P1403" si="373">SUM(N1363+O1363)</f>
        <v>0</v>
      </c>
      <c r="Q1363" s="7">
        <f t="shared" si="370"/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71"/>
        <v>2</v>
      </c>
      <c r="C1364" s="5">
        <f t="shared" si="372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13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62"/>
        <v>44959</v>
      </c>
      <c r="L1364" s="5">
        <f t="shared" si="363"/>
        <v>2</v>
      </c>
      <c r="M1364" s="5">
        <f t="shared" si="364"/>
        <v>2023</v>
      </c>
      <c r="N1364" s="6">
        <v>95</v>
      </c>
      <c r="O1364" s="6">
        <f t="shared" si="369"/>
        <v>-95</v>
      </c>
      <c r="P1364" s="6">
        <f t="shared" si="373"/>
        <v>0</v>
      </c>
      <c r="Q1364" s="7">
        <f t="shared" si="370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71"/>
        <v>2</v>
      </c>
      <c r="C1365" s="5">
        <f t="shared" si="372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13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62"/>
        <v>44960</v>
      </c>
      <c r="L1365" s="5">
        <f t="shared" si="363"/>
        <v>2</v>
      </c>
      <c r="M1365" s="5">
        <f t="shared" si="364"/>
        <v>2023</v>
      </c>
      <c r="N1365" s="6">
        <v>5214</v>
      </c>
      <c r="O1365" s="6">
        <f>-489.4-1025-3699.6</f>
        <v>-5214</v>
      </c>
      <c r="P1365" s="6">
        <f t="shared" si="373"/>
        <v>0</v>
      </c>
      <c r="Q1365" s="7">
        <f t="shared" si="370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74">MONTH(A1366)</f>
        <v>2</v>
      </c>
      <c r="C1366" s="5">
        <f t="shared" ref="C1366:C1398" si="37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13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62"/>
        <v>44960</v>
      </c>
      <c r="L1366" s="5">
        <f t="shared" si="363"/>
        <v>2</v>
      </c>
      <c r="M1366" s="5">
        <f t="shared" si="364"/>
        <v>2023</v>
      </c>
      <c r="N1366" s="6">
        <v>684</v>
      </c>
      <c r="O1366" s="6">
        <f t="shared" ref="O1366:O1369" si="376">-N1366</f>
        <v>-684</v>
      </c>
      <c r="P1366" s="6">
        <f t="shared" si="373"/>
        <v>0</v>
      </c>
      <c r="Q1366" s="7">
        <f t="shared" si="370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74"/>
        <v>2</v>
      </c>
      <c r="C1367" s="5">
        <f t="shared" si="37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13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62"/>
        <v>44960</v>
      </c>
      <c r="L1367" s="5">
        <f t="shared" si="363"/>
        <v>2</v>
      </c>
      <c r="M1367" s="5">
        <f t="shared" si="364"/>
        <v>2023</v>
      </c>
      <c r="N1367" s="6">
        <v>793.80000000000007</v>
      </c>
      <c r="O1367" s="6">
        <f t="shared" si="376"/>
        <v>-793.80000000000007</v>
      </c>
      <c r="P1367" s="6">
        <f t="shared" si="373"/>
        <v>0</v>
      </c>
      <c r="Q1367" s="7">
        <f t="shared" si="370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74"/>
        <v>2</v>
      </c>
      <c r="C1368" s="5">
        <f t="shared" si="37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13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62"/>
        <v>44960</v>
      </c>
      <c r="L1368" s="5">
        <f t="shared" si="363"/>
        <v>2</v>
      </c>
      <c r="M1368" s="5">
        <f t="shared" si="364"/>
        <v>2023</v>
      </c>
      <c r="N1368" s="6">
        <v>285</v>
      </c>
      <c r="O1368" s="6">
        <f t="shared" si="376"/>
        <v>-285</v>
      </c>
      <c r="P1368" s="6">
        <f t="shared" si="373"/>
        <v>0</v>
      </c>
      <c r="Q1368" s="7">
        <f t="shared" si="370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74"/>
        <v>2</v>
      </c>
      <c r="C1369" s="5">
        <f t="shared" si="37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13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62"/>
        <v>44960</v>
      </c>
      <c r="L1369" s="5">
        <f t="shared" si="363"/>
        <v>2</v>
      </c>
      <c r="M1369" s="5">
        <f t="shared" si="364"/>
        <v>2023</v>
      </c>
      <c r="N1369" s="6">
        <v>105</v>
      </c>
      <c r="O1369" s="6">
        <f t="shared" si="376"/>
        <v>-105</v>
      </c>
      <c r="P1369" s="6">
        <f t="shared" si="373"/>
        <v>0</v>
      </c>
      <c r="Q1369" s="7">
        <f t="shared" si="370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74"/>
        <v>2</v>
      </c>
      <c r="C1370" s="5">
        <f t="shared" si="37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13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62"/>
        <v>44965</v>
      </c>
      <c r="L1370" s="5">
        <f t="shared" si="363"/>
        <v>2</v>
      </c>
      <c r="M1370" s="5">
        <f t="shared" si="364"/>
        <v>2023</v>
      </c>
      <c r="N1370" s="6">
        <v>1936</v>
      </c>
      <c r="O1370" s="6">
        <f>-714-1222</f>
        <v>-1936</v>
      </c>
      <c r="P1370" s="6">
        <f t="shared" si="373"/>
        <v>0</v>
      </c>
      <c r="Q1370" s="7">
        <f t="shared" si="370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74"/>
        <v>2</v>
      </c>
      <c r="C1371" s="5">
        <f t="shared" si="37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13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62"/>
        <v>44965</v>
      </c>
      <c r="L1371" s="5">
        <f t="shared" si="363"/>
        <v>2</v>
      </c>
      <c r="M1371" s="5">
        <f t="shared" si="364"/>
        <v>2023</v>
      </c>
      <c r="N1371" s="6">
        <v>570</v>
      </c>
      <c r="O1371" s="6">
        <f t="shared" ref="O1371" si="377">-N1371</f>
        <v>-570</v>
      </c>
      <c r="P1371" s="6">
        <f t="shared" si="373"/>
        <v>0</v>
      </c>
      <c r="Q1371" s="7">
        <f t="shared" si="370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74"/>
        <v>2</v>
      </c>
      <c r="C1372" s="5">
        <f t="shared" si="37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13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62"/>
        <v>44965</v>
      </c>
      <c r="L1372" s="5">
        <f t="shared" si="363"/>
        <v>2</v>
      </c>
      <c r="M1372" s="5">
        <f t="shared" si="364"/>
        <v>2023</v>
      </c>
      <c r="N1372" s="6">
        <v>450</v>
      </c>
      <c r="O1372" s="6">
        <f>-208-242</f>
        <v>-450</v>
      </c>
      <c r="P1372" s="6">
        <f t="shared" si="373"/>
        <v>0</v>
      </c>
      <c r="Q1372" s="7">
        <f t="shared" si="370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74"/>
        <v>2</v>
      </c>
      <c r="C1373" s="5">
        <f t="shared" si="37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13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62"/>
        <v>44965</v>
      </c>
      <c r="L1373" s="5">
        <f t="shared" si="363"/>
        <v>2</v>
      </c>
      <c r="M1373" s="5">
        <f t="shared" si="364"/>
        <v>2023</v>
      </c>
      <c r="N1373" s="6">
        <v>1752</v>
      </c>
      <c r="O1373" s="6">
        <f t="shared" ref="O1373:O1379" si="378">-N1373</f>
        <v>-1752</v>
      </c>
      <c r="P1373" s="6">
        <f t="shared" si="373"/>
        <v>0</v>
      </c>
      <c r="Q1373" s="7">
        <f t="shared" si="370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74"/>
        <v>2</v>
      </c>
      <c r="C1374" s="5">
        <f t="shared" si="37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13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62"/>
        <v>44965</v>
      </c>
      <c r="L1374" s="5">
        <f t="shared" si="363"/>
        <v>2</v>
      </c>
      <c r="M1374" s="5">
        <f t="shared" si="364"/>
        <v>2023</v>
      </c>
      <c r="N1374" s="6">
        <v>876</v>
      </c>
      <c r="O1374" s="6">
        <f t="shared" si="378"/>
        <v>-876</v>
      </c>
      <c r="P1374" s="6">
        <f t="shared" si="373"/>
        <v>0</v>
      </c>
      <c r="Q1374" s="7">
        <f t="shared" si="370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74"/>
        <v>2</v>
      </c>
      <c r="C1375" s="5">
        <f t="shared" si="37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13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62"/>
        <v>44965</v>
      </c>
      <c r="L1375" s="5">
        <f t="shared" si="363"/>
        <v>2</v>
      </c>
      <c r="M1375" s="5">
        <f t="shared" si="364"/>
        <v>2023</v>
      </c>
      <c r="N1375" s="6">
        <v>987</v>
      </c>
      <c r="O1375" s="6">
        <f t="shared" si="378"/>
        <v>-987</v>
      </c>
      <c r="P1375" s="6">
        <f t="shared" si="373"/>
        <v>0</v>
      </c>
      <c r="Q1375" s="7">
        <f t="shared" si="370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74"/>
        <v>2</v>
      </c>
      <c r="C1376" s="5">
        <f t="shared" si="37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13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62"/>
        <v>44965</v>
      </c>
      <c r="L1376" s="5">
        <f t="shared" si="363"/>
        <v>2</v>
      </c>
      <c r="M1376" s="5">
        <f t="shared" si="364"/>
        <v>2023</v>
      </c>
      <c r="N1376" s="6">
        <v>350</v>
      </c>
      <c r="O1376" s="6">
        <f t="shared" si="378"/>
        <v>-350</v>
      </c>
      <c r="P1376" s="6">
        <f t="shared" si="373"/>
        <v>0</v>
      </c>
      <c r="Q1376" s="7">
        <f t="shared" si="370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74"/>
        <v>2</v>
      </c>
      <c r="C1377" s="5">
        <f t="shared" si="37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13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62"/>
        <v>44965</v>
      </c>
      <c r="L1377" s="5">
        <f t="shared" si="363"/>
        <v>2</v>
      </c>
      <c r="M1377" s="5">
        <f t="shared" si="364"/>
        <v>2023</v>
      </c>
      <c r="N1377" s="6">
        <v>2268</v>
      </c>
      <c r="O1377" s="6">
        <f t="shared" si="378"/>
        <v>-2268</v>
      </c>
      <c r="P1377" s="6">
        <f t="shared" si="373"/>
        <v>0</v>
      </c>
      <c r="Q1377" s="7">
        <f t="shared" si="370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74"/>
        <v>2</v>
      </c>
      <c r="C1378" s="5">
        <f t="shared" si="37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13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62"/>
        <v>44965</v>
      </c>
      <c r="L1378" s="5">
        <f t="shared" si="363"/>
        <v>2</v>
      </c>
      <c r="M1378" s="5">
        <f t="shared" si="364"/>
        <v>2023</v>
      </c>
      <c r="N1378" s="6">
        <v>714</v>
      </c>
      <c r="O1378" s="6">
        <f t="shared" si="378"/>
        <v>-714</v>
      </c>
      <c r="P1378" s="6">
        <f t="shared" si="373"/>
        <v>0</v>
      </c>
      <c r="Q1378" s="7">
        <f t="shared" si="370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74"/>
        <v>2</v>
      </c>
      <c r="C1379" s="5">
        <f t="shared" si="37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13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62"/>
        <v>44966</v>
      </c>
      <c r="L1379" s="5">
        <f t="shared" si="363"/>
        <v>2</v>
      </c>
      <c r="M1379" s="5">
        <f t="shared" si="364"/>
        <v>2023</v>
      </c>
      <c r="N1379" s="6">
        <v>6952</v>
      </c>
      <c r="O1379" s="6">
        <f t="shared" si="378"/>
        <v>-6952</v>
      </c>
      <c r="P1379" s="6">
        <f t="shared" si="373"/>
        <v>0</v>
      </c>
      <c r="Q1379" s="7">
        <f t="shared" si="370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74"/>
        <v>2</v>
      </c>
      <c r="C1380" s="5">
        <f t="shared" si="37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13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62"/>
        <v>44966</v>
      </c>
      <c r="L1380" s="5">
        <f t="shared" si="363"/>
        <v>2</v>
      </c>
      <c r="M1380" s="5">
        <f t="shared" si="364"/>
        <v>2023</v>
      </c>
      <c r="N1380" s="6">
        <v>3420</v>
      </c>
      <c r="O1380" s="6">
        <f>-2480.6-939.4</f>
        <v>-3420</v>
      </c>
      <c r="P1380" s="6">
        <f t="shared" si="373"/>
        <v>0</v>
      </c>
      <c r="Q1380" s="7">
        <f t="shared" si="370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74"/>
        <v>2</v>
      </c>
      <c r="C1381" s="5">
        <f t="shared" si="37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13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62"/>
        <v>44966</v>
      </c>
      <c r="L1381" s="5">
        <f t="shared" si="363"/>
        <v>2</v>
      </c>
      <c r="M1381" s="5">
        <f t="shared" si="364"/>
        <v>2023</v>
      </c>
      <c r="N1381" s="6">
        <v>2116.8000000000002</v>
      </c>
      <c r="O1381" s="6">
        <f>-2060.6-56.2</f>
        <v>-2116.7999999999997</v>
      </c>
      <c r="P1381" s="6">
        <f t="shared" si="373"/>
        <v>4.5474735088646412E-13</v>
      </c>
      <c r="Q1381" s="7">
        <f t="shared" si="370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74"/>
        <v>2</v>
      </c>
      <c r="C1382" s="5">
        <f t="shared" si="37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13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62"/>
        <v>44966</v>
      </c>
      <c r="L1382" s="5">
        <f t="shared" si="363"/>
        <v>2</v>
      </c>
      <c r="M1382" s="5">
        <f t="shared" si="364"/>
        <v>2023</v>
      </c>
      <c r="N1382" s="6">
        <v>380</v>
      </c>
      <c r="O1382" s="6">
        <f t="shared" ref="O1382:O1384" si="379">-N1382</f>
        <v>-380</v>
      </c>
      <c r="P1382" s="6">
        <f t="shared" si="373"/>
        <v>0</v>
      </c>
      <c r="Q1382" s="7">
        <f t="shared" si="370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74"/>
        <v>2</v>
      </c>
      <c r="C1383" s="5">
        <f t="shared" si="37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13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62"/>
        <v>44966</v>
      </c>
      <c r="L1383" s="5">
        <f t="shared" si="363"/>
        <v>2</v>
      </c>
      <c r="M1383" s="5">
        <f t="shared" si="364"/>
        <v>2023</v>
      </c>
      <c r="N1383" s="6">
        <v>1000</v>
      </c>
      <c r="O1383" s="6">
        <f t="shared" si="379"/>
        <v>-1000</v>
      </c>
      <c r="P1383" s="6">
        <f t="shared" si="373"/>
        <v>0</v>
      </c>
      <c r="Q1383" s="7">
        <f t="shared" si="370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74"/>
        <v>2</v>
      </c>
      <c r="C1384" s="5">
        <f t="shared" si="37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13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62"/>
        <v>44966</v>
      </c>
      <c r="L1384" s="5">
        <f t="shared" si="363"/>
        <v>2</v>
      </c>
      <c r="M1384" s="5">
        <f t="shared" si="364"/>
        <v>2023</v>
      </c>
      <c r="N1384" s="6">
        <v>250</v>
      </c>
      <c r="O1384" s="6">
        <f t="shared" si="379"/>
        <v>-250</v>
      </c>
      <c r="P1384" s="6">
        <f t="shared" si="373"/>
        <v>0</v>
      </c>
      <c r="Q1384" s="7">
        <f t="shared" si="370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74"/>
        <v>2</v>
      </c>
      <c r="C1385" s="5">
        <f t="shared" si="37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13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62"/>
        <v>44966</v>
      </c>
      <c r="L1385" s="5">
        <f t="shared" si="363"/>
        <v>2</v>
      </c>
      <c r="M1385" s="5">
        <f t="shared" si="364"/>
        <v>2023</v>
      </c>
      <c r="N1385" s="6">
        <v>110</v>
      </c>
      <c r="O1385" s="6">
        <f t="shared" ref="O1385:O1388" si="380">-N1385</f>
        <v>-110</v>
      </c>
      <c r="P1385" s="6">
        <f t="shared" si="373"/>
        <v>0</v>
      </c>
      <c r="Q1385" s="7">
        <f t="shared" si="370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74"/>
        <v>2</v>
      </c>
      <c r="C1386" s="5">
        <f t="shared" si="37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13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62"/>
        <v>44967</v>
      </c>
      <c r="L1386" s="5">
        <f t="shared" si="363"/>
        <v>2</v>
      </c>
      <c r="M1386" s="5">
        <f t="shared" si="364"/>
        <v>2023</v>
      </c>
      <c r="N1386" s="6">
        <v>1870</v>
      </c>
      <c r="O1386" s="6">
        <f t="shared" si="380"/>
        <v>-1870</v>
      </c>
      <c r="P1386" s="6">
        <f t="shared" si="373"/>
        <v>0</v>
      </c>
      <c r="Q1386" s="7">
        <f t="shared" si="370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74"/>
        <v>2</v>
      </c>
      <c r="C1387" s="5">
        <f t="shared" si="37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13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62"/>
        <v>44967</v>
      </c>
      <c r="L1387" s="5">
        <f t="shared" si="363"/>
        <v>2</v>
      </c>
      <c r="M1387" s="5">
        <f t="shared" si="364"/>
        <v>2023</v>
      </c>
      <c r="N1387" s="6">
        <v>765</v>
      </c>
      <c r="O1387" s="6">
        <f t="shared" si="380"/>
        <v>-765</v>
      </c>
      <c r="P1387" s="6">
        <f t="shared" si="373"/>
        <v>0</v>
      </c>
      <c r="Q1387" s="7">
        <f t="shared" si="370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74"/>
        <v>2</v>
      </c>
      <c r="C1388" s="5">
        <f t="shared" si="37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13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62"/>
        <v>44967</v>
      </c>
      <c r="L1388" s="5">
        <f t="shared" si="363"/>
        <v>2</v>
      </c>
      <c r="M1388" s="5">
        <f t="shared" si="364"/>
        <v>2023</v>
      </c>
      <c r="N1388" s="6">
        <v>95</v>
      </c>
      <c r="O1388" s="6">
        <f t="shared" si="380"/>
        <v>-95</v>
      </c>
      <c r="P1388" s="6">
        <f t="shared" si="373"/>
        <v>0</v>
      </c>
      <c r="Q1388" s="7">
        <f t="shared" si="370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74"/>
        <v>2</v>
      </c>
      <c r="C1389" s="5">
        <f t="shared" si="37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13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62"/>
        <v>45087</v>
      </c>
      <c r="L1389" s="5">
        <f t="shared" si="363"/>
        <v>6</v>
      </c>
      <c r="M1389" s="5">
        <f t="shared" si="364"/>
        <v>2023</v>
      </c>
      <c r="N1389" s="6">
        <v>8140</v>
      </c>
      <c r="O1389" s="6">
        <f t="shared" ref="O1389:O1393" si="381">-N1389</f>
        <v>-8140</v>
      </c>
      <c r="P1389" s="6">
        <f t="shared" si="373"/>
        <v>0</v>
      </c>
      <c r="Q1389" s="7">
        <f t="shared" si="370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74"/>
        <v>2</v>
      </c>
      <c r="C1390" s="5">
        <f t="shared" si="37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13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62"/>
        <v>45087</v>
      </c>
      <c r="L1390" s="5">
        <f t="shared" si="363"/>
        <v>6</v>
      </c>
      <c r="M1390" s="5">
        <f t="shared" si="364"/>
        <v>2023</v>
      </c>
      <c r="N1390" s="6">
        <v>1035</v>
      </c>
      <c r="O1390" s="6">
        <f t="shared" si="381"/>
        <v>-1035</v>
      </c>
      <c r="P1390" s="6">
        <f t="shared" si="373"/>
        <v>0</v>
      </c>
      <c r="Q1390" s="7">
        <f t="shared" si="370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74"/>
        <v>2</v>
      </c>
      <c r="C1391" s="5">
        <f t="shared" si="37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13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62"/>
        <v>45087</v>
      </c>
      <c r="L1391" s="5">
        <f t="shared" si="363"/>
        <v>6</v>
      </c>
      <c r="M1391" s="5">
        <f t="shared" si="364"/>
        <v>2023</v>
      </c>
      <c r="N1391" s="6">
        <v>575</v>
      </c>
      <c r="O1391" s="6">
        <f t="shared" si="381"/>
        <v>-575</v>
      </c>
      <c r="P1391" s="6">
        <f t="shared" si="373"/>
        <v>0</v>
      </c>
      <c r="Q1391" s="7">
        <f t="shared" si="370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74"/>
        <v>2</v>
      </c>
      <c r="C1392" s="5">
        <f t="shared" si="37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13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62"/>
        <v>45087</v>
      </c>
      <c r="L1392" s="5">
        <f t="shared" si="363"/>
        <v>6</v>
      </c>
      <c r="M1392" s="5">
        <f t="shared" si="364"/>
        <v>2023</v>
      </c>
      <c r="N1392" s="6">
        <v>420</v>
      </c>
      <c r="O1392" s="6">
        <f t="shared" si="381"/>
        <v>-420</v>
      </c>
      <c r="P1392" s="6">
        <f t="shared" si="373"/>
        <v>0</v>
      </c>
      <c r="Q1392" s="7">
        <f t="shared" si="370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74"/>
        <v>2</v>
      </c>
      <c r="C1393" s="5">
        <f t="shared" si="37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13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62"/>
        <v>45087</v>
      </c>
      <c r="L1393" s="5">
        <f t="shared" si="363"/>
        <v>6</v>
      </c>
      <c r="M1393" s="5">
        <f t="shared" si="364"/>
        <v>2023</v>
      </c>
      <c r="N1393" s="6">
        <v>595</v>
      </c>
      <c r="O1393" s="6">
        <f t="shared" si="381"/>
        <v>-595</v>
      </c>
      <c r="P1393" s="6">
        <f t="shared" si="373"/>
        <v>0</v>
      </c>
      <c r="Q1393" s="7">
        <f t="shared" si="370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74"/>
        <v>2</v>
      </c>
      <c r="C1394" s="5">
        <f t="shared" si="37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13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62"/>
        <v>44968</v>
      </c>
      <c r="L1394" s="5">
        <f t="shared" si="363"/>
        <v>2</v>
      </c>
      <c r="M1394" s="5">
        <f t="shared" si="364"/>
        <v>2023</v>
      </c>
      <c r="N1394" s="6">
        <v>8690</v>
      </c>
      <c r="O1394" s="6">
        <f>-6613.8-1100-976.2</f>
        <v>-8690</v>
      </c>
      <c r="P1394" s="6">
        <f t="shared" si="373"/>
        <v>0</v>
      </c>
      <c r="Q1394" s="7">
        <f t="shared" si="370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74"/>
        <v>2</v>
      </c>
      <c r="C1395" s="5">
        <f t="shared" si="37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13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62"/>
        <v>44968</v>
      </c>
      <c r="L1395" s="5">
        <f t="shared" si="363"/>
        <v>2</v>
      </c>
      <c r="M1395" s="5">
        <f t="shared" si="364"/>
        <v>2023</v>
      </c>
      <c r="N1395" s="6">
        <v>3420</v>
      </c>
      <c r="O1395" s="6">
        <f t="shared" ref="O1395:O1398" si="382">-N1395</f>
        <v>-3420</v>
      </c>
      <c r="P1395" s="6">
        <f t="shared" si="373"/>
        <v>0</v>
      </c>
      <c r="Q1395" s="7">
        <f t="shared" si="370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74"/>
        <v>2</v>
      </c>
      <c r="C1396" s="5">
        <f t="shared" si="37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13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62"/>
        <v>44968</v>
      </c>
      <c r="L1396" s="5">
        <f t="shared" si="363"/>
        <v>2</v>
      </c>
      <c r="M1396" s="5">
        <f t="shared" si="364"/>
        <v>2023</v>
      </c>
      <c r="N1396" s="6">
        <v>2116.8000000000002</v>
      </c>
      <c r="O1396" s="6">
        <f t="shared" si="382"/>
        <v>-2116.8000000000002</v>
      </c>
      <c r="P1396" s="6">
        <f t="shared" si="373"/>
        <v>0</v>
      </c>
      <c r="Q1396" s="7">
        <f t="shared" si="370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74"/>
        <v>2</v>
      </c>
      <c r="C1397" s="5">
        <f t="shared" si="37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13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62"/>
        <v>44968</v>
      </c>
      <c r="L1397" s="5">
        <f t="shared" si="363"/>
        <v>2</v>
      </c>
      <c r="M1397" s="5">
        <f t="shared" si="364"/>
        <v>2023</v>
      </c>
      <c r="N1397" s="6">
        <v>1000</v>
      </c>
      <c r="O1397" s="6">
        <f t="shared" si="382"/>
        <v>-1000</v>
      </c>
      <c r="P1397" s="6">
        <f t="shared" si="373"/>
        <v>0</v>
      </c>
      <c r="Q1397" s="7">
        <f t="shared" si="370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74"/>
        <v>2</v>
      </c>
      <c r="C1398" s="5">
        <f t="shared" si="37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13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62"/>
        <v>44968</v>
      </c>
      <c r="L1398" s="5">
        <f t="shared" si="363"/>
        <v>2</v>
      </c>
      <c r="M1398" s="5">
        <f t="shared" si="364"/>
        <v>2023</v>
      </c>
      <c r="N1398" s="6">
        <v>312.5</v>
      </c>
      <c r="O1398" s="6">
        <f t="shared" si="382"/>
        <v>-312.5</v>
      </c>
      <c r="P1398" s="6">
        <f t="shared" si="373"/>
        <v>0</v>
      </c>
      <c r="Q1398" s="7">
        <f t="shared" si="370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83">MONTH(A1399)</f>
        <v>2</v>
      </c>
      <c r="C1399" s="5">
        <f t="shared" ref="C1399:C1428" si="38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13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62"/>
        <v>44968</v>
      </c>
      <c r="L1399" s="5">
        <f t="shared" si="363"/>
        <v>2</v>
      </c>
      <c r="M1399" s="5">
        <f t="shared" si="364"/>
        <v>2023</v>
      </c>
      <c r="N1399" s="6">
        <v>450</v>
      </c>
      <c r="O1399" s="6">
        <f t="shared" ref="O1399" si="385">-N1399</f>
        <v>-450</v>
      </c>
      <c r="P1399" s="6">
        <f t="shared" si="373"/>
        <v>0</v>
      </c>
      <c r="Q1399" s="7">
        <f t="shared" si="370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83"/>
        <v>2</v>
      </c>
      <c r="C1400" s="5">
        <f t="shared" si="38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13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62"/>
        <v>44972</v>
      </c>
      <c r="L1400" s="5">
        <f t="shared" si="363"/>
        <v>2</v>
      </c>
      <c r="M1400" s="5">
        <f t="shared" si="364"/>
        <v>2023</v>
      </c>
      <c r="N1400" s="6">
        <v>260</v>
      </c>
      <c r="O1400" s="6">
        <f t="shared" ref="O1400:O1405" si="386">-N1400</f>
        <v>-260</v>
      </c>
      <c r="P1400" s="6">
        <f t="shared" si="373"/>
        <v>0</v>
      </c>
      <c r="Q1400" s="7">
        <f t="shared" si="370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83"/>
        <v>2</v>
      </c>
      <c r="C1401" s="5">
        <f t="shared" si="38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13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62"/>
        <v>44972</v>
      </c>
      <c r="L1401" s="5">
        <f t="shared" si="363"/>
        <v>2</v>
      </c>
      <c r="M1401" s="5">
        <f t="shared" si="364"/>
        <v>2023</v>
      </c>
      <c r="N1401" s="6">
        <v>228</v>
      </c>
      <c r="O1401" s="6">
        <f t="shared" si="386"/>
        <v>-228</v>
      </c>
      <c r="P1401" s="6">
        <f t="shared" si="373"/>
        <v>0</v>
      </c>
      <c r="Q1401" s="7">
        <f t="shared" si="370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83"/>
        <v>2</v>
      </c>
      <c r="C1402" s="5">
        <f t="shared" si="38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13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62"/>
        <v>44972</v>
      </c>
      <c r="L1402" s="5">
        <f t="shared" si="363"/>
        <v>2</v>
      </c>
      <c r="M1402" s="5">
        <f t="shared" si="364"/>
        <v>2023</v>
      </c>
      <c r="N1402" s="6">
        <v>105</v>
      </c>
      <c r="O1402" s="6">
        <f t="shared" si="386"/>
        <v>-105</v>
      </c>
      <c r="P1402" s="6">
        <f t="shared" si="373"/>
        <v>0</v>
      </c>
      <c r="Q1402" s="7">
        <f t="shared" si="370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83"/>
        <v>2</v>
      </c>
      <c r="C1403" s="5">
        <f t="shared" si="38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13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62"/>
        <v>44972</v>
      </c>
      <c r="L1403" s="5">
        <f t="shared" si="363"/>
        <v>2</v>
      </c>
      <c r="M1403" s="5">
        <f t="shared" si="364"/>
        <v>2023</v>
      </c>
      <c r="N1403" s="6">
        <v>170</v>
      </c>
      <c r="O1403" s="6">
        <f t="shared" si="386"/>
        <v>-170</v>
      </c>
      <c r="P1403" s="6">
        <f t="shared" si="373"/>
        <v>0</v>
      </c>
      <c r="Q1403" s="7">
        <f t="shared" si="370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83"/>
        <v>2</v>
      </c>
      <c r="C1404" s="5">
        <f t="shared" si="38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13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62"/>
        <v>44972</v>
      </c>
      <c r="L1404" s="5">
        <f t="shared" si="363"/>
        <v>2</v>
      </c>
      <c r="M1404" s="5">
        <f t="shared" si="364"/>
        <v>2023</v>
      </c>
      <c r="N1404" s="6">
        <v>50</v>
      </c>
      <c r="O1404" s="6">
        <f t="shared" si="386"/>
        <v>-50</v>
      </c>
      <c r="P1404" s="6">
        <f t="shared" ref="P1404:P1428" si="387">SUM(N1404+O1404)</f>
        <v>0</v>
      </c>
      <c r="Q1404" s="7">
        <f t="shared" si="370"/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83"/>
        <v>2</v>
      </c>
      <c r="C1405" s="5">
        <f t="shared" si="38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13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62"/>
        <v>44972</v>
      </c>
      <c r="L1405" s="5">
        <f t="shared" si="363"/>
        <v>2</v>
      </c>
      <c r="M1405" s="5">
        <f t="shared" si="364"/>
        <v>2023</v>
      </c>
      <c r="N1405" s="6">
        <v>48</v>
      </c>
      <c r="O1405" s="6">
        <f t="shared" si="386"/>
        <v>-48</v>
      </c>
      <c r="P1405" s="6">
        <f t="shared" si="387"/>
        <v>0</v>
      </c>
      <c r="Q1405" s="7">
        <f t="shared" si="370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83"/>
        <v>2</v>
      </c>
      <c r="C1406" s="5">
        <f t="shared" si="38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13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62"/>
        <v>44973</v>
      </c>
      <c r="L1406" s="5">
        <f t="shared" si="363"/>
        <v>2</v>
      </c>
      <c r="M1406" s="5">
        <f t="shared" si="364"/>
        <v>2023</v>
      </c>
      <c r="N1406" s="6">
        <v>5214</v>
      </c>
      <c r="O1406" s="6">
        <f>-1174.5-4039.5</f>
        <v>-5214</v>
      </c>
      <c r="P1406" s="6">
        <f t="shared" si="387"/>
        <v>0</v>
      </c>
      <c r="Q1406" s="7">
        <f t="shared" si="370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83"/>
        <v>2</v>
      </c>
      <c r="C1407" s="5">
        <f t="shared" si="38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13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62"/>
        <v>44973</v>
      </c>
      <c r="L1407" s="5">
        <f t="shared" si="363"/>
        <v>2</v>
      </c>
      <c r="M1407" s="5">
        <f t="shared" si="364"/>
        <v>2023</v>
      </c>
      <c r="N1407" s="6">
        <v>4560</v>
      </c>
      <c r="O1407" s="6">
        <f t="shared" ref="O1407:O1412" si="388">-N1407</f>
        <v>-4560</v>
      </c>
      <c r="P1407" s="6">
        <f t="shared" si="387"/>
        <v>0</v>
      </c>
      <c r="Q1407" s="7">
        <f t="shared" si="370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83"/>
        <v>2</v>
      </c>
      <c r="C1408" s="5">
        <f t="shared" si="38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13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62"/>
        <v>44973</v>
      </c>
      <c r="L1408" s="5">
        <f t="shared" si="363"/>
        <v>2</v>
      </c>
      <c r="M1408" s="5">
        <f t="shared" si="364"/>
        <v>2023</v>
      </c>
      <c r="N1408" s="6">
        <v>1587.6000000000001</v>
      </c>
      <c r="O1408" s="6">
        <f t="shared" si="388"/>
        <v>-1587.6000000000001</v>
      </c>
      <c r="P1408" s="6">
        <f t="shared" si="387"/>
        <v>0</v>
      </c>
      <c r="Q1408" s="7">
        <f t="shared" si="370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83"/>
        <v>2</v>
      </c>
      <c r="C1409" s="5">
        <f t="shared" si="38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13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62"/>
        <v>44973</v>
      </c>
      <c r="L1409" s="5">
        <f t="shared" si="363"/>
        <v>2</v>
      </c>
      <c r="M1409" s="5">
        <f t="shared" si="364"/>
        <v>2023</v>
      </c>
      <c r="N1409" s="6">
        <v>1008</v>
      </c>
      <c r="O1409" s="6">
        <f t="shared" si="388"/>
        <v>-1008</v>
      </c>
      <c r="P1409" s="6">
        <f t="shared" si="387"/>
        <v>0</v>
      </c>
      <c r="Q1409" s="7">
        <f t="shared" si="370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83"/>
        <v>2</v>
      </c>
      <c r="C1410" s="5">
        <f t="shared" si="38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13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62"/>
        <v>44973</v>
      </c>
      <c r="L1410" s="5">
        <f t="shared" si="363"/>
        <v>2</v>
      </c>
      <c r="M1410" s="5">
        <f t="shared" si="364"/>
        <v>2023</v>
      </c>
      <c r="N1410" s="6">
        <v>1000</v>
      </c>
      <c r="O1410" s="6">
        <f t="shared" si="388"/>
        <v>-1000</v>
      </c>
      <c r="P1410" s="6">
        <f t="shared" si="387"/>
        <v>0</v>
      </c>
      <c r="Q1410" s="7">
        <f t="shared" si="370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83"/>
        <v>2</v>
      </c>
      <c r="C1411" s="5">
        <f t="shared" si="38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13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389">A1411+J1411</f>
        <v>44973</v>
      </c>
      <c r="L1411" s="5">
        <f t="shared" ref="L1411:L1474" si="390">MONTH(K1411)</f>
        <v>2</v>
      </c>
      <c r="M1411" s="5">
        <f t="shared" ref="M1411:M1474" si="391">YEAR(K1411)</f>
        <v>2023</v>
      </c>
      <c r="N1411" s="6">
        <v>437.5</v>
      </c>
      <c r="O1411" s="6">
        <f t="shared" si="388"/>
        <v>-437.5</v>
      </c>
      <c r="P1411" s="6">
        <f t="shared" si="387"/>
        <v>0</v>
      </c>
      <c r="Q1411" s="7">
        <f t="shared" si="370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83"/>
        <v>2</v>
      </c>
      <c r="C1412" s="5">
        <f t="shared" si="38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13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389"/>
        <v>44973</v>
      </c>
      <c r="L1412" s="5">
        <f t="shared" si="390"/>
        <v>2</v>
      </c>
      <c r="M1412" s="5">
        <f t="shared" si="391"/>
        <v>2023</v>
      </c>
      <c r="N1412" s="6">
        <v>3476</v>
      </c>
      <c r="O1412" s="6">
        <f t="shared" si="388"/>
        <v>-3476</v>
      </c>
      <c r="P1412" s="6">
        <f t="shared" si="387"/>
        <v>0</v>
      </c>
      <c r="Q1412" s="7">
        <f t="shared" si="370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83"/>
        <v>2</v>
      </c>
      <c r="C1413" s="5">
        <f t="shared" si="38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13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389"/>
        <v>44973</v>
      </c>
      <c r="L1413" s="5">
        <f t="shared" si="390"/>
        <v>2</v>
      </c>
      <c r="M1413" s="5">
        <f t="shared" si="391"/>
        <v>2023</v>
      </c>
      <c r="N1413" s="6">
        <v>3828</v>
      </c>
      <c r="O1413" s="6">
        <f>-3391.4-436.6</f>
        <v>-3828</v>
      </c>
      <c r="P1413" s="6">
        <f t="shared" si="387"/>
        <v>0</v>
      </c>
      <c r="Q1413" s="7">
        <f t="shared" si="370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83"/>
        <v>2</v>
      </c>
      <c r="C1414" s="5">
        <f t="shared" si="38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13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389"/>
        <v>44973</v>
      </c>
      <c r="L1414" s="5">
        <f t="shared" si="390"/>
        <v>2</v>
      </c>
      <c r="M1414" s="5">
        <f t="shared" si="391"/>
        <v>2023</v>
      </c>
      <c r="N1414" s="6">
        <v>100</v>
      </c>
      <c r="O1414" s="6">
        <f t="shared" ref="O1414:O1420" si="392">-N1414</f>
        <v>-100</v>
      </c>
      <c r="P1414" s="6">
        <f t="shared" si="387"/>
        <v>0</v>
      </c>
      <c r="Q1414" s="7">
        <f t="shared" si="370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83"/>
        <v>2</v>
      </c>
      <c r="C1415" s="5">
        <f t="shared" si="38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13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389"/>
        <v>44973</v>
      </c>
      <c r="L1415" s="5">
        <f t="shared" si="390"/>
        <v>2</v>
      </c>
      <c r="M1415" s="5">
        <f t="shared" si="391"/>
        <v>2023</v>
      </c>
      <c r="N1415" s="6">
        <v>102</v>
      </c>
      <c r="O1415" s="6">
        <f t="shared" si="392"/>
        <v>-102</v>
      </c>
      <c r="P1415" s="6">
        <f t="shared" si="387"/>
        <v>0</v>
      </c>
      <c r="Q1415" s="7">
        <f t="shared" si="370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83"/>
        <v>2</v>
      </c>
      <c r="C1416" s="5">
        <f t="shared" si="38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13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389"/>
        <v>44975</v>
      </c>
      <c r="L1416" s="5">
        <f t="shared" si="390"/>
        <v>2</v>
      </c>
      <c r="M1416" s="5">
        <f t="shared" si="391"/>
        <v>2023</v>
      </c>
      <c r="N1416" s="6">
        <v>1870</v>
      </c>
      <c r="O1416" s="6">
        <f t="shared" si="392"/>
        <v>-1870</v>
      </c>
      <c r="P1416" s="6">
        <f t="shared" si="387"/>
        <v>0</v>
      </c>
      <c r="Q1416" s="7">
        <f t="shared" si="370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83"/>
        <v>2</v>
      </c>
      <c r="C1417" s="5">
        <f t="shared" si="38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13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389"/>
        <v>44975</v>
      </c>
      <c r="L1417" s="5">
        <f t="shared" si="390"/>
        <v>2</v>
      </c>
      <c r="M1417" s="5">
        <f t="shared" si="391"/>
        <v>2023</v>
      </c>
      <c r="N1417" s="6">
        <v>510</v>
      </c>
      <c r="O1417" s="6">
        <f t="shared" si="392"/>
        <v>-510</v>
      </c>
      <c r="P1417" s="6">
        <f t="shared" si="387"/>
        <v>0</v>
      </c>
      <c r="Q1417" s="7">
        <f t="shared" si="370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83"/>
        <v>2</v>
      </c>
      <c r="C1418" s="5">
        <f t="shared" si="38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13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389"/>
        <v>44975</v>
      </c>
      <c r="L1418" s="5">
        <f t="shared" si="390"/>
        <v>2</v>
      </c>
      <c r="M1418" s="5">
        <f t="shared" si="391"/>
        <v>2023</v>
      </c>
      <c r="N1418" s="6">
        <v>95</v>
      </c>
      <c r="O1418" s="6">
        <f t="shared" si="392"/>
        <v>-95</v>
      </c>
      <c r="P1418" s="6">
        <f t="shared" si="387"/>
        <v>0</v>
      </c>
      <c r="Q1418" s="7">
        <f t="shared" si="370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83"/>
        <v>2</v>
      </c>
      <c r="C1419" s="5">
        <f t="shared" si="38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13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389"/>
        <v>45098</v>
      </c>
      <c r="L1419" s="5">
        <f t="shared" si="390"/>
        <v>6</v>
      </c>
      <c r="M1419" s="5">
        <f t="shared" si="391"/>
        <v>2023</v>
      </c>
      <c r="N1419" s="6">
        <v>1620</v>
      </c>
      <c r="O1419" s="6">
        <f t="shared" si="392"/>
        <v>-1620</v>
      </c>
      <c r="P1419" s="6">
        <f t="shared" si="387"/>
        <v>0</v>
      </c>
      <c r="Q1419" s="7">
        <f t="shared" si="370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83"/>
        <v>2</v>
      </c>
      <c r="C1420" s="5">
        <f t="shared" si="38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13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389"/>
        <v>44978</v>
      </c>
      <c r="L1420" s="5">
        <f t="shared" si="390"/>
        <v>2</v>
      </c>
      <c r="M1420" s="5">
        <f t="shared" si="391"/>
        <v>2023</v>
      </c>
      <c r="N1420" s="6">
        <v>750</v>
      </c>
      <c r="O1420" s="6">
        <f t="shared" si="392"/>
        <v>-750</v>
      </c>
      <c r="P1420" s="6">
        <f t="shared" si="387"/>
        <v>0</v>
      </c>
      <c r="Q1420" s="7">
        <f t="shared" si="370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83"/>
        <v>2</v>
      </c>
      <c r="C1421" s="5">
        <f t="shared" si="38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13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389"/>
        <v>44978</v>
      </c>
      <c r="L1421" s="5">
        <f t="shared" si="390"/>
        <v>2</v>
      </c>
      <c r="M1421" s="5">
        <f t="shared" si="391"/>
        <v>2023</v>
      </c>
      <c r="N1421" s="6">
        <v>8690</v>
      </c>
      <c r="O1421" s="6">
        <f>-6613.4-2076.6</f>
        <v>-8690</v>
      </c>
      <c r="P1421" s="6">
        <f t="shared" si="387"/>
        <v>0</v>
      </c>
      <c r="Q1421" s="7">
        <f t="shared" si="370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83"/>
        <v>2</v>
      </c>
      <c r="C1422" s="5">
        <f t="shared" si="38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13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389"/>
        <v>44978</v>
      </c>
      <c r="L1422" s="5">
        <f t="shared" si="390"/>
        <v>2</v>
      </c>
      <c r="M1422" s="5">
        <f t="shared" si="391"/>
        <v>2023</v>
      </c>
      <c r="N1422" s="6">
        <v>17380</v>
      </c>
      <c r="O1422" s="6">
        <f>-923.4-3500-9500-3456.6</f>
        <v>-17380</v>
      </c>
      <c r="P1422" s="6">
        <f t="shared" si="387"/>
        <v>0</v>
      </c>
      <c r="Q1422" s="7">
        <f t="shared" si="370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83"/>
        <v>2</v>
      </c>
      <c r="C1423" s="5">
        <f t="shared" si="38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13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389"/>
        <v>44978</v>
      </c>
      <c r="L1423" s="5">
        <f t="shared" si="390"/>
        <v>2</v>
      </c>
      <c r="M1423" s="5">
        <f t="shared" si="391"/>
        <v>2023</v>
      </c>
      <c r="N1423" s="6">
        <v>10260</v>
      </c>
      <c r="O1423" s="6">
        <f>-5043.4-5000-216.6</f>
        <v>-10260</v>
      </c>
      <c r="P1423" s="6">
        <f t="shared" si="387"/>
        <v>0</v>
      </c>
      <c r="Q1423" s="7">
        <f t="shared" si="370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83"/>
        <v>2</v>
      </c>
      <c r="C1424" s="5">
        <f t="shared" si="38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13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389"/>
        <v>44978</v>
      </c>
      <c r="L1424" s="5">
        <f t="shared" si="390"/>
        <v>2</v>
      </c>
      <c r="M1424" s="5">
        <f t="shared" si="391"/>
        <v>2023</v>
      </c>
      <c r="N1424" s="6">
        <v>5040</v>
      </c>
      <c r="O1424" s="6">
        <f t="shared" ref="O1424:O1426" si="393">-N1424</f>
        <v>-5040</v>
      </c>
      <c r="P1424" s="6">
        <f t="shared" si="387"/>
        <v>0</v>
      </c>
      <c r="Q1424" s="7">
        <f t="shared" si="370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83"/>
        <v>2</v>
      </c>
      <c r="C1425" s="5">
        <f t="shared" si="38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13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389"/>
        <v>44978</v>
      </c>
      <c r="L1425" s="5">
        <f t="shared" si="390"/>
        <v>2</v>
      </c>
      <c r="M1425" s="5">
        <f t="shared" si="391"/>
        <v>2023</v>
      </c>
      <c r="N1425" s="6">
        <v>380</v>
      </c>
      <c r="O1425" s="6">
        <f t="shared" si="393"/>
        <v>-380</v>
      </c>
      <c r="P1425" s="6">
        <f t="shared" si="387"/>
        <v>0</v>
      </c>
      <c r="Q1425" s="7">
        <f t="shared" si="370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83"/>
        <v>2</v>
      </c>
      <c r="C1426" s="5">
        <f t="shared" si="38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13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389"/>
        <v>44978</v>
      </c>
      <c r="L1426" s="5">
        <f t="shared" si="390"/>
        <v>2</v>
      </c>
      <c r="M1426" s="5">
        <f t="shared" si="391"/>
        <v>2023</v>
      </c>
      <c r="N1426" s="6">
        <v>2000</v>
      </c>
      <c r="O1426" s="6">
        <f t="shared" si="393"/>
        <v>-2000</v>
      </c>
      <c r="P1426" s="6">
        <f t="shared" si="387"/>
        <v>0</v>
      </c>
      <c r="Q1426" s="7">
        <f t="shared" ref="Q1426:Q1489" si="394">SUM(Q1425+N1426)</f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83"/>
        <v>2</v>
      </c>
      <c r="C1427" s="5">
        <f t="shared" si="38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13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389"/>
        <v>44981</v>
      </c>
      <c r="L1427" s="5">
        <f t="shared" si="390"/>
        <v>2</v>
      </c>
      <c r="M1427" s="5">
        <f t="shared" si="391"/>
        <v>2023</v>
      </c>
      <c r="N1427" s="6">
        <v>1059.5</v>
      </c>
      <c r="O1427" s="6">
        <f t="shared" ref="O1427:O1430" si="395">-N1427</f>
        <v>-1059.5</v>
      </c>
      <c r="P1427" s="6">
        <f t="shared" si="387"/>
        <v>0</v>
      </c>
      <c r="Q1427" s="7">
        <f t="shared" si="394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83"/>
        <v>2</v>
      </c>
      <c r="C1428" s="5">
        <f t="shared" si="38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13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389"/>
        <v>44982</v>
      </c>
      <c r="L1428" s="5">
        <f t="shared" si="390"/>
        <v>2</v>
      </c>
      <c r="M1428" s="5">
        <f t="shared" si="391"/>
        <v>2023</v>
      </c>
      <c r="N1428" s="6">
        <v>187.5</v>
      </c>
      <c r="O1428" s="6">
        <f t="shared" si="395"/>
        <v>-187.5</v>
      </c>
      <c r="P1428" s="6">
        <f t="shared" si="387"/>
        <v>0</v>
      </c>
      <c r="Q1428" s="7">
        <f t="shared" si="394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396">MONTH(A1429)</f>
        <v>2</v>
      </c>
      <c r="C1429" s="5">
        <f t="shared" ref="C1429:C1432" si="39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13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389"/>
        <v>44982</v>
      </c>
      <c r="L1429" s="5">
        <f t="shared" si="390"/>
        <v>2</v>
      </c>
      <c r="M1429" s="5">
        <f t="shared" si="391"/>
        <v>2023</v>
      </c>
      <c r="N1429" s="6">
        <v>380</v>
      </c>
      <c r="O1429" s="6">
        <f t="shared" si="395"/>
        <v>-380</v>
      </c>
      <c r="P1429" s="6">
        <f t="shared" ref="P1429:P1432" si="398">SUM(N1429+O1429)</f>
        <v>0</v>
      </c>
      <c r="Q1429" s="7">
        <f t="shared" si="394"/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396"/>
        <v>2</v>
      </c>
      <c r="C1430" s="5">
        <f t="shared" si="39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13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389"/>
        <v>44982</v>
      </c>
      <c r="L1430" s="5">
        <f t="shared" si="390"/>
        <v>2</v>
      </c>
      <c r="M1430" s="5">
        <f t="shared" si="391"/>
        <v>2023</v>
      </c>
      <c r="N1430" s="6">
        <v>1000</v>
      </c>
      <c r="O1430" s="6">
        <f t="shared" si="395"/>
        <v>-1000</v>
      </c>
      <c r="P1430" s="6">
        <f t="shared" si="398"/>
        <v>0</v>
      </c>
      <c r="Q1430" s="7">
        <f t="shared" si="394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396"/>
        <v>2</v>
      </c>
      <c r="C1431" s="5">
        <f t="shared" si="39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13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389"/>
        <v>44982</v>
      </c>
      <c r="L1431" s="5">
        <f t="shared" si="390"/>
        <v>2</v>
      </c>
      <c r="M1431" s="5">
        <f t="shared" si="391"/>
        <v>2023</v>
      </c>
      <c r="N1431" s="6">
        <v>842.4</v>
      </c>
      <c r="O1431" s="6">
        <f>-373.6-468.8</f>
        <v>-842.40000000000009</v>
      </c>
      <c r="P1431" s="107">
        <v>0</v>
      </c>
      <c r="Q1431" s="7">
        <f t="shared" si="394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396"/>
        <v>2</v>
      </c>
      <c r="C1432" s="5">
        <f t="shared" si="39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13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389"/>
        <v>44985</v>
      </c>
      <c r="L1432" s="5">
        <f t="shared" si="390"/>
        <v>2</v>
      </c>
      <c r="M1432" s="5">
        <f t="shared" si="391"/>
        <v>2023</v>
      </c>
      <c r="N1432" s="6">
        <v>312.5</v>
      </c>
      <c r="O1432" s="6">
        <f t="shared" ref="O1432" si="399">-N1432</f>
        <v>-312.5</v>
      </c>
      <c r="P1432" s="6">
        <f t="shared" si="398"/>
        <v>0</v>
      </c>
      <c r="Q1432" s="7">
        <f t="shared" si="394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00">MONTH(A1433)</f>
        <v>3</v>
      </c>
      <c r="C1433" s="5">
        <f t="shared" ref="C1433:C1470" si="401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13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389"/>
        <v>44986</v>
      </c>
      <c r="L1433" s="5">
        <f t="shared" si="390"/>
        <v>3</v>
      </c>
      <c r="M1433" s="5">
        <f t="shared" si="391"/>
        <v>2023</v>
      </c>
      <c r="N1433" s="6">
        <v>1936</v>
      </c>
      <c r="O1433" s="6">
        <f>-946-990</f>
        <v>-1936</v>
      </c>
      <c r="P1433" s="6">
        <f t="shared" ref="P1433:P1470" si="402">SUM(N1433+O1433)</f>
        <v>0</v>
      </c>
      <c r="Q1433" s="7">
        <f t="shared" si="394"/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00"/>
        <v>3</v>
      </c>
      <c r="C1434" s="5">
        <f t="shared" si="401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13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389"/>
        <v>44987</v>
      </c>
      <c r="L1434" s="5">
        <f t="shared" si="390"/>
        <v>3</v>
      </c>
      <c r="M1434" s="5">
        <f t="shared" si="391"/>
        <v>2023</v>
      </c>
      <c r="N1434" s="6">
        <v>1804</v>
      </c>
      <c r="O1434" s="6">
        <f>-N1434</f>
        <v>-1804</v>
      </c>
      <c r="P1434" s="6">
        <f t="shared" si="402"/>
        <v>0</v>
      </c>
      <c r="Q1434" s="7">
        <f t="shared" si="39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00"/>
        <v>3</v>
      </c>
      <c r="C1435" s="5">
        <f t="shared" si="401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13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389"/>
        <v>44987</v>
      </c>
      <c r="L1435" s="5">
        <f t="shared" si="390"/>
        <v>3</v>
      </c>
      <c r="M1435" s="5">
        <f t="shared" si="391"/>
        <v>2023</v>
      </c>
      <c r="N1435" s="6">
        <v>912</v>
      </c>
      <c r="O1435" s="6">
        <f>-N1435</f>
        <v>-912</v>
      </c>
      <c r="P1435" s="6">
        <f t="shared" si="402"/>
        <v>0</v>
      </c>
      <c r="Q1435" s="7">
        <f t="shared" si="39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00"/>
        <v>3</v>
      </c>
      <c r="C1436" s="5">
        <f t="shared" si="401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13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389"/>
        <v>44987</v>
      </c>
      <c r="L1436" s="5">
        <f t="shared" si="390"/>
        <v>3</v>
      </c>
      <c r="M1436" s="5">
        <f t="shared" si="391"/>
        <v>2023</v>
      </c>
      <c r="N1436" s="6">
        <v>256</v>
      </c>
      <c r="O1436" s="6">
        <f t="shared" ref="O1436:O1438" si="403">-N1436</f>
        <v>-256</v>
      </c>
      <c r="P1436" s="6">
        <f t="shared" si="402"/>
        <v>0</v>
      </c>
      <c r="Q1436" s="7">
        <f t="shared" si="39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00"/>
        <v>3</v>
      </c>
      <c r="C1437" s="5">
        <f t="shared" si="401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13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389"/>
        <v>44987</v>
      </c>
      <c r="L1437" s="5">
        <f t="shared" si="390"/>
        <v>3</v>
      </c>
      <c r="M1437" s="5">
        <f t="shared" si="391"/>
        <v>2023</v>
      </c>
      <c r="N1437" s="6">
        <v>110</v>
      </c>
      <c r="O1437" s="6">
        <f t="shared" si="403"/>
        <v>-110</v>
      </c>
      <c r="P1437" s="6">
        <f t="shared" si="402"/>
        <v>0</v>
      </c>
      <c r="Q1437" s="7">
        <f t="shared" si="39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00"/>
        <v>3</v>
      </c>
      <c r="C1438" s="5">
        <f t="shared" si="401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13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389"/>
        <v>44988</v>
      </c>
      <c r="L1438" s="5">
        <f t="shared" si="390"/>
        <v>3</v>
      </c>
      <c r="M1438" s="5">
        <f t="shared" si="391"/>
        <v>2023</v>
      </c>
      <c r="N1438" s="6">
        <v>937.5</v>
      </c>
      <c r="O1438" s="6">
        <f t="shared" si="403"/>
        <v>-937.5</v>
      </c>
      <c r="P1438" s="6">
        <f t="shared" si="402"/>
        <v>0</v>
      </c>
      <c r="Q1438" s="7">
        <f t="shared" si="39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00"/>
        <v>3</v>
      </c>
      <c r="C1439" s="5">
        <f t="shared" si="401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13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389"/>
        <v>44988</v>
      </c>
      <c r="L1439" s="5">
        <f t="shared" si="390"/>
        <v>3</v>
      </c>
      <c r="M1439" s="5">
        <f t="shared" si="391"/>
        <v>2023</v>
      </c>
      <c r="N1439" s="6">
        <v>17380</v>
      </c>
      <c r="O1439" s="6">
        <f>-1858.4-12000-3521.6</f>
        <v>-17380</v>
      </c>
      <c r="P1439" s="6">
        <f t="shared" si="402"/>
        <v>0</v>
      </c>
      <c r="Q1439" s="7">
        <f t="shared" si="39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00"/>
        <v>3</v>
      </c>
      <c r="C1440" s="5">
        <f t="shared" si="401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13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389"/>
        <v>44988</v>
      </c>
      <c r="L1440" s="5">
        <f t="shared" si="390"/>
        <v>3</v>
      </c>
      <c r="M1440" s="5">
        <f t="shared" si="391"/>
        <v>2023</v>
      </c>
      <c r="N1440" s="6">
        <v>8690</v>
      </c>
      <c r="O1440" s="6">
        <f>-3478.4-5211.6</f>
        <v>-8690</v>
      </c>
      <c r="P1440" s="6">
        <f t="shared" si="402"/>
        <v>0</v>
      </c>
      <c r="Q1440" s="7">
        <f t="shared" si="39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00"/>
        <v>3</v>
      </c>
      <c r="C1441" s="5">
        <f t="shared" si="401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13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389"/>
        <v>44988</v>
      </c>
      <c r="L1441" s="5">
        <f t="shared" si="390"/>
        <v>3</v>
      </c>
      <c r="M1441" s="5">
        <f t="shared" si="391"/>
        <v>2023</v>
      </c>
      <c r="N1441" s="6">
        <v>9120</v>
      </c>
      <c r="O1441" s="6">
        <f>-5788.4-3331.6</f>
        <v>-9120</v>
      </c>
      <c r="P1441" s="6">
        <f t="shared" si="402"/>
        <v>0</v>
      </c>
      <c r="Q1441" s="7">
        <f t="shared" si="39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00"/>
        <v>3</v>
      </c>
      <c r="C1442" s="5">
        <f t="shared" si="401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13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389"/>
        <v>44988</v>
      </c>
      <c r="L1442" s="5">
        <f t="shared" si="390"/>
        <v>3</v>
      </c>
      <c r="M1442" s="5">
        <f t="shared" si="391"/>
        <v>2023</v>
      </c>
      <c r="N1442" s="6">
        <v>5040</v>
      </c>
      <c r="O1442" s="6">
        <f t="shared" ref="O1442:O1444" si="404">-N1442</f>
        <v>-5040</v>
      </c>
      <c r="P1442" s="6">
        <f t="shared" si="402"/>
        <v>0</v>
      </c>
      <c r="Q1442" s="7">
        <f t="shared" si="39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00"/>
        <v>3</v>
      </c>
      <c r="C1443" s="5">
        <f t="shared" si="401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13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389"/>
        <v>44988</v>
      </c>
      <c r="L1443" s="5">
        <f t="shared" si="390"/>
        <v>3</v>
      </c>
      <c r="M1443" s="5">
        <f t="shared" si="391"/>
        <v>2023</v>
      </c>
      <c r="N1443" s="6">
        <v>380</v>
      </c>
      <c r="O1443" s="6">
        <f t="shared" si="404"/>
        <v>-380</v>
      </c>
      <c r="P1443" s="6">
        <f t="shared" si="402"/>
        <v>0</v>
      </c>
      <c r="Q1443" s="7">
        <f t="shared" si="39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00"/>
        <v>3</v>
      </c>
      <c r="C1444" s="5">
        <f t="shared" si="401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13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389"/>
        <v>44988</v>
      </c>
      <c r="L1444" s="5">
        <f t="shared" si="390"/>
        <v>3</v>
      </c>
      <c r="M1444" s="5">
        <f t="shared" si="391"/>
        <v>2023</v>
      </c>
      <c r="N1444" s="6">
        <v>2000</v>
      </c>
      <c r="O1444" s="6">
        <f t="shared" si="404"/>
        <v>-2000</v>
      </c>
      <c r="P1444" s="6">
        <f t="shared" si="402"/>
        <v>0</v>
      </c>
      <c r="Q1444" s="7">
        <f t="shared" si="39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00"/>
        <v>3</v>
      </c>
      <c r="C1445" s="5">
        <f t="shared" si="401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13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389"/>
        <v>45018</v>
      </c>
      <c r="L1445" s="5">
        <f t="shared" si="390"/>
        <v>4</v>
      </c>
      <c r="M1445" s="5">
        <f t="shared" si="391"/>
        <v>2023</v>
      </c>
      <c r="N1445" s="6">
        <v>3608</v>
      </c>
      <c r="O1445" s="6">
        <f t="shared" ref="O1445:O1448" si="405">-N1445</f>
        <v>-3608</v>
      </c>
      <c r="P1445" s="6">
        <f t="shared" si="402"/>
        <v>0</v>
      </c>
      <c r="Q1445" s="7">
        <f t="shared" si="39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00"/>
        <v>3</v>
      </c>
      <c r="C1446" s="5">
        <f t="shared" si="401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13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389"/>
        <v>45018</v>
      </c>
      <c r="L1446" s="5">
        <f t="shared" si="390"/>
        <v>4</v>
      </c>
      <c r="M1446" s="5">
        <f t="shared" si="391"/>
        <v>2023</v>
      </c>
      <c r="N1446" s="6">
        <v>842.4</v>
      </c>
      <c r="O1446" s="6">
        <f t="shared" si="405"/>
        <v>-842.4</v>
      </c>
      <c r="P1446" s="6">
        <f t="shared" si="402"/>
        <v>0</v>
      </c>
      <c r="Q1446" s="7">
        <f t="shared" si="39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00"/>
        <v>3</v>
      </c>
      <c r="C1447" s="5">
        <f t="shared" si="401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13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389"/>
        <v>45018</v>
      </c>
      <c r="L1447" s="5">
        <f t="shared" si="390"/>
        <v>4</v>
      </c>
      <c r="M1447" s="5">
        <f t="shared" si="391"/>
        <v>2023</v>
      </c>
      <c r="N1447" s="6">
        <v>190</v>
      </c>
      <c r="O1447" s="6">
        <f t="shared" si="405"/>
        <v>-190</v>
      </c>
      <c r="P1447" s="6">
        <f t="shared" si="402"/>
        <v>0</v>
      </c>
      <c r="Q1447" s="7">
        <f t="shared" si="39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00"/>
        <v>3</v>
      </c>
      <c r="C1448" s="5">
        <f t="shared" si="401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13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389"/>
        <v>45018</v>
      </c>
      <c r="L1448" s="5">
        <f t="shared" si="390"/>
        <v>4</v>
      </c>
      <c r="M1448" s="5">
        <f t="shared" si="391"/>
        <v>2023</v>
      </c>
      <c r="N1448" s="6">
        <v>144</v>
      </c>
      <c r="O1448" s="6">
        <f t="shared" si="405"/>
        <v>-144</v>
      </c>
      <c r="P1448" s="6">
        <f t="shared" si="402"/>
        <v>0</v>
      </c>
      <c r="Q1448" s="7">
        <f t="shared" si="39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00"/>
        <v>3</v>
      </c>
      <c r="C1449" s="5">
        <f t="shared" si="401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13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389"/>
        <v>44991</v>
      </c>
      <c r="L1449" s="5">
        <f t="shared" si="390"/>
        <v>3</v>
      </c>
      <c r="M1449" s="5">
        <f t="shared" si="391"/>
        <v>2023</v>
      </c>
      <c r="N1449" s="6">
        <v>950</v>
      </c>
      <c r="O1449" s="6">
        <f t="shared" ref="O1449:O1454" si="406">-N1449</f>
        <v>-950</v>
      </c>
      <c r="P1449" s="6">
        <f t="shared" si="402"/>
        <v>0</v>
      </c>
      <c r="Q1449" s="7">
        <f t="shared" si="39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00"/>
        <v>3</v>
      </c>
      <c r="C1450" s="5">
        <f t="shared" si="401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13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389"/>
        <v>44991</v>
      </c>
      <c r="L1450" s="5">
        <f t="shared" si="390"/>
        <v>3</v>
      </c>
      <c r="M1450" s="5">
        <f t="shared" si="391"/>
        <v>2023</v>
      </c>
      <c r="N1450" s="6">
        <v>475</v>
      </c>
      <c r="O1450" s="6">
        <f t="shared" si="406"/>
        <v>-475</v>
      </c>
      <c r="P1450" s="6">
        <f t="shared" si="402"/>
        <v>0</v>
      </c>
      <c r="Q1450" s="7">
        <f t="shared" si="39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00"/>
        <v>3</v>
      </c>
      <c r="C1451" s="5">
        <f t="shared" si="401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13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389"/>
        <v>44991</v>
      </c>
      <c r="L1451" s="5">
        <f t="shared" si="390"/>
        <v>3</v>
      </c>
      <c r="M1451" s="5">
        <f t="shared" si="391"/>
        <v>2023</v>
      </c>
      <c r="N1451" s="6">
        <v>0</v>
      </c>
      <c r="O1451" s="6">
        <f t="shared" si="406"/>
        <v>0</v>
      </c>
      <c r="P1451" s="6">
        <f t="shared" si="402"/>
        <v>0</v>
      </c>
      <c r="Q1451" s="7">
        <f t="shared" si="39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00"/>
        <v>3</v>
      </c>
      <c r="C1452" s="5">
        <f t="shared" si="401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13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389"/>
        <v>44991</v>
      </c>
      <c r="L1452" s="5">
        <f t="shared" si="390"/>
        <v>3</v>
      </c>
      <c r="M1452" s="5">
        <f t="shared" si="391"/>
        <v>2023</v>
      </c>
      <c r="N1452" s="6">
        <v>1870</v>
      </c>
      <c r="O1452" s="6">
        <f t="shared" si="406"/>
        <v>-1870</v>
      </c>
      <c r="P1452" s="6">
        <f t="shared" si="402"/>
        <v>0</v>
      </c>
      <c r="Q1452" s="7">
        <f t="shared" si="39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00"/>
        <v>3</v>
      </c>
      <c r="C1453" s="5">
        <f t="shared" si="401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13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389"/>
        <v>44991</v>
      </c>
      <c r="L1453" s="5">
        <f t="shared" si="390"/>
        <v>3</v>
      </c>
      <c r="M1453" s="5">
        <f t="shared" si="391"/>
        <v>2023</v>
      </c>
      <c r="N1453" s="6">
        <v>510</v>
      </c>
      <c r="O1453" s="6">
        <f t="shared" si="406"/>
        <v>-510</v>
      </c>
      <c r="P1453" s="6">
        <f t="shared" si="402"/>
        <v>0</v>
      </c>
      <c r="Q1453" s="7">
        <f t="shared" si="39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00"/>
        <v>3</v>
      </c>
      <c r="C1454" s="5">
        <f t="shared" si="401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13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389"/>
        <v>44991</v>
      </c>
      <c r="L1454" s="5">
        <f t="shared" si="390"/>
        <v>3</v>
      </c>
      <c r="M1454" s="5">
        <f t="shared" si="391"/>
        <v>2023</v>
      </c>
      <c r="N1454" s="6">
        <v>95</v>
      </c>
      <c r="O1454" s="6">
        <f t="shared" si="406"/>
        <v>-95</v>
      </c>
      <c r="P1454" s="6">
        <f t="shared" si="402"/>
        <v>0</v>
      </c>
      <c r="Q1454" s="7">
        <f t="shared" si="39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00"/>
        <v>3</v>
      </c>
      <c r="C1455" s="5">
        <f t="shared" si="401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13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389"/>
        <v>44992</v>
      </c>
      <c r="L1455" s="5">
        <f t="shared" si="390"/>
        <v>3</v>
      </c>
      <c r="M1455" s="5">
        <f t="shared" si="391"/>
        <v>2023</v>
      </c>
      <c r="N1455" s="6">
        <v>3564</v>
      </c>
      <c r="O1455" s="6">
        <f>-718.7-1000-1845.3</f>
        <v>-3564</v>
      </c>
      <c r="P1455" s="6">
        <f t="shared" si="402"/>
        <v>0</v>
      </c>
      <c r="Q1455" s="7">
        <f t="shared" si="39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00"/>
        <v>3</v>
      </c>
      <c r="C1456" s="5">
        <f t="shared" si="401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13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389"/>
        <v>44992</v>
      </c>
      <c r="L1456" s="5">
        <f t="shared" si="390"/>
        <v>3</v>
      </c>
      <c r="M1456" s="5">
        <f t="shared" si="391"/>
        <v>2023</v>
      </c>
      <c r="N1456" s="6">
        <v>842.4</v>
      </c>
      <c r="O1456" s="6">
        <f>-154.7-500-187.7</f>
        <v>-842.40000000000009</v>
      </c>
      <c r="P1456" s="6">
        <f t="shared" si="402"/>
        <v>-1.1368683772161603E-13</v>
      </c>
      <c r="Q1456" s="7">
        <f t="shared" si="39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00"/>
        <v>3</v>
      </c>
      <c r="C1457" s="5">
        <f t="shared" si="401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13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389"/>
        <v>44993</v>
      </c>
      <c r="L1457" s="5">
        <f t="shared" si="390"/>
        <v>3</v>
      </c>
      <c r="M1457" s="5">
        <f t="shared" si="391"/>
        <v>2023</v>
      </c>
      <c r="N1457" s="6">
        <v>312.5</v>
      </c>
      <c r="O1457" s="6">
        <f t="shared" ref="O1457:O1460" si="407">-N1457</f>
        <v>-312.5</v>
      </c>
      <c r="P1457" s="6">
        <f t="shared" si="402"/>
        <v>0</v>
      </c>
      <c r="Q1457" s="7">
        <f t="shared" si="39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00"/>
        <v>3</v>
      </c>
      <c r="C1458" s="5">
        <f t="shared" si="401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13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389"/>
        <v>44993</v>
      </c>
      <c r="L1458" s="5">
        <f t="shared" si="390"/>
        <v>3</v>
      </c>
      <c r="M1458" s="5">
        <f t="shared" si="391"/>
        <v>2023</v>
      </c>
      <c r="N1458" s="6">
        <v>625</v>
      </c>
      <c r="O1458" s="6">
        <f>-499.8-125.2</f>
        <v>-625</v>
      </c>
      <c r="P1458" s="6">
        <f t="shared" si="402"/>
        <v>0</v>
      </c>
      <c r="Q1458" s="7">
        <f t="shared" si="39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00"/>
        <v>3</v>
      </c>
      <c r="C1459" s="5">
        <f t="shared" si="401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13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389"/>
        <v>44993</v>
      </c>
      <c r="L1459" s="5">
        <f t="shared" si="390"/>
        <v>3</v>
      </c>
      <c r="M1459" s="5">
        <f t="shared" si="391"/>
        <v>2023</v>
      </c>
      <c r="N1459" s="6">
        <v>38</v>
      </c>
      <c r="O1459" s="6">
        <f t="shared" si="407"/>
        <v>-38</v>
      </c>
      <c r="P1459" s="6">
        <f t="shared" si="402"/>
        <v>0</v>
      </c>
      <c r="Q1459" s="7">
        <f t="shared" si="39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00"/>
        <v>3</v>
      </c>
      <c r="C1460" s="5">
        <f t="shared" si="401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13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389"/>
        <v>44993</v>
      </c>
      <c r="L1460" s="5">
        <f t="shared" si="390"/>
        <v>3</v>
      </c>
      <c r="M1460" s="5">
        <f t="shared" si="391"/>
        <v>2023</v>
      </c>
      <c r="N1460" s="6">
        <v>45</v>
      </c>
      <c r="O1460" s="6">
        <f t="shared" si="407"/>
        <v>-45</v>
      </c>
      <c r="P1460" s="6">
        <f t="shared" si="402"/>
        <v>0</v>
      </c>
      <c r="Q1460" s="7">
        <f t="shared" si="39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00"/>
        <v>3</v>
      </c>
      <c r="C1461" s="5">
        <f t="shared" si="401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13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389"/>
        <v>44995</v>
      </c>
      <c r="L1461" s="5">
        <f t="shared" si="390"/>
        <v>3</v>
      </c>
      <c r="M1461" s="5">
        <f t="shared" si="391"/>
        <v>2023</v>
      </c>
      <c r="N1461" s="6">
        <v>1804</v>
      </c>
      <c r="O1461" s="6">
        <f t="shared" ref="O1461:O1468" si="408">-N1461</f>
        <v>-1804</v>
      </c>
      <c r="P1461" s="6">
        <f t="shared" si="402"/>
        <v>0</v>
      </c>
      <c r="Q1461" s="7">
        <f t="shared" si="39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00"/>
        <v>3</v>
      </c>
      <c r="C1462" s="5">
        <f t="shared" si="401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13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389"/>
        <v>44995</v>
      </c>
      <c r="L1462" s="5">
        <f t="shared" si="390"/>
        <v>3</v>
      </c>
      <c r="M1462" s="5">
        <f t="shared" si="391"/>
        <v>2023</v>
      </c>
      <c r="N1462" s="6">
        <v>237</v>
      </c>
      <c r="O1462" s="6">
        <f t="shared" si="408"/>
        <v>-237</v>
      </c>
      <c r="P1462" s="6">
        <f t="shared" si="402"/>
        <v>0</v>
      </c>
      <c r="Q1462" s="7">
        <f t="shared" si="39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00"/>
        <v>3</v>
      </c>
      <c r="C1463" s="5">
        <f t="shared" si="401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13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389"/>
        <v>44995</v>
      </c>
      <c r="L1463" s="5">
        <f t="shared" si="390"/>
        <v>3</v>
      </c>
      <c r="M1463" s="5">
        <f t="shared" si="391"/>
        <v>2023</v>
      </c>
      <c r="N1463" s="6">
        <v>64</v>
      </c>
      <c r="O1463" s="6">
        <f t="shared" si="408"/>
        <v>-64</v>
      </c>
      <c r="P1463" s="6">
        <f t="shared" si="402"/>
        <v>0</v>
      </c>
      <c r="Q1463" s="7">
        <f t="shared" si="39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00"/>
        <v>3</v>
      </c>
      <c r="C1464" s="5">
        <f t="shared" si="401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13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389"/>
        <v>44995</v>
      </c>
      <c r="L1464" s="5">
        <f t="shared" si="390"/>
        <v>3</v>
      </c>
      <c r="M1464" s="5">
        <f t="shared" si="391"/>
        <v>2023</v>
      </c>
      <c r="N1464" s="6">
        <v>66</v>
      </c>
      <c r="O1464" s="6">
        <f t="shared" si="408"/>
        <v>-66</v>
      </c>
      <c r="P1464" s="6">
        <f t="shared" si="402"/>
        <v>0</v>
      </c>
      <c r="Q1464" s="7">
        <f t="shared" si="39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00"/>
        <v>3</v>
      </c>
      <c r="C1465" s="5">
        <f t="shared" si="401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13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389"/>
        <v>44995</v>
      </c>
      <c r="L1465" s="5">
        <f t="shared" si="390"/>
        <v>3</v>
      </c>
      <c r="M1465" s="5">
        <f t="shared" si="391"/>
        <v>2023</v>
      </c>
      <c r="N1465" s="6">
        <v>116</v>
      </c>
      <c r="O1465" s="6">
        <f t="shared" si="408"/>
        <v>-116</v>
      </c>
      <c r="P1465" s="6">
        <f t="shared" si="402"/>
        <v>0</v>
      </c>
      <c r="Q1465" s="7">
        <f t="shared" si="39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00"/>
        <v>3</v>
      </c>
      <c r="C1466" s="5">
        <f t="shared" si="401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13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389"/>
        <v>44995</v>
      </c>
      <c r="L1466" s="5">
        <f t="shared" si="390"/>
        <v>3</v>
      </c>
      <c r="M1466" s="5">
        <f t="shared" si="391"/>
        <v>2023</v>
      </c>
      <c r="N1466" s="6">
        <v>258</v>
      </c>
      <c r="O1466" s="6">
        <f t="shared" si="408"/>
        <v>-258</v>
      </c>
      <c r="P1466" s="6">
        <f t="shared" si="402"/>
        <v>0</v>
      </c>
      <c r="Q1466" s="7">
        <f t="shared" si="39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00"/>
        <v>3</v>
      </c>
      <c r="C1467" s="5">
        <f t="shared" si="401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13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389"/>
        <v>44996</v>
      </c>
      <c r="L1467" s="5">
        <f t="shared" si="390"/>
        <v>3</v>
      </c>
      <c r="M1467" s="5">
        <f t="shared" si="391"/>
        <v>2023</v>
      </c>
      <c r="N1467" s="6">
        <v>95</v>
      </c>
      <c r="O1467" s="6">
        <f t="shared" si="408"/>
        <v>-95</v>
      </c>
      <c r="P1467" s="6">
        <f t="shared" si="402"/>
        <v>0</v>
      </c>
      <c r="Q1467" s="7">
        <f t="shared" si="39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00"/>
        <v>3</v>
      </c>
      <c r="C1468" s="5">
        <f t="shared" si="401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13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389"/>
        <v>44996</v>
      </c>
      <c r="L1468" s="5">
        <f t="shared" si="390"/>
        <v>3</v>
      </c>
      <c r="M1468" s="5">
        <f t="shared" si="391"/>
        <v>2023</v>
      </c>
      <c r="N1468" s="6">
        <v>105</v>
      </c>
      <c r="O1468" s="6">
        <f t="shared" si="408"/>
        <v>-105</v>
      </c>
      <c r="P1468" s="6">
        <f t="shared" si="402"/>
        <v>0</v>
      </c>
      <c r="Q1468" s="7">
        <f t="shared" si="39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00"/>
        <v>3</v>
      </c>
      <c r="C1469" s="5">
        <f t="shared" si="401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13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389"/>
        <v>45119</v>
      </c>
      <c r="L1469" s="5">
        <f t="shared" si="390"/>
        <v>7</v>
      </c>
      <c r="M1469" s="5">
        <f t="shared" si="391"/>
        <v>2023</v>
      </c>
      <c r="N1469" s="6">
        <v>9768</v>
      </c>
      <c r="O1469" s="6">
        <f t="shared" ref="O1469:O1476" si="409">-N1469</f>
        <v>-9768</v>
      </c>
      <c r="P1469" s="6">
        <f t="shared" si="402"/>
        <v>0</v>
      </c>
      <c r="Q1469" s="7">
        <f t="shared" si="39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00"/>
        <v>3</v>
      </c>
      <c r="C1470" s="5">
        <f t="shared" si="401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13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389"/>
        <v>45119</v>
      </c>
      <c r="L1470" s="5">
        <f t="shared" si="390"/>
        <v>7</v>
      </c>
      <c r="M1470" s="5">
        <f t="shared" si="391"/>
        <v>2023</v>
      </c>
      <c r="N1470" s="6">
        <v>2070</v>
      </c>
      <c r="O1470" s="6">
        <f t="shared" si="409"/>
        <v>-2070</v>
      </c>
      <c r="P1470" s="6">
        <f t="shared" si="402"/>
        <v>0</v>
      </c>
      <c r="Q1470" s="7">
        <f t="shared" si="39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10">MONTH(A1471)</f>
        <v>3</v>
      </c>
      <c r="C1471" s="5">
        <f t="shared" ref="C1471:C1484" si="411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13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389"/>
        <v>45119</v>
      </c>
      <c r="L1471" s="5">
        <f t="shared" si="390"/>
        <v>7</v>
      </c>
      <c r="M1471" s="5">
        <f t="shared" si="391"/>
        <v>2023</v>
      </c>
      <c r="N1471" s="6">
        <v>840</v>
      </c>
      <c r="O1471" s="6">
        <f t="shared" si="409"/>
        <v>-840</v>
      </c>
      <c r="P1471" s="6">
        <f t="shared" ref="P1471:P1489" si="412">SUM(N1471+O1471)</f>
        <v>0</v>
      </c>
      <c r="Q1471" s="7">
        <f t="shared" si="394"/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10"/>
        <v>3</v>
      </c>
      <c r="C1472" s="5">
        <f t="shared" si="411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13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389"/>
        <v>44999</v>
      </c>
      <c r="L1472" s="5">
        <f t="shared" si="390"/>
        <v>3</v>
      </c>
      <c r="M1472" s="5">
        <f t="shared" si="391"/>
        <v>2023</v>
      </c>
      <c r="N1472" s="6">
        <v>625</v>
      </c>
      <c r="O1472" s="6">
        <f t="shared" si="409"/>
        <v>-625</v>
      </c>
      <c r="P1472" s="6">
        <f t="shared" si="412"/>
        <v>0</v>
      </c>
      <c r="Q1472" s="7">
        <f t="shared" si="394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10"/>
        <v>3</v>
      </c>
      <c r="C1473" s="5">
        <f t="shared" si="411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13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389"/>
        <v>44999</v>
      </c>
      <c r="L1473" s="5">
        <f t="shared" si="390"/>
        <v>3</v>
      </c>
      <c r="M1473" s="5">
        <f t="shared" si="391"/>
        <v>2023</v>
      </c>
      <c r="N1473" s="6">
        <v>17380</v>
      </c>
      <c r="O1473" s="6">
        <f>-723.4-13000-3656.6</f>
        <v>-17380</v>
      </c>
      <c r="P1473" s="6">
        <f t="shared" si="412"/>
        <v>0</v>
      </c>
      <c r="Q1473" s="7">
        <f t="shared" si="394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10"/>
        <v>3</v>
      </c>
      <c r="C1474" s="5">
        <f t="shared" si="411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13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389"/>
        <v>44999</v>
      </c>
      <c r="L1474" s="5">
        <f t="shared" si="390"/>
        <v>3</v>
      </c>
      <c r="M1474" s="5">
        <f t="shared" si="391"/>
        <v>2023</v>
      </c>
      <c r="N1474" s="6">
        <v>6384</v>
      </c>
      <c r="O1474" s="6">
        <f t="shared" si="409"/>
        <v>-6384</v>
      </c>
      <c r="P1474" s="6">
        <f t="shared" si="412"/>
        <v>0</v>
      </c>
      <c r="Q1474" s="7">
        <f t="shared" si="394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10"/>
        <v>3</v>
      </c>
      <c r="C1475" s="5">
        <f t="shared" si="411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13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13">A1475+J1475</f>
        <v>44999</v>
      </c>
      <c r="L1475" s="5">
        <f t="shared" ref="L1475:L1538" si="414">MONTH(K1475)</f>
        <v>3</v>
      </c>
      <c r="M1475" s="5">
        <f t="shared" ref="M1475:M1538" si="415">YEAR(K1475)</f>
        <v>2023</v>
      </c>
      <c r="N1475" s="6">
        <v>3024</v>
      </c>
      <c r="O1475" s="6">
        <f t="shared" si="409"/>
        <v>-3024</v>
      </c>
      <c r="P1475" s="6">
        <f t="shared" si="412"/>
        <v>0</v>
      </c>
      <c r="Q1475" s="7">
        <f t="shared" si="394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10"/>
        <v>3</v>
      </c>
      <c r="C1476" s="5">
        <f t="shared" si="411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13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13"/>
        <v>44999</v>
      </c>
      <c r="L1476" s="5">
        <f t="shared" si="414"/>
        <v>3</v>
      </c>
      <c r="M1476" s="5">
        <f t="shared" si="415"/>
        <v>2023</v>
      </c>
      <c r="N1476" s="6">
        <v>380</v>
      </c>
      <c r="O1476" s="6">
        <f t="shared" si="409"/>
        <v>-380</v>
      </c>
      <c r="P1476" s="6">
        <f t="shared" si="412"/>
        <v>0</v>
      </c>
      <c r="Q1476" s="7">
        <f t="shared" si="394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10"/>
        <v>3</v>
      </c>
      <c r="C1477" s="5">
        <f t="shared" si="411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13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13"/>
        <v>44999</v>
      </c>
      <c r="L1477" s="5">
        <f t="shared" si="414"/>
        <v>3</v>
      </c>
      <c r="M1477" s="5">
        <f t="shared" si="415"/>
        <v>2023</v>
      </c>
      <c r="N1477" s="6">
        <v>2000</v>
      </c>
      <c r="O1477" s="6">
        <f>-1555.4-444.6</f>
        <v>-2000</v>
      </c>
      <c r="P1477" s="6">
        <f t="shared" si="412"/>
        <v>0</v>
      </c>
      <c r="Q1477" s="7">
        <f t="shared" si="394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10"/>
        <v>3</v>
      </c>
      <c r="C1478" s="5">
        <f t="shared" si="411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13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13"/>
        <v>44999</v>
      </c>
      <c r="L1478" s="5">
        <f t="shared" si="414"/>
        <v>3</v>
      </c>
      <c r="M1478" s="5">
        <f t="shared" si="415"/>
        <v>2023</v>
      </c>
      <c r="N1478" s="6">
        <v>200</v>
      </c>
      <c r="O1478" s="6">
        <f t="shared" ref="O1478:O1482" si="416">-N1478</f>
        <v>-200</v>
      </c>
      <c r="P1478" s="6">
        <f t="shared" si="412"/>
        <v>0</v>
      </c>
      <c r="Q1478" s="7">
        <f t="shared" si="394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10"/>
        <v>3</v>
      </c>
      <c r="C1479" s="5">
        <f t="shared" si="411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13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13"/>
        <v>44999</v>
      </c>
      <c r="L1479" s="5">
        <f t="shared" si="414"/>
        <v>3</v>
      </c>
      <c r="M1479" s="5">
        <f t="shared" si="415"/>
        <v>2023</v>
      </c>
      <c r="N1479" s="6">
        <v>440</v>
      </c>
      <c r="O1479" s="6">
        <f t="shared" si="416"/>
        <v>-440</v>
      </c>
      <c r="P1479" s="6">
        <f t="shared" si="412"/>
        <v>0</v>
      </c>
      <c r="Q1479" s="7">
        <f t="shared" si="394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10"/>
        <v>3</v>
      </c>
      <c r="C1480" s="5">
        <f t="shared" si="411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13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13"/>
        <v>45059</v>
      </c>
      <c r="L1480" s="5">
        <f t="shared" si="414"/>
        <v>5</v>
      </c>
      <c r="M1480" s="5">
        <f t="shared" si="415"/>
        <v>2023</v>
      </c>
      <c r="N1480" s="6">
        <v>3344</v>
      </c>
      <c r="O1480" s="6">
        <f t="shared" si="416"/>
        <v>-3344</v>
      </c>
      <c r="P1480" s="6">
        <f t="shared" si="412"/>
        <v>0</v>
      </c>
      <c r="Q1480" s="7">
        <f t="shared" si="394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10"/>
        <v>3</v>
      </c>
      <c r="C1481" s="5">
        <f t="shared" si="411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13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13"/>
        <v>45059</v>
      </c>
      <c r="L1481" s="5">
        <f t="shared" si="414"/>
        <v>5</v>
      </c>
      <c r="M1481" s="5">
        <f t="shared" si="415"/>
        <v>2023</v>
      </c>
      <c r="N1481" s="6">
        <v>745.2</v>
      </c>
      <c r="O1481" s="6">
        <f t="shared" si="416"/>
        <v>-745.2</v>
      </c>
      <c r="P1481" s="6">
        <f t="shared" si="412"/>
        <v>0</v>
      </c>
      <c r="Q1481" s="7">
        <f t="shared" si="394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10"/>
        <v>3</v>
      </c>
      <c r="C1482" s="5">
        <f t="shared" si="411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13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13"/>
        <v>45059</v>
      </c>
      <c r="L1482" s="5">
        <f t="shared" si="414"/>
        <v>5</v>
      </c>
      <c r="M1482" s="5">
        <f t="shared" si="415"/>
        <v>2023</v>
      </c>
      <c r="N1482" s="6">
        <v>372.6</v>
      </c>
      <c r="O1482" s="6">
        <f t="shared" si="416"/>
        <v>-372.6</v>
      </c>
      <c r="P1482" s="6">
        <f t="shared" si="412"/>
        <v>0</v>
      </c>
      <c r="Q1482" s="7">
        <f t="shared" si="394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10"/>
        <v>3</v>
      </c>
      <c r="C1483" s="5">
        <f t="shared" si="411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13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13"/>
        <v>45001</v>
      </c>
      <c r="L1483" s="5">
        <f t="shared" si="414"/>
        <v>3</v>
      </c>
      <c r="M1483" s="5">
        <f t="shared" si="415"/>
        <v>2023</v>
      </c>
      <c r="N1483" s="6">
        <v>1870</v>
      </c>
      <c r="O1483" s="6">
        <f t="shared" ref="O1483:O1485" si="417">-N1483</f>
        <v>-1870</v>
      </c>
      <c r="P1483" s="6">
        <f t="shared" si="412"/>
        <v>0</v>
      </c>
      <c r="Q1483" s="7">
        <f t="shared" si="394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10"/>
        <v>3</v>
      </c>
      <c r="C1484" s="5">
        <f t="shared" si="411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13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13"/>
        <v>45001</v>
      </c>
      <c r="L1484" s="5">
        <f t="shared" si="414"/>
        <v>3</v>
      </c>
      <c r="M1484" s="5">
        <f t="shared" si="415"/>
        <v>2023</v>
      </c>
      <c r="N1484" s="6">
        <v>510</v>
      </c>
      <c r="O1484" s="6">
        <f t="shared" si="417"/>
        <v>-510</v>
      </c>
      <c r="P1484" s="6">
        <f t="shared" si="412"/>
        <v>0</v>
      </c>
      <c r="Q1484" s="7">
        <f t="shared" si="394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18">MONTH(A1485)</f>
        <v>3</v>
      </c>
      <c r="C1485" s="5">
        <f t="shared" ref="C1485:C1508" si="419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13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13"/>
        <v>45001</v>
      </c>
      <c r="L1485" s="5">
        <f t="shared" si="414"/>
        <v>3</v>
      </c>
      <c r="M1485" s="5">
        <f t="shared" si="415"/>
        <v>2023</v>
      </c>
      <c r="N1485" s="6">
        <v>95</v>
      </c>
      <c r="O1485" s="6">
        <f t="shared" si="417"/>
        <v>-95</v>
      </c>
      <c r="P1485" s="6">
        <f t="shared" si="412"/>
        <v>0</v>
      </c>
      <c r="Q1485" s="7">
        <f t="shared" si="394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18"/>
        <v>3</v>
      </c>
      <c r="C1486" s="5">
        <f t="shared" si="419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13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13"/>
        <v>45001</v>
      </c>
      <c r="L1486" s="5">
        <f t="shared" si="414"/>
        <v>3</v>
      </c>
      <c r="M1486" s="5">
        <f t="shared" si="415"/>
        <v>2023</v>
      </c>
      <c r="N1486" s="6">
        <v>3608</v>
      </c>
      <c r="O1486" s="6">
        <f t="shared" ref="O1486:O1493" si="420">-N1486</f>
        <v>-3608</v>
      </c>
      <c r="P1486" s="6">
        <f t="shared" si="412"/>
        <v>0</v>
      </c>
      <c r="Q1486" s="7">
        <f t="shared" si="394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18"/>
        <v>3</v>
      </c>
      <c r="C1487" s="5">
        <f t="shared" si="419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13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13"/>
        <v>45001</v>
      </c>
      <c r="L1487" s="5">
        <f t="shared" si="414"/>
        <v>3</v>
      </c>
      <c r="M1487" s="5">
        <f t="shared" si="415"/>
        <v>2023</v>
      </c>
      <c r="N1487" s="6">
        <v>1896</v>
      </c>
      <c r="O1487" s="6">
        <f t="shared" si="420"/>
        <v>-1896</v>
      </c>
      <c r="P1487" s="6">
        <f t="shared" si="412"/>
        <v>0</v>
      </c>
      <c r="Q1487" s="7">
        <f t="shared" si="394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18"/>
        <v>3</v>
      </c>
      <c r="C1488" s="5">
        <f t="shared" si="419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13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13"/>
        <v>45001</v>
      </c>
      <c r="L1488" s="5">
        <f t="shared" si="414"/>
        <v>3</v>
      </c>
      <c r="M1488" s="5">
        <f t="shared" si="415"/>
        <v>2023</v>
      </c>
      <c r="N1488" s="6">
        <v>160</v>
      </c>
      <c r="O1488" s="6">
        <f t="shared" si="420"/>
        <v>-160</v>
      </c>
      <c r="P1488" s="6">
        <f t="shared" si="412"/>
        <v>0</v>
      </c>
      <c r="Q1488" s="7">
        <f t="shared" si="394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18"/>
        <v>3</v>
      </c>
      <c r="C1489" s="5">
        <f t="shared" si="419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13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13"/>
        <v>45001</v>
      </c>
      <c r="L1489" s="5">
        <f t="shared" si="414"/>
        <v>3</v>
      </c>
      <c r="M1489" s="5">
        <f t="shared" si="415"/>
        <v>2023</v>
      </c>
      <c r="N1489" s="6">
        <v>165</v>
      </c>
      <c r="O1489" s="6">
        <f t="shared" si="420"/>
        <v>-165</v>
      </c>
      <c r="P1489" s="6">
        <f t="shared" si="412"/>
        <v>0</v>
      </c>
      <c r="Q1489" s="7">
        <f t="shared" si="394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18"/>
        <v>3</v>
      </c>
      <c r="C1490" s="5">
        <f t="shared" si="419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13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13"/>
        <v>45001</v>
      </c>
      <c r="L1490" s="5">
        <f t="shared" si="414"/>
        <v>3</v>
      </c>
      <c r="M1490" s="5">
        <f t="shared" si="415"/>
        <v>2023</v>
      </c>
      <c r="N1490" s="6">
        <v>290</v>
      </c>
      <c r="O1490" s="6">
        <f t="shared" si="420"/>
        <v>-290</v>
      </c>
      <c r="P1490" s="6">
        <f t="shared" ref="P1490:P1509" si="421">SUM(N1490+O1490)</f>
        <v>0</v>
      </c>
      <c r="Q1490" s="7">
        <f t="shared" ref="Q1490:Q1553" si="422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18"/>
        <v>3</v>
      </c>
      <c r="C1491" s="5">
        <f t="shared" si="419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13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13"/>
        <v>45001</v>
      </c>
      <c r="L1491" s="5">
        <f t="shared" si="414"/>
        <v>3</v>
      </c>
      <c r="M1491" s="5">
        <f t="shared" si="415"/>
        <v>2023</v>
      </c>
      <c r="N1491" s="6">
        <v>516</v>
      </c>
      <c r="O1491" s="6">
        <f t="shared" si="420"/>
        <v>-516</v>
      </c>
      <c r="P1491" s="6">
        <f t="shared" si="421"/>
        <v>0</v>
      </c>
      <c r="Q1491" s="7">
        <f t="shared" si="422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18"/>
        <v>3</v>
      </c>
      <c r="C1492" s="5">
        <f t="shared" si="419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13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13"/>
        <v>45001</v>
      </c>
      <c r="L1492" s="5">
        <f t="shared" si="414"/>
        <v>3</v>
      </c>
      <c r="M1492" s="5">
        <f t="shared" si="415"/>
        <v>2023</v>
      </c>
      <c r="N1492" s="6">
        <v>190</v>
      </c>
      <c r="O1492" s="6">
        <f t="shared" si="420"/>
        <v>-190</v>
      </c>
      <c r="P1492" s="6">
        <f t="shared" si="421"/>
        <v>0</v>
      </c>
      <c r="Q1492" s="7">
        <f t="shared" si="422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18"/>
        <v>3</v>
      </c>
      <c r="C1493" s="5">
        <f t="shared" si="419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13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13"/>
        <v>45001</v>
      </c>
      <c r="L1493" s="5">
        <f t="shared" si="414"/>
        <v>3</v>
      </c>
      <c r="M1493" s="5">
        <f t="shared" si="415"/>
        <v>2023</v>
      </c>
      <c r="N1493" s="6">
        <v>200</v>
      </c>
      <c r="O1493" s="6">
        <f t="shared" si="420"/>
        <v>-200</v>
      </c>
      <c r="P1493" s="6">
        <f t="shared" si="421"/>
        <v>0</v>
      </c>
      <c r="Q1493" s="7">
        <f t="shared" si="422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18"/>
        <v>3</v>
      </c>
      <c r="C1494" s="5">
        <f t="shared" si="419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13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13"/>
        <v>45035</v>
      </c>
      <c r="L1494" s="5">
        <f t="shared" si="414"/>
        <v>4</v>
      </c>
      <c r="M1494" s="5">
        <f t="shared" si="415"/>
        <v>2023</v>
      </c>
      <c r="N1494" s="6">
        <v>3608</v>
      </c>
      <c r="O1494" s="6">
        <f t="shared" ref="O1494:O1500" si="423">-N1494</f>
        <v>-3608</v>
      </c>
      <c r="P1494" s="6">
        <f t="shared" si="421"/>
        <v>0</v>
      </c>
      <c r="Q1494" s="7">
        <f t="shared" si="422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18"/>
        <v>3</v>
      </c>
      <c r="C1495" s="5">
        <f t="shared" si="419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13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13"/>
        <v>45035</v>
      </c>
      <c r="L1495" s="5">
        <f t="shared" si="414"/>
        <v>4</v>
      </c>
      <c r="M1495" s="5">
        <f t="shared" si="415"/>
        <v>2023</v>
      </c>
      <c r="N1495" s="6">
        <v>842.4</v>
      </c>
      <c r="O1495" s="6">
        <f t="shared" si="423"/>
        <v>-842.4</v>
      </c>
      <c r="P1495" s="6">
        <f t="shared" si="421"/>
        <v>0</v>
      </c>
      <c r="Q1495" s="7">
        <f t="shared" si="422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18"/>
        <v>3</v>
      </c>
      <c r="C1496" s="5">
        <f t="shared" si="419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13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13"/>
        <v>45008</v>
      </c>
      <c r="L1496" s="5">
        <f t="shared" si="414"/>
        <v>3</v>
      </c>
      <c r="M1496" s="5">
        <f t="shared" si="415"/>
        <v>2023</v>
      </c>
      <c r="N1496" s="6">
        <v>312.5</v>
      </c>
      <c r="O1496" s="6">
        <f t="shared" si="423"/>
        <v>-312.5</v>
      </c>
      <c r="P1496" s="6">
        <f t="shared" si="421"/>
        <v>0</v>
      </c>
      <c r="Q1496" s="7">
        <f t="shared" si="422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18"/>
        <v>3</v>
      </c>
      <c r="C1497" s="5">
        <f t="shared" si="419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13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13"/>
        <v>45008</v>
      </c>
      <c r="L1497" s="5">
        <f t="shared" si="414"/>
        <v>3</v>
      </c>
      <c r="M1497" s="5">
        <f t="shared" si="415"/>
        <v>2023</v>
      </c>
      <c r="N1497" s="6">
        <v>8690</v>
      </c>
      <c r="O1497" s="6">
        <f t="shared" si="423"/>
        <v>-8690</v>
      </c>
      <c r="P1497" s="6">
        <f t="shared" si="421"/>
        <v>0</v>
      </c>
      <c r="Q1497" s="7">
        <f t="shared" si="422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18"/>
        <v>3</v>
      </c>
      <c r="C1498" s="5">
        <f t="shared" si="419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13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13"/>
        <v>45008</v>
      </c>
      <c r="L1498" s="5">
        <f t="shared" si="414"/>
        <v>3</v>
      </c>
      <c r="M1498" s="5">
        <f t="shared" si="415"/>
        <v>2023</v>
      </c>
      <c r="N1498" s="6">
        <v>3420</v>
      </c>
      <c r="O1498" s="6">
        <f t="shared" si="423"/>
        <v>-3420</v>
      </c>
      <c r="P1498" s="6">
        <f t="shared" si="421"/>
        <v>0</v>
      </c>
      <c r="Q1498" s="7">
        <f t="shared" si="422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18"/>
        <v>3</v>
      </c>
      <c r="C1499" s="5">
        <f t="shared" si="419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13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13"/>
        <v>45008</v>
      </c>
      <c r="L1499" s="5">
        <f t="shared" si="414"/>
        <v>3</v>
      </c>
      <c r="M1499" s="5">
        <f t="shared" si="415"/>
        <v>2023</v>
      </c>
      <c r="N1499" s="6">
        <v>2016</v>
      </c>
      <c r="O1499" s="6">
        <f t="shared" si="423"/>
        <v>-2016</v>
      </c>
      <c r="P1499" s="6">
        <f t="shared" si="421"/>
        <v>0</v>
      </c>
      <c r="Q1499" s="7">
        <f t="shared" si="422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18"/>
        <v>3</v>
      </c>
      <c r="C1500" s="5">
        <f t="shared" si="419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13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13"/>
        <v>45008</v>
      </c>
      <c r="L1500" s="5">
        <f t="shared" si="414"/>
        <v>3</v>
      </c>
      <c r="M1500" s="5">
        <f t="shared" si="415"/>
        <v>2023</v>
      </c>
      <c r="N1500" s="6">
        <v>380</v>
      </c>
      <c r="O1500" s="6">
        <f t="shared" si="423"/>
        <v>-380</v>
      </c>
      <c r="P1500" s="6">
        <f t="shared" si="421"/>
        <v>0</v>
      </c>
      <c r="Q1500" s="7">
        <f t="shared" si="422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18"/>
        <v>3</v>
      </c>
      <c r="C1501" s="5">
        <f t="shared" si="419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13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13"/>
        <v>45008</v>
      </c>
      <c r="L1501" s="5">
        <f t="shared" si="414"/>
        <v>3</v>
      </c>
      <c r="M1501" s="5">
        <f t="shared" si="415"/>
        <v>2023</v>
      </c>
      <c r="N1501" s="6">
        <v>1000</v>
      </c>
      <c r="O1501" s="6">
        <f>-436.9-563.1</f>
        <v>-1000</v>
      </c>
      <c r="P1501" s="6">
        <f t="shared" si="421"/>
        <v>0</v>
      </c>
      <c r="Q1501" s="7">
        <f t="shared" si="422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18"/>
        <v>3</v>
      </c>
      <c r="C1502" s="5">
        <f t="shared" si="419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13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13"/>
        <v>45010</v>
      </c>
      <c r="L1502" s="5">
        <f t="shared" si="414"/>
        <v>3</v>
      </c>
      <c r="M1502" s="5">
        <f t="shared" si="415"/>
        <v>2023</v>
      </c>
      <c r="N1502" s="6">
        <v>1870</v>
      </c>
      <c r="O1502" s="6">
        <f t="shared" ref="O1502:O1504" si="424">-N1502</f>
        <v>-1870</v>
      </c>
      <c r="P1502" s="6">
        <f t="shared" si="421"/>
        <v>0</v>
      </c>
      <c r="Q1502" s="7">
        <f t="shared" si="422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18"/>
        <v>3</v>
      </c>
      <c r="C1503" s="5">
        <f t="shared" si="419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13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13"/>
        <v>45010</v>
      </c>
      <c r="L1503" s="5">
        <f t="shared" si="414"/>
        <v>3</v>
      </c>
      <c r="M1503" s="5">
        <f t="shared" si="415"/>
        <v>2023</v>
      </c>
      <c r="N1503" s="6">
        <v>1275</v>
      </c>
      <c r="O1503" s="6">
        <f t="shared" si="424"/>
        <v>-1275</v>
      </c>
      <c r="P1503" s="6">
        <f t="shared" si="421"/>
        <v>0</v>
      </c>
      <c r="Q1503" s="7">
        <f t="shared" si="422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18"/>
        <v>3</v>
      </c>
      <c r="C1504" s="5">
        <f t="shared" si="419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13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13"/>
        <v>45010</v>
      </c>
      <c r="L1504" s="5">
        <f t="shared" si="414"/>
        <v>3</v>
      </c>
      <c r="M1504" s="5">
        <f t="shared" si="415"/>
        <v>2023</v>
      </c>
      <c r="N1504" s="6">
        <v>95</v>
      </c>
      <c r="O1504" s="6">
        <f t="shared" si="424"/>
        <v>-95</v>
      </c>
      <c r="P1504" s="6">
        <f t="shared" si="421"/>
        <v>0</v>
      </c>
      <c r="Q1504" s="7">
        <f t="shared" si="422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18"/>
        <v>3</v>
      </c>
      <c r="C1505" s="5">
        <f t="shared" si="419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13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13"/>
        <v>45010</v>
      </c>
      <c r="L1505" s="5">
        <f t="shared" si="414"/>
        <v>3</v>
      </c>
      <c r="M1505" s="5">
        <f t="shared" si="415"/>
        <v>2023</v>
      </c>
      <c r="N1505" s="6">
        <v>1350</v>
      </c>
      <c r="O1505" s="6">
        <f t="shared" ref="O1505:O1510" si="425">-N1505</f>
        <v>-1350</v>
      </c>
      <c r="P1505" s="6">
        <f t="shared" si="421"/>
        <v>0</v>
      </c>
      <c r="Q1505" s="7">
        <f t="shared" si="422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18"/>
        <v>3</v>
      </c>
      <c r="C1506" s="5">
        <f t="shared" si="419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13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13"/>
        <v>45010</v>
      </c>
      <c r="L1506" s="5">
        <f t="shared" si="414"/>
        <v>3</v>
      </c>
      <c r="M1506" s="5">
        <f t="shared" si="415"/>
        <v>2023</v>
      </c>
      <c r="N1506" s="6">
        <v>225</v>
      </c>
      <c r="O1506" s="6">
        <f t="shared" si="425"/>
        <v>-225</v>
      </c>
      <c r="P1506" s="6">
        <f t="shared" si="421"/>
        <v>0</v>
      </c>
      <c r="Q1506" s="7">
        <f t="shared" si="422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18"/>
        <v>3</v>
      </c>
      <c r="C1507" s="5">
        <f t="shared" si="419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13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13"/>
        <v>45012</v>
      </c>
      <c r="L1507" s="5">
        <f t="shared" si="414"/>
        <v>3</v>
      </c>
      <c r="M1507" s="5">
        <f t="shared" si="415"/>
        <v>2023</v>
      </c>
      <c r="N1507" s="6">
        <v>3608</v>
      </c>
      <c r="O1507" s="6">
        <f t="shared" si="425"/>
        <v>-3608</v>
      </c>
      <c r="P1507" s="6">
        <f t="shared" si="421"/>
        <v>0</v>
      </c>
      <c r="Q1507" s="7">
        <f t="shared" si="422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18"/>
        <v>3</v>
      </c>
      <c r="C1508" s="5">
        <f t="shared" si="419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13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13"/>
        <v>45012</v>
      </c>
      <c r="L1508" s="5">
        <f t="shared" si="414"/>
        <v>3</v>
      </c>
      <c r="M1508" s="5">
        <f t="shared" si="415"/>
        <v>2023</v>
      </c>
      <c r="N1508" s="6">
        <v>450</v>
      </c>
      <c r="O1508" s="6">
        <f t="shared" si="425"/>
        <v>-450</v>
      </c>
      <c r="P1508" s="6">
        <f t="shared" si="421"/>
        <v>0</v>
      </c>
      <c r="Q1508" s="7">
        <f t="shared" si="422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26">MONTH(A1509)</f>
        <v>3</v>
      </c>
      <c r="C1509" s="5">
        <f t="shared" ref="C1509:C1526" si="427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13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13"/>
        <v>45012</v>
      </c>
      <c r="L1509" s="5">
        <f t="shared" si="414"/>
        <v>3</v>
      </c>
      <c r="M1509" s="5">
        <f t="shared" si="415"/>
        <v>2023</v>
      </c>
      <c r="N1509" s="6">
        <v>472</v>
      </c>
      <c r="O1509" s="6">
        <f t="shared" si="425"/>
        <v>-472</v>
      </c>
      <c r="P1509" s="6">
        <f t="shared" si="421"/>
        <v>0</v>
      </c>
      <c r="Q1509" s="7">
        <f t="shared" si="422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26"/>
        <v>3</v>
      </c>
      <c r="C1510" s="5">
        <f t="shared" si="427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13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13"/>
        <v>45013</v>
      </c>
      <c r="L1510" s="5">
        <f t="shared" si="414"/>
        <v>3</v>
      </c>
      <c r="M1510" s="5">
        <f t="shared" si="415"/>
        <v>2023</v>
      </c>
      <c r="N1510" s="6">
        <v>1870</v>
      </c>
      <c r="O1510" s="6">
        <f t="shared" si="425"/>
        <v>-1870</v>
      </c>
      <c r="P1510" s="6">
        <f t="shared" ref="P1510:P1526" si="428">SUM(N1510+O1510)</f>
        <v>0</v>
      </c>
      <c r="Q1510" s="7">
        <f t="shared" si="422"/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26"/>
        <v>3</v>
      </c>
      <c r="C1511" s="5">
        <f t="shared" si="427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13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13"/>
        <v>45013</v>
      </c>
      <c r="L1511" s="5">
        <f t="shared" si="414"/>
        <v>3</v>
      </c>
      <c r="M1511" s="5">
        <f t="shared" si="415"/>
        <v>2023</v>
      </c>
      <c r="N1511" s="6">
        <v>448.2</v>
      </c>
      <c r="O1511" s="6">
        <f>-130-318.2</f>
        <v>-448.2</v>
      </c>
      <c r="P1511" s="6">
        <f t="shared" si="428"/>
        <v>0</v>
      </c>
      <c r="Q1511" s="7">
        <f t="shared" si="42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26"/>
        <v>3</v>
      </c>
      <c r="C1512" s="5">
        <f t="shared" si="427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13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13"/>
        <v>45013</v>
      </c>
      <c r="L1512" s="5">
        <f t="shared" si="414"/>
        <v>3</v>
      </c>
      <c r="M1512" s="5">
        <f t="shared" si="415"/>
        <v>2023</v>
      </c>
      <c r="N1512" s="6">
        <v>258</v>
      </c>
      <c r="O1512" s="6">
        <f t="shared" ref="O1512:O1519" si="429">-N1512</f>
        <v>-258</v>
      </c>
      <c r="P1512" s="6">
        <f t="shared" si="428"/>
        <v>0</v>
      </c>
      <c r="Q1512" s="7">
        <f t="shared" si="42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26"/>
        <v>3</v>
      </c>
      <c r="C1513" s="5">
        <f t="shared" si="427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13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13"/>
        <v>45013</v>
      </c>
      <c r="L1513" s="5">
        <f t="shared" si="414"/>
        <v>3</v>
      </c>
      <c r="M1513" s="5">
        <f t="shared" si="415"/>
        <v>2023</v>
      </c>
      <c r="N1513" s="6">
        <v>450</v>
      </c>
      <c r="O1513" s="6">
        <f t="shared" si="429"/>
        <v>-450</v>
      </c>
      <c r="P1513" s="6">
        <f t="shared" si="428"/>
        <v>0</v>
      </c>
      <c r="Q1513" s="7">
        <f t="shared" si="42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26"/>
        <v>3</v>
      </c>
      <c r="C1514" s="5">
        <f t="shared" si="427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13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13"/>
        <v>45045</v>
      </c>
      <c r="L1514" s="5">
        <f t="shared" si="414"/>
        <v>4</v>
      </c>
      <c r="M1514" s="5">
        <f t="shared" si="415"/>
        <v>2023</v>
      </c>
      <c r="N1514" s="6">
        <v>3608</v>
      </c>
      <c r="O1514" s="6">
        <f t="shared" si="429"/>
        <v>-3608</v>
      </c>
      <c r="P1514" s="6">
        <f t="shared" si="428"/>
        <v>0</v>
      </c>
      <c r="Q1514" s="7">
        <f t="shared" si="42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26"/>
        <v>3</v>
      </c>
      <c r="C1515" s="5">
        <f t="shared" si="427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13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13"/>
        <v>45045</v>
      </c>
      <c r="L1515" s="5">
        <f t="shared" si="414"/>
        <v>4</v>
      </c>
      <c r="M1515" s="5">
        <f t="shared" si="415"/>
        <v>2023</v>
      </c>
      <c r="N1515" s="6">
        <v>1263.5999999999999</v>
      </c>
      <c r="O1515" s="6">
        <f t="shared" si="429"/>
        <v>-1263.5999999999999</v>
      </c>
      <c r="P1515" s="6">
        <f t="shared" si="428"/>
        <v>0</v>
      </c>
      <c r="Q1515" s="7">
        <f t="shared" si="42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26"/>
        <v>3</v>
      </c>
      <c r="C1516" s="5">
        <f t="shared" si="427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13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13"/>
        <v>45045</v>
      </c>
      <c r="L1516" s="5">
        <f t="shared" si="414"/>
        <v>4</v>
      </c>
      <c r="M1516" s="5">
        <f t="shared" si="415"/>
        <v>2023</v>
      </c>
      <c r="N1516" s="6">
        <v>190</v>
      </c>
      <c r="O1516" s="6">
        <f t="shared" si="429"/>
        <v>-190</v>
      </c>
      <c r="P1516" s="6">
        <f t="shared" si="428"/>
        <v>0</v>
      </c>
      <c r="Q1516" s="7">
        <f t="shared" si="42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26"/>
        <v>3</v>
      </c>
      <c r="C1517" s="5">
        <f t="shared" si="427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13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13"/>
        <v>45045</v>
      </c>
      <c r="L1517" s="5">
        <f t="shared" si="414"/>
        <v>4</v>
      </c>
      <c r="M1517" s="5">
        <f t="shared" si="415"/>
        <v>2023</v>
      </c>
      <c r="N1517" s="6">
        <v>520</v>
      </c>
      <c r="O1517" s="6">
        <f t="shared" si="429"/>
        <v>-520</v>
      </c>
      <c r="P1517" s="6">
        <f t="shared" si="428"/>
        <v>0</v>
      </c>
      <c r="Q1517" s="7">
        <f t="shared" si="42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26"/>
        <v>3</v>
      </c>
      <c r="C1518" s="5">
        <f t="shared" si="427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13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13"/>
        <v>45045</v>
      </c>
      <c r="L1518" s="5">
        <f t="shared" si="414"/>
        <v>4</v>
      </c>
      <c r="M1518" s="5">
        <f t="shared" si="415"/>
        <v>2023</v>
      </c>
      <c r="N1518" s="6">
        <v>875</v>
      </c>
      <c r="O1518" s="6">
        <f t="shared" si="429"/>
        <v>-875</v>
      </c>
      <c r="P1518" s="6">
        <f t="shared" si="428"/>
        <v>0</v>
      </c>
      <c r="Q1518" s="7">
        <f t="shared" si="42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26"/>
        <v>3</v>
      </c>
      <c r="C1519" s="5">
        <f t="shared" si="427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13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13"/>
        <v>45045</v>
      </c>
      <c r="L1519" s="5">
        <f t="shared" si="414"/>
        <v>4</v>
      </c>
      <c r="M1519" s="5">
        <f t="shared" si="415"/>
        <v>2023</v>
      </c>
      <c r="N1519" s="6">
        <v>187.5</v>
      </c>
      <c r="O1519" s="6">
        <f t="shared" si="429"/>
        <v>-187.5</v>
      </c>
      <c r="P1519" s="6">
        <f t="shared" si="428"/>
        <v>0</v>
      </c>
      <c r="Q1519" s="7">
        <f t="shared" si="42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26"/>
        <v>3</v>
      </c>
      <c r="C1520" s="5">
        <f t="shared" si="427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13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13"/>
        <v>45015</v>
      </c>
      <c r="L1520" s="5">
        <f t="shared" si="414"/>
        <v>3</v>
      </c>
      <c r="M1520" s="5">
        <f t="shared" si="415"/>
        <v>2023</v>
      </c>
      <c r="N1520" s="6">
        <v>300</v>
      </c>
      <c r="O1520" s="6">
        <f t="shared" ref="O1520:O1526" si="430">-N1520</f>
        <v>-300</v>
      </c>
      <c r="P1520" s="6">
        <f t="shared" si="428"/>
        <v>0</v>
      </c>
      <c r="Q1520" s="7">
        <f t="shared" si="42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26"/>
        <v>3</v>
      </c>
      <c r="C1521" s="5">
        <f t="shared" si="427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13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13"/>
        <v>45015</v>
      </c>
      <c r="L1521" s="5">
        <f t="shared" si="414"/>
        <v>3</v>
      </c>
      <c r="M1521" s="5">
        <f t="shared" si="415"/>
        <v>2023</v>
      </c>
      <c r="N1521" s="6">
        <v>187.5</v>
      </c>
      <c r="O1521" s="6">
        <f t="shared" si="430"/>
        <v>-187.5</v>
      </c>
      <c r="P1521" s="6">
        <f t="shared" si="428"/>
        <v>0</v>
      </c>
      <c r="Q1521" s="7">
        <f t="shared" si="42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26"/>
        <v>3</v>
      </c>
      <c r="C1522" s="5">
        <f t="shared" si="427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13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13"/>
        <v>45015</v>
      </c>
      <c r="L1522" s="5">
        <f t="shared" si="414"/>
        <v>3</v>
      </c>
      <c r="M1522" s="5">
        <f t="shared" si="415"/>
        <v>2023</v>
      </c>
      <c r="N1522" s="6">
        <v>312.5</v>
      </c>
      <c r="O1522" s="6">
        <f t="shared" si="430"/>
        <v>-312.5</v>
      </c>
      <c r="P1522" s="6">
        <f t="shared" si="428"/>
        <v>0</v>
      </c>
      <c r="Q1522" s="7">
        <f t="shared" si="42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26"/>
        <v>3</v>
      </c>
      <c r="C1523" s="5">
        <f t="shared" si="427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13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13"/>
        <v>45015</v>
      </c>
      <c r="L1523" s="5">
        <f t="shared" si="414"/>
        <v>3</v>
      </c>
      <c r="M1523" s="5">
        <f t="shared" si="415"/>
        <v>2023</v>
      </c>
      <c r="N1523" s="6">
        <v>8690</v>
      </c>
      <c r="O1523" s="6">
        <f t="shared" si="430"/>
        <v>-8690</v>
      </c>
      <c r="P1523" s="6">
        <f t="shared" si="428"/>
        <v>0</v>
      </c>
      <c r="Q1523" s="7">
        <f t="shared" si="42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26"/>
        <v>3</v>
      </c>
      <c r="C1524" s="5">
        <f t="shared" si="427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13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13"/>
        <v>45015</v>
      </c>
      <c r="L1524" s="5">
        <f t="shared" si="414"/>
        <v>3</v>
      </c>
      <c r="M1524" s="5">
        <f t="shared" si="415"/>
        <v>2023</v>
      </c>
      <c r="N1524" s="6">
        <v>2280</v>
      </c>
      <c r="O1524" s="6">
        <f t="shared" si="430"/>
        <v>-2280</v>
      </c>
      <c r="P1524" s="6">
        <f t="shared" si="428"/>
        <v>0</v>
      </c>
      <c r="Q1524" s="7">
        <f t="shared" si="42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26"/>
        <v>3</v>
      </c>
      <c r="C1525" s="5">
        <f t="shared" si="427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13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13"/>
        <v>45015</v>
      </c>
      <c r="L1525" s="5">
        <f t="shared" si="414"/>
        <v>3</v>
      </c>
      <c r="M1525" s="5">
        <f t="shared" si="415"/>
        <v>2023</v>
      </c>
      <c r="N1525" s="6">
        <v>1260</v>
      </c>
      <c r="O1525" s="6">
        <f t="shared" si="430"/>
        <v>-1260</v>
      </c>
      <c r="P1525" s="6">
        <f t="shared" si="428"/>
        <v>0</v>
      </c>
      <c r="Q1525" s="7">
        <f t="shared" si="42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26"/>
        <v>3</v>
      </c>
      <c r="C1526" s="5">
        <f t="shared" si="427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13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13"/>
        <v>45015</v>
      </c>
      <c r="L1526" s="5">
        <f t="shared" si="414"/>
        <v>3</v>
      </c>
      <c r="M1526" s="5">
        <f t="shared" si="415"/>
        <v>2023</v>
      </c>
      <c r="N1526" s="6">
        <v>380</v>
      </c>
      <c r="O1526" s="6">
        <f t="shared" si="430"/>
        <v>-380</v>
      </c>
      <c r="P1526" s="6">
        <f t="shared" si="428"/>
        <v>0</v>
      </c>
      <c r="Q1526" s="7">
        <f t="shared" si="42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31">MONTH(A1527)</f>
        <v>4</v>
      </c>
      <c r="C1527" s="5">
        <f t="shared" ref="C1527:C1577" si="432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13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13"/>
        <v>45019</v>
      </c>
      <c r="L1527" s="5">
        <f t="shared" si="414"/>
        <v>4</v>
      </c>
      <c r="M1527" s="5">
        <f t="shared" si="415"/>
        <v>2023</v>
      </c>
      <c r="N1527" s="6">
        <v>475.2</v>
      </c>
      <c r="O1527" s="6">
        <f t="shared" ref="O1527" si="433">-N1527</f>
        <v>-475.2</v>
      </c>
      <c r="P1527" s="6">
        <f t="shared" ref="P1527:P1577" si="434">SUM(N1527+O1527)</f>
        <v>0</v>
      </c>
      <c r="Q1527" s="7">
        <f t="shared" si="422"/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31"/>
        <v>4</v>
      </c>
      <c r="C1528" s="5">
        <f t="shared" si="432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13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13"/>
        <v>45019</v>
      </c>
      <c r="L1528" s="5">
        <f t="shared" si="414"/>
        <v>4</v>
      </c>
      <c r="M1528" s="5">
        <f t="shared" si="415"/>
        <v>2023</v>
      </c>
      <c r="N1528" s="6">
        <v>1848</v>
      </c>
      <c r="O1528" s="6">
        <f t="shared" ref="O1528:O1539" si="435">-N1528</f>
        <v>-1848</v>
      </c>
      <c r="P1528" s="6">
        <f t="shared" si="434"/>
        <v>0</v>
      </c>
      <c r="Q1528" s="7">
        <f t="shared" si="422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31"/>
        <v>4</v>
      </c>
      <c r="C1529" s="5">
        <f t="shared" si="432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13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13"/>
        <v>45019</v>
      </c>
      <c r="L1529" s="5">
        <f t="shared" si="414"/>
        <v>4</v>
      </c>
      <c r="M1529" s="5">
        <f t="shared" si="415"/>
        <v>2023</v>
      </c>
      <c r="N1529" s="6">
        <v>1125</v>
      </c>
      <c r="O1529" s="6">
        <f t="shared" si="435"/>
        <v>-1125</v>
      </c>
      <c r="P1529" s="6">
        <f t="shared" si="434"/>
        <v>0</v>
      </c>
      <c r="Q1529" s="7">
        <f t="shared" si="422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31"/>
        <v>4</v>
      </c>
      <c r="C1530" s="5">
        <f t="shared" si="432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13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13"/>
        <v>45019</v>
      </c>
      <c r="L1530" s="5">
        <f t="shared" si="414"/>
        <v>4</v>
      </c>
      <c r="M1530" s="5">
        <f t="shared" si="415"/>
        <v>2023</v>
      </c>
      <c r="N1530" s="6">
        <v>225</v>
      </c>
      <c r="O1530" s="6">
        <f t="shared" si="435"/>
        <v>-225</v>
      </c>
      <c r="P1530" s="6">
        <f t="shared" si="434"/>
        <v>0</v>
      </c>
      <c r="Q1530" s="7">
        <f t="shared" si="422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31"/>
        <v>4</v>
      </c>
      <c r="C1531" s="5">
        <f t="shared" si="432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13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13"/>
        <v>45019</v>
      </c>
      <c r="L1531" s="5">
        <f t="shared" si="414"/>
        <v>4</v>
      </c>
      <c r="M1531" s="5">
        <f t="shared" si="415"/>
        <v>2023</v>
      </c>
      <c r="N1531" s="6">
        <v>472</v>
      </c>
      <c r="O1531" s="6">
        <f t="shared" si="435"/>
        <v>-472</v>
      </c>
      <c r="P1531" s="6">
        <f t="shared" si="434"/>
        <v>0</v>
      </c>
      <c r="Q1531" s="7">
        <f t="shared" si="422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31"/>
        <v>4</v>
      </c>
      <c r="C1532" s="5">
        <f t="shared" si="432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13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13"/>
        <v>45019</v>
      </c>
      <c r="L1532" s="5">
        <f t="shared" si="414"/>
        <v>4</v>
      </c>
      <c r="M1532" s="5">
        <f t="shared" si="415"/>
        <v>2023</v>
      </c>
      <c r="N1532" s="6">
        <v>100</v>
      </c>
      <c r="O1532" s="6">
        <f t="shared" si="435"/>
        <v>-100</v>
      </c>
      <c r="P1532" s="6">
        <f t="shared" si="434"/>
        <v>0</v>
      </c>
      <c r="Q1532" s="7">
        <f t="shared" si="422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31"/>
        <v>4</v>
      </c>
      <c r="C1533" s="5">
        <f t="shared" si="432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13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13"/>
        <v>45019</v>
      </c>
      <c r="L1533" s="5">
        <f t="shared" si="414"/>
        <v>4</v>
      </c>
      <c r="M1533" s="5">
        <f t="shared" si="415"/>
        <v>2023</v>
      </c>
      <c r="N1533" s="6">
        <v>420</v>
      </c>
      <c r="O1533" s="6">
        <f t="shared" si="435"/>
        <v>-420</v>
      </c>
      <c r="P1533" s="6">
        <f t="shared" si="434"/>
        <v>0</v>
      </c>
      <c r="Q1533" s="7">
        <f t="shared" si="422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31"/>
        <v>4</v>
      </c>
      <c r="C1534" s="5">
        <f t="shared" si="432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13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13"/>
        <v>45019</v>
      </c>
      <c r="L1534" s="5">
        <f t="shared" si="414"/>
        <v>4</v>
      </c>
      <c r="M1534" s="5">
        <f t="shared" si="415"/>
        <v>2023</v>
      </c>
      <c r="N1534" s="6">
        <v>250</v>
      </c>
      <c r="O1534" s="6">
        <f t="shared" si="435"/>
        <v>-250</v>
      </c>
      <c r="P1534" s="6">
        <f t="shared" si="434"/>
        <v>0</v>
      </c>
      <c r="Q1534" s="7">
        <f t="shared" si="422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31"/>
        <v>4</v>
      </c>
      <c r="C1535" s="5">
        <f t="shared" si="432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13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13"/>
        <v>45019</v>
      </c>
      <c r="L1535" s="5">
        <f t="shared" si="414"/>
        <v>4</v>
      </c>
      <c r="M1535" s="5">
        <f t="shared" si="415"/>
        <v>2023</v>
      </c>
      <c r="N1535" s="6">
        <v>264</v>
      </c>
      <c r="O1535" s="6">
        <f t="shared" si="435"/>
        <v>-264</v>
      </c>
      <c r="P1535" s="6">
        <f t="shared" si="434"/>
        <v>0</v>
      </c>
      <c r="Q1535" s="7">
        <f t="shared" si="422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31"/>
        <v>4</v>
      </c>
      <c r="C1536" s="5">
        <f t="shared" si="432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13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13"/>
        <v>45019</v>
      </c>
      <c r="L1536" s="5">
        <f t="shared" si="414"/>
        <v>4</v>
      </c>
      <c r="M1536" s="5">
        <f t="shared" si="415"/>
        <v>2023</v>
      </c>
      <c r="N1536" s="6">
        <v>70</v>
      </c>
      <c r="O1536" s="6">
        <f t="shared" si="435"/>
        <v>-70</v>
      </c>
      <c r="P1536" s="6">
        <f t="shared" si="434"/>
        <v>0</v>
      </c>
      <c r="Q1536" s="7">
        <f t="shared" si="422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31"/>
        <v>4</v>
      </c>
      <c r="C1537" s="5">
        <f t="shared" si="432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13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13"/>
        <v>45019</v>
      </c>
      <c r="L1537" s="5">
        <f t="shared" si="414"/>
        <v>4</v>
      </c>
      <c r="M1537" s="5">
        <f t="shared" si="415"/>
        <v>2023</v>
      </c>
      <c r="N1537" s="6">
        <v>118</v>
      </c>
      <c r="O1537" s="6">
        <f t="shared" si="435"/>
        <v>-118</v>
      </c>
      <c r="P1537" s="6">
        <f t="shared" si="434"/>
        <v>0</v>
      </c>
      <c r="Q1537" s="7">
        <f t="shared" si="422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31"/>
        <v>4</v>
      </c>
      <c r="C1538" s="5">
        <f t="shared" si="432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13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13"/>
        <v>45020</v>
      </c>
      <c r="L1538" s="5">
        <f t="shared" si="414"/>
        <v>4</v>
      </c>
      <c r="M1538" s="5">
        <f t="shared" si="415"/>
        <v>2023</v>
      </c>
      <c r="N1538" s="6">
        <v>7480</v>
      </c>
      <c r="O1538" s="6">
        <f t="shared" si="435"/>
        <v>-7480</v>
      </c>
      <c r="P1538" s="6">
        <f t="shared" si="434"/>
        <v>0</v>
      </c>
      <c r="Q1538" s="7">
        <f t="shared" si="422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31"/>
        <v>4</v>
      </c>
      <c r="C1539" s="5">
        <f t="shared" si="432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13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36">A1539+J1539</f>
        <v>45020</v>
      </c>
      <c r="L1539" s="5">
        <f t="shared" ref="L1539:L1602" si="437">MONTH(K1539)</f>
        <v>4</v>
      </c>
      <c r="M1539" s="5">
        <f t="shared" ref="M1539:M1602" si="438">YEAR(K1539)</f>
        <v>2023</v>
      </c>
      <c r="N1539" s="6">
        <v>1263.5999999999999</v>
      </c>
      <c r="O1539" s="6">
        <f t="shared" si="435"/>
        <v>-1263.5999999999999</v>
      </c>
      <c r="P1539" s="6">
        <f t="shared" si="434"/>
        <v>0</v>
      </c>
      <c r="Q1539" s="7">
        <f t="shared" si="422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31"/>
        <v>4</v>
      </c>
      <c r="C1540" s="5">
        <f t="shared" si="432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13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36"/>
        <v>45020</v>
      </c>
      <c r="L1540" s="5">
        <f t="shared" si="437"/>
        <v>4</v>
      </c>
      <c r="M1540" s="5">
        <f t="shared" si="438"/>
        <v>2023</v>
      </c>
      <c r="N1540" s="6">
        <v>2106</v>
      </c>
      <c r="O1540" s="6">
        <f>-196.9</f>
        <v>-196.9</v>
      </c>
      <c r="P1540" s="6">
        <f t="shared" si="434"/>
        <v>1909.1</v>
      </c>
      <c r="Q1540" s="7">
        <f t="shared" si="422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31"/>
        <v>4</v>
      </c>
      <c r="C1541" s="5">
        <f t="shared" si="432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13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36"/>
        <v>45020</v>
      </c>
      <c r="L1541" s="5">
        <f t="shared" si="437"/>
        <v>4</v>
      </c>
      <c r="M1541" s="5">
        <f t="shared" si="438"/>
        <v>2023</v>
      </c>
      <c r="N1541" s="6">
        <v>260</v>
      </c>
      <c r="P1541" s="6">
        <f t="shared" si="434"/>
        <v>260</v>
      </c>
      <c r="Q1541" s="7">
        <f t="shared" si="422"/>
        <v>2846877.1500000008</v>
      </c>
      <c r="R1541" s="44" t="str">
        <f>VLOOKUP(F1541,'Set up'!$A$2:$E$55,5,FALSE)</f>
        <v>Trsf</v>
      </c>
    </row>
    <row r="1542" spans="1:19" x14ac:dyDescent="0.3">
      <c r="A1542" s="4" t="s">
        <v>1402</v>
      </c>
      <c r="B1542" s="5">
        <f t="shared" si="431"/>
        <v>4</v>
      </c>
      <c r="C1542" s="5">
        <f t="shared" si="432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13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36"/>
        <v>45020</v>
      </c>
      <c r="L1542" s="5">
        <f t="shared" si="437"/>
        <v>4</v>
      </c>
      <c r="M1542" s="5">
        <f t="shared" si="438"/>
        <v>2023</v>
      </c>
      <c r="N1542" s="6">
        <v>640</v>
      </c>
      <c r="P1542" s="6">
        <f t="shared" si="434"/>
        <v>640</v>
      </c>
      <c r="Q1542" s="7">
        <f t="shared" si="422"/>
        <v>2847517.1500000008</v>
      </c>
      <c r="R1542" s="44" t="str">
        <f>VLOOKUP(F1542,'Set up'!$A$2:$E$55,5,FALSE)</f>
        <v>Trsf</v>
      </c>
    </row>
    <row r="1543" spans="1:19" x14ac:dyDescent="0.3">
      <c r="A1543" s="4" t="s">
        <v>1402</v>
      </c>
      <c r="B1543" s="5">
        <f t="shared" si="431"/>
        <v>4</v>
      </c>
      <c r="C1543" s="5">
        <f t="shared" si="432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13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36"/>
        <v>45020</v>
      </c>
      <c r="L1543" s="5">
        <f t="shared" si="437"/>
        <v>4</v>
      </c>
      <c r="M1543" s="5">
        <f t="shared" si="438"/>
        <v>2023</v>
      </c>
      <c r="N1543" s="6">
        <v>380</v>
      </c>
      <c r="P1543" s="6">
        <f t="shared" si="434"/>
        <v>380</v>
      </c>
      <c r="Q1543" s="7">
        <f t="shared" si="422"/>
        <v>2847897.1500000008</v>
      </c>
      <c r="R1543" s="44" t="str">
        <f>VLOOKUP(F1543,'Set up'!$A$2:$E$55,5,FALSE)</f>
        <v>Trsf</v>
      </c>
    </row>
    <row r="1544" spans="1:19" x14ac:dyDescent="0.3">
      <c r="A1544" s="4" t="s">
        <v>1402</v>
      </c>
      <c r="B1544" s="5">
        <f t="shared" si="431"/>
        <v>4</v>
      </c>
      <c r="C1544" s="5">
        <f t="shared" si="432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13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36"/>
        <v>45020</v>
      </c>
      <c r="L1544" s="5">
        <f t="shared" si="437"/>
        <v>4</v>
      </c>
      <c r="M1544" s="5">
        <f t="shared" si="438"/>
        <v>2023</v>
      </c>
      <c r="N1544" s="6">
        <v>540</v>
      </c>
      <c r="P1544" s="6">
        <f t="shared" si="434"/>
        <v>540</v>
      </c>
      <c r="Q1544" s="7">
        <f t="shared" si="422"/>
        <v>2848437.1500000008</v>
      </c>
      <c r="R1544" s="44" t="str">
        <f>VLOOKUP(F1544,'Set up'!$A$2:$E$55,5,FALSE)</f>
        <v>Trsf</v>
      </c>
    </row>
    <row r="1545" spans="1:19" x14ac:dyDescent="0.3">
      <c r="A1545" s="4" t="s">
        <v>1402</v>
      </c>
      <c r="B1545" s="5">
        <f t="shared" si="431"/>
        <v>4</v>
      </c>
      <c r="C1545" s="5">
        <f t="shared" si="432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13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36"/>
        <v>45020</v>
      </c>
      <c r="L1545" s="5">
        <f t="shared" si="437"/>
        <v>4</v>
      </c>
      <c r="M1545" s="5">
        <f t="shared" si="438"/>
        <v>2023</v>
      </c>
      <c r="N1545" s="6">
        <v>1270</v>
      </c>
      <c r="P1545" s="6">
        <f t="shared" si="434"/>
        <v>1270</v>
      </c>
      <c r="Q1545" s="7">
        <f t="shared" si="422"/>
        <v>2849707.1500000008</v>
      </c>
      <c r="R1545" s="44" t="str">
        <f>VLOOKUP(F1545,'Set up'!$A$2:$E$55,5,FALSE)</f>
        <v>Trsf</v>
      </c>
    </row>
    <row r="1546" spans="1:19" x14ac:dyDescent="0.3">
      <c r="A1546" s="4" t="s">
        <v>1402</v>
      </c>
      <c r="B1546" s="5">
        <f t="shared" si="431"/>
        <v>4</v>
      </c>
      <c r="C1546" s="5">
        <f t="shared" si="432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13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36"/>
        <v>45020</v>
      </c>
      <c r="L1546" s="5">
        <f t="shared" si="437"/>
        <v>4</v>
      </c>
      <c r="M1546" s="5">
        <f t="shared" si="438"/>
        <v>2023</v>
      </c>
      <c r="N1546" s="6">
        <v>1059.5</v>
      </c>
      <c r="P1546" s="6">
        <f t="shared" si="434"/>
        <v>1059.5</v>
      </c>
      <c r="Q1546" s="7">
        <f t="shared" si="422"/>
        <v>2850766.6500000008</v>
      </c>
      <c r="R1546" s="44" t="str">
        <f>VLOOKUP(F1546,'Set up'!$A$2:$E$55,5,FALSE)</f>
        <v>Trsf</v>
      </c>
    </row>
    <row r="1547" spans="1:19" x14ac:dyDescent="0.3">
      <c r="A1547" s="4" t="s">
        <v>1404</v>
      </c>
      <c r="B1547" s="5">
        <f t="shared" si="431"/>
        <v>4</v>
      </c>
      <c r="C1547" s="5">
        <f t="shared" si="432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13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36"/>
        <v>45142</v>
      </c>
      <c r="L1547" s="5">
        <f t="shared" si="437"/>
        <v>8</v>
      </c>
      <c r="M1547" s="5">
        <f t="shared" si="438"/>
        <v>2023</v>
      </c>
      <c r="N1547" s="6">
        <v>9900</v>
      </c>
      <c r="O1547" s="6">
        <f t="shared" ref="O1547:O1551" si="439">-N1547</f>
        <v>-9900</v>
      </c>
      <c r="P1547" s="6">
        <f t="shared" si="434"/>
        <v>0</v>
      </c>
      <c r="Q1547" s="7">
        <f t="shared" si="422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31"/>
        <v>4</v>
      </c>
      <c r="C1548" s="5">
        <f t="shared" si="432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13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36"/>
        <v>45142</v>
      </c>
      <c r="L1548" s="5">
        <f t="shared" si="437"/>
        <v>8</v>
      </c>
      <c r="M1548" s="5">
        <f t="shared" si="438"/>
        <v>2023</v>
      </c>
      <c r="N1548" s="6">
        <v>2070</v>
      </c>
      <c r="O1548" s="6">
        <f t="shared" si="439"/>
        <v>-2070</v>
      </c>
      <c r="P1548" s="6">
        <f t="shared" si="434"/>
        <v>0</v>
      </c>
      <c r="Q1548" s="7">
        <f t="shared" si="422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31"/>
        <v>4</v>
      </c>
      <c r="C1549" s="5">
        <f t="shared" si="432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13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36"/>
        <v>45142</v>
      </c>
      <c r="L1549" s="5">
        <f t="shared" si="437"/>
        <v>8</v>
      </c>
      <c r="M1549" s="5">
        <f t="shared" si="438"/>
        <v>2023</v>
      </c>
      <c r="N1549" s="6">
        <v>287.5</v>
      </c>
      <c r="O1549" s="6">
        <f t="shared" si="439"/>
        <v>-287.5</v>
      </c>
      <c r="P1549" s="6">
        <f t="shared" si="434"/>
        <v>0</v>
      </c>
      <c r="Q1549" s="7">
        <f t="shared" si="422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31"/>
        <v>4</v>
      </c>
      <c r="C1550" s="5">
        <f t="shared" si="432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13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36"/>
        <v>45142</v>
      </c>
      <c r="L1550" s="5">
        <f t="shared" si="437"/>
        <v>8</v>
      </c>
      <c r="M1550" s="5">
        <f t="shared" si="438"/>
        <v>2023</v>
      </c>
      <c r="N1550" s="6">
        <v>420</v>
      </c>
      <c r="O1550" s="6">
        <f t="shared" si="439"/>
        <v>-420</v>
      </c>
      <c r="P1550" s="6">
        <f t="shared" si="434"/>
        <v>0</v>
      </c>
      <c r="Q1550" s="7">
        <f t="shared" si="422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31"/>
        <v>4</v>
      </c>
      <c r="C1551" s="5">
        <f t="shared" si="432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13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36"/>
        <v>45142</v>
      </c>
      <c r="L1551" s="5">
        <f t="shared" si="437"/>
        <v>8</v>
      </c>
      <c r="M1551" s="5">
        <f t="shared" si="438"/>
        <v>2023</v>
      </c>
      <c r="N1551" s="6">
        <v>420</v>
      </c>
      <c r="O1551" s="6">
        <f t="shared" si="439"/>
        <v>-420</v>
      </c>
      <c r="P1551" s="6">
        <f t="shared" si="434"/>
        <v>0</v>
      </c>
      <c r="Q1551" s="7">
        <f t="shared" si="422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31"/>
        <v>4</v>
      </c>
      <c r="C1552" s="5">
        <f t="shared" si="432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13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36"/>
        <v>45142</v>
      </c>
      <c r="L1552" s="5">
        <f t="shared" si="437"/>
        <v>8</v>
      </c>
      <c r="M1552" s="5">
        <f t="shared" si="438"/>
        <v>2023</v>
      </c>
      <c r="N1552" s="6">
        <v>200</v>
      </c>
      <c r="O1552" s="6">
        <f>-N1552</f>
        <v>-200</v>
      </c>
      <c r="P1552" s="6">
        <f t="shared" ref="P1552:P1557" si="440">SUM(N1552+O1552)</f>
        <v>0</v>
      </c>
      <c r="Q1552" s="7">
        <f t="shared" si="422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31"/>
        <v>4</v>
      </c>
      <c r="C1553" s="5">
        <f t="shared" si="432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13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36"/>
        <v>45022</v>
      </c>
      <c r="L1553" s="5">
        <f t="shared" si="437"/>
        <v>4</v>
      </c>
      <c r="M1553" s="5">
        <f t="shared" si="438"/>
        <v>2023</v>
      </c>
      <c r="N1553" s="6">
        <v>1870</v>
      </c>
      <c r="O1553" s="6">
        <f t="shared" ref="O1553:O1558" si="441">-N1553</f>
        <v>-1870</v>
      </c>
      <c r="P1553" s="6">
        <f t="shared" si="440"/>
        <v>0</v>
      </c>
      <c r="Q1553" s="7">
        <f t="shared" si="422"/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31"/>
        <v>4</v>
      </c>
      <c r="C1554" s="5">
        <f t="shared" si="432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13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36"/>
        <v>45022</v>
      </c>
      <c r="L1554" s="5">
        <f t="shared" si="437"/>
        <v>4</v>
      </c>
      <c r="M1554" s="5">
        <f t="shared" si="438"/>
        <v>2023</v>
      </c>
      <c r="N1554" s="6">
        <v>95</v>
      </c>
      <c r="O1554" s="6">
        <f t="shared" si="441"/>
        <v>-95</v>
      </c>
      <c r="P1554" s="6">
        <f t="shared" si="440"/>
        <v>0</v>
      </c>
      <c r="Q1554" s="7">
        <f t="shared" ref="Q1554:Q1617" si="442"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31"/>
        <v>4</v>
      </c>
      <c r="C1555" s="5">
        <f t="shared" si="432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13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36"/>
        <v>45022</v>
      </c>
      <c r="L1555" s="5">
        <f t="shared" si="437"/>
        <v>4</v>
      </c>
      <c r="M1555" s="5">
        <f t="shared" si="438"/>
        <v>2023</v>
      </c>
      <c r="N1555" s="6">
        <v>312.5</v>
      </c>
      <c r="O1555" s="6">
        <f t="shared" si="441"/>
        <v>-312.5</v>
      </c>
      <c r="P1555" s="6">
        <f t="shared" si="440"/>
        <v>0</v>
      </c>
      <c r="Q1555" s="7">
        <f t="shared" si="442"/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31"/>
        <v>4</v>
      </c>
      <c r="C1556" s="5">
        <f t="shared" si="432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13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36"/>
        <v>45022</v>
      </c>
      <c r="L1556" s="5">
        <f t="shared" si="437"/>
        <v>4</v>
      </c>
      <c r="M1556" s="5">
        <f t="shared" si="438"/>
        <v>2023</v>
      </c>
      <c r="N1556" s="6">
        <v>225</v>
      </c>
      <c r="O1556" s="6">
        <f t="shared" si="441"/>
        <v>-225</v>
      </c>
      <c r="P1556" s="6">
        <f t="shared" si="440"/>
        <v>0</v>
      </c>
      <c r="Q1556" s="7">
        <f t="shared" si="442"/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31"/>
        <v>4</v>
      </c>
      <c r="C1557" s="5">
        <f t="shared" si="432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13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36"/>
        <v>45022</v>
      </c>
      <c r="L1557" s="5">
        <f t="shared" si="437"/>
        <v>4</v>
      </c>
      <c r="M1557" s="5">
        <f t="shared" si="438"/>
        <v>2023</v>
      </c>
      <c r="N1557" s="6">
        <v>576</v>
      </c>
      <c r="O1557" s="6">
        <f t="shared" si="441"/>
        <v>-576</v>
      </c>
      <c r="P1557" s="6">
        <f t="shared" si="440"/>
        <v>0</v>
      </c>
      <c r="Q1557" s="7">
        <f t="shared" si="442"/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31"/>
        <v>4</v>
      </c>
      <c r="C1558" s="5">
        <f t="shared" si="432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13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36"/>
        <v>45023</v>
      </c>
      <c r="L1558" s="5">
        <f t="shared" si="437"/>
        <v>4</v>
      </c>
      <c r="M1558" s="5">
        <f t="shared" si="438"/>
        <v>2023</v>
      </c>
      <c r="N1558" s="6">
        <v>625</v>
      </c>
      <c r="O1558" s="6">
        <f t="shared" si="441"/>
        <v>-625</v>
      </c>
      <c r="P1558" s="6">
        <f t="shared" si="434"/>
        <v>0</v>
      </c>
      <c r="Q1558" s="7">
        <f t="shared" si="442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31"/>
        <v>4</v>
      </c>
      <c r="C1559" s="5">
        <f t="shared" si="432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13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36"/>
        <v>45023</v>
      </c>
      <c r="L1559" s="5">
        <f t="shared" si="437"/>
        <v>4</v>
      </c>
      <c r="M1559" s="5">
        <f t="shared" si="438"/>
        <v>2023</v>
      </c>
      <c r="N1559" s="6">
        <v>17820</v>
      </c>
      <c r="O1559" s="6">
        <f>-1389.4-7000-9430.6</f>
        <v>-17820</v>
      </c>
      <c r="P1559" s="6">
        <f t="shared" si="434"/>
        <v>0</v>
      </c>
      <c r="Q1559" s="7">
        <f t="shared" si="442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31"/>
        <v>4</v>
      </c>
      <c r="C1560" s="5">
        <f t="shared" si="432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13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36"/>
        <v>45023</v>
      </c>
      <c r="L1560" s="5">
        <f t="shared" si="437"/>
        <v>4</v>
      </c>
      <c r="M1560" s="5">
        <f t="shared" si="438"/>
        <v>2023</v>
      </c>
      <c r="N1560" s="6">
        <v>6840</v>
      </c>
      <c r="O1560" s="6">
        <f t="shared" ref="O1560" si="443">-N1560</f>
        <v>-6840</v>
      </c>
      <c r="P1560" s="6">
        <f t="shared" si="434"/>
        <v>0</v>
      </c>
      <c r="Q1560" s="7">
        <f t="shared" si="442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31"/>
        <v>4</v>
      </c>
      <c r="C1561" s="5">
        <f t="shared" si="432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13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36"/>
        <v>45023</v>
      </c>
      <c r="L1561" s="5">
        <f t="shared" si="437"/>
        <v>4</v>
      </c>
      <c r="M1561" s="5">
        <f t="shared" si="438"/>
        <v>2023</v>
      </c>
      <c r="N1561" s="6">
        <v>3780</v>
      </c>
      <c r="O1561" s="6">
        <f>-729.4-3050.6</f>
        <v>-3780</v>
      </c>
      <c r="P1561" s="6">
        <f t="shared" si="434"/>
        <v>0</v>
      </c>
      <c r="Q1561" s="7">
        <f t="shared" si="442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31"/>
        <v>4</v>
      </c>
      <c r="C1562" s="5">
        <f t="shared" si="432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13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36"/>
        <v>45023</v>
      </c>
      <c r="L1562" s="5">
        <f t="shared" si="437"/>
        <v>4</v>
      </c>
      <c r="M1562" s="5">
        <f t="shared" si="438"/>
        <v>2023</v>
      </c>
      <c r="N1562" s="6">
        <v>380</v>
      </c>
      <c r="O1562" s="6">
        <f t="shared" ref="O1562:O1563" si="444">-N1562</f>
        <v>-380</v>
      </c>
      <c r="P1562" s="6">
        <f t="shared" si="434"/>
        <v>0</v>
      </c>
      <c r="Q1562" s="7">
        <f t="shared" si="442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31"/>
        <v>4</v>
      </c>
      <c r="C1563" s="5">
        <f t="shared" si="432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13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36"/>
        <v>45023</v>
      </c>
      <c r="L1563" s="5">
        <f t="shared" si="437"/>
        <v>4</v>
      </c>
      <c r="M1563" s="5">
        <f t="shared" si="438"/>
        <v>2023</v>
      </c>
      <c r="N1563" s="6">
        <v>1000</v>
      </c>
      <c r="O1563" s="6">
        <f t="shared" si="444"/>
        <v>-1000</v>
      </c>
      <c r="P1563" s="6">
        <f t="shared" si="434"/>
        <v>0</v>
      </c>
      <c r="Q1563" s="7">
        <f t="shared" si="442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31"/>
        <v>4</v>
      </c>
      <c r="C1564" s="5">
        <f t="shared" si="432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13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36"/>
        <v>45082</v>
      </c>
      <c r="L1564" s="5">
        <f t="shared" si="437"/>
        <v>6</v>
      </c>
      <c r="M1564" s="5">
        <f t="shared" si="438"/>
        <v>2023</v>
      </c>
      <c r="N1564" s="6">
        <v>220</v>
      </c>
      <c r="O1564" s="6">
        <f t="shared" ref="O1564" si="445">-N1564</f>
        <v>-220</v>
      </c>
      <c r="P1564" s="6">
        <f t="shared" si="434"/>
        <v>0</v>
      </c>
      <c r="Q1564" s="7">
        <f t="shared" si="442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31"/>
        <v>4</v>
      </c>
      <c r="C1565" s="5">
        <f t="shared" si="432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13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36"/>
        <v>45023</v>
      </c>
      <c r="L1565" s="5">
        <f t="shared" si="437"/>
        <v>4</v>
      </c>
      <c r="M1565" s="5">
        <f t="shared" si="438"/>
        <v>2023</v>
      </c>
      <c r="N1565" s="6">
        <v>3608</v>
      </c>
      <c r="O1565" s="6">
        <f>-151.8-1000-1000-1000-456.2</f>
        <v>-3608</v>
      </c>
      <c r="P1565" s="6">
        <f t="shared" si="434"/>
        <v>0</v>
      </c>
      <c r="Q1565" s="7">
        <f t="shared" si="442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31"/>
        <v>4</v>
      </c>
      <c r="C1566" s="5">
        <f t="shared" si="432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13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36"/>
        <v>45023</v>
      </c>
      <c r="L1566" s="5">
        <f t="shared" si="437"/>
        <v>4</v>
      </c>
      <c r="M1566" s="5">
        <f t="shared" si="438"/>
        <v>2023</v>
      </c>
      <c r="N1566" s="6">
        <v>842.4</v>
      </c>
      <c r="O1566" s="6">
        <f t="shared" ref="O1566:O1571" si="446">-N1566</f>
        <v>-842.4</v>
      </c>
      <c r="P1566" s="6">
        <f t="shared" si="434"/>
        <v>0</v>
      </c>
      <c r="Q1566" s="7">
        <f t="shared" si="442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31"/>
        <v>4</v>
      </c>
      <c r="C1567" s="5">
        <f t="shared" si="432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13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36"/>
        <v>45023</v>
      </c>
      <c r="L1567" s="5">
        <f t="shared" si="437"/>
        <v>4</v>
      </c>
      <c r="M1567" s="5">
        <f t="shared" si="438"/>
        <v>2023</v>
      </c>
      <c r="N1567" s="6">
        <v>105</v>
      </c>
      <c r="O1567" s="6">
        <f t="shared" si="446"/>
        <v>-105</v>
      </c>
      <c r="P1567" s="6">
        <f t="shared" si="434"/>
        <v>0</v>
      </c>
      <c r="Q1567" s="7">
        <f t="shared" si="442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31"/>
        <v>4</v>
      </c>
      <c r="C1568" s="5">
        <f t="shared" si="432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13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36"/>
        <v>45023</v>
      </c>
      <c r="L1568" s="5">
        <f t="shared" si="437"/>
        <v>4</v>
      </c>
      <c r="M1568" s="5">
        <f t="shared" si="438"/>
        <v>2023</v>
      </c>
      <c r="N1568" s="6">
        <v>450</v>
      </c>
      <c r="O1568" s="6">
        <f t="shared" si="446"/>
        <v>-450</v>
      </c>
      <c r="P1568" s="6">
        <f t="shared" si="434"/>
        <v>0</v>
      </c>
      <c r="Q1568" s="7">
        <f t="shared" si="442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31"/>
        <v>4</v>
      </c>
      <c r="C1569" s="5">
        <f t="shared" si="432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13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36"/>
        <v>45023</v>
      </c>
      <c r="L1569" s="5">
        <f t="shared" si="437"/>
        <v>4</v>
      </c>
      <c r="M1569" s="5">
        <f t="shared" si="438"/>
        <v>2023</v>
      </c>
      <c r="N1569" s="6">
        <v>440</v>
      </c>
      <c r="O1569" s="6">
        <f t="shared" si="446"/>
        <v>-440</v>
      </c>
      <c r="P1569" s="6">
        <f t="shared" si="434"/>
        <v>0</v>
      </c>
      <c r="Q1569" s="7">
        <f t="shared" si="442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31"/>
        <v>4</v>
      </c>
      <c r="C1570" s="5">
        <f t="shared" si="432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13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36"/>
        <v>45023</v>
      </c>
      <c r="L1570" s="5">
        <f t="shared" si="437"/>
        <v>4</v>
      </c>
      <c r="M1570" s="5">
        <f t="shared" si="438"/>
        <v>2023</v>
      </c>
      <c r="N1570" s="6">
        <v>187.5</v>
      </c>
      <c r="O1570" s="6">
        <f t="shared" si="446"/>
        <v>-187.5</v>
      </c>
      <c r="P1570" s="6">
        <f t="shared" si="434"/>
        <v>0</v>
      </c>
      <c r="Q1570" s="7">
        <f t="shared" si="442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31"/>
        <v>4</v>
      </c>
      <c r="C1571" s="5">
        <f t="shared" si="432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13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36"/>
        <v>45024</v>
      </c>
      <c r="L1571" s="5">
        <f t="shared" si="437"/>
        <v>4</v>
      </c>
      <c r="M1571" s="5">
        <f t="shared" si="438"/>
        <v>2023</v>
      </c>
      <c r="N1571" s="6">
        <v>1892</v>
      </c>
      <c r="O1571" s="6">
        <f t="shared" si="446"/>
        <v>-1892</v>
      </c>
      <c r="P1571" s="6">
        <f t="shared" si="434"/>
        <v>0</v>
      </c>
      <c r="Q1571" s="7">
        <f t="shared" si="442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31"/>
        <v>4</v>
      </c>
      <c r="C1572" s="5">
        <f t="shared" si="432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13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36"/>
        <v>45024</v>
      </c>
      <c r="L1572" s="5">
        <f t="shared" si="437"/>
        <v>4</v>
      </c>
      <c r="M1572" s="5">
        <f t="shared" si="438"/>
        <v>2023</v>
      </c>
      <c r="N1572" s="6">
        <v>1870</v>
      </c>
      <c r="O1572" s="6">
        <f>-N1572</f>
        <v>-1870</v>
      </c>
      <c r="P1572" s="6">
        <f t="shared" si="434"/>
        <v>0</v>
      </c>
      <c r="Q1572" s="7">
        <f t="shared" si="442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31"/>
        <v>4</v>
      </c>
      <c r="C1573" s="5">
        <f t="shared" si="432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13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36"/>
        <v>45024</v>
      </c>
      <c r="L1573" s="5">
        <f t="shared" si="437"/>
        <v>4</v>
      </c>
      <c r="M1573" s="5">
        <f t="shared" si="438"/>
        <v>2023</v>
      </c>
      <c r="N1573" s="6">
        <v>234</v>
      </c>
      <c r="O1573" s="6">
        <f>-N1573</f>
        <v>-234</v>
      </c>
      <c r="P1573" s="6">
        <f t="shared" si="434"/>
        <v>0</v>
      </c>
      <c r="Q1573" s="7">
        <f t="shared" si="442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31"/>
        <v>4</v>
      </c>
      <c r="C1574" s="5">
        <f t="shared" si="432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13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36"/>
        <v>45026</v>
      </c>
      <c r="L1574" s="5">
        <f t="shared" si="437"/>
        <v>4</v>
      </c>
      <c r="M1574" s="5">
        <f t="shared" si="438"/>
        <v>2023</v>
      </c>
      <c r="N1574" s="6">
        <v>1755</v>
      </c>
      <c r="O1574" s="6">
        <f t="shared" ref="O1574:O1578" si="447">-N1574</f>
        <v>-1755</v>
      </c>
      <c r="P1574" s="6">
        <f t="shared" si="434"/>
        <v>0</v>
      </c>
      <c r="Q1574" s="7">
        <f t="shared" si="442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31"/>
        <v>4</v>
      </c>
      <c r="C1575" s="5">
        <f t="shared" si="432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13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36"/>
        <v>45026</v>
      </c>
      <c r="L1575" s="5">
        <f t="shared" si="437"/>
        <v>4</v>
      </c>
      <c r="M1575" s="5">
        <f t="shared" si="438"/>
        <v>2023</v>
      </c>
      <c r="N1575" s="6">
        <v>3696</v>
      </c>
      <c r="O1575" s="6">
        <f t="shared" si="447"/>
        <v>-3696</v>
      </c>
      <c r="P1575" s="6">
        <f t="shared" si="434"/>
        <v>0</v>
      </c>
      <c r="Q1575" s="7">
        <f t="shared" si="442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31"/>
        <v>4</v>
      </c>
      <c r="C1576" s="5">
        <f t="shared" si="432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13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36"/>
        <v>45026</v>
      </c>
      <c r="L1576" s="5">
        <f t="shared" si="437"/>
        <v>4</v>
      </c>
      <c r="M1576" s="5">
        <f t="shared" si="438"/>
        <v>2023</v>
      </c>
      <c r="N1576" s="6">
        <v>250</v>
      </c>
      <c r="O1576" s="6">
        <f t="shared" si="447"/>
        <v>-250</v>
      </c>
      <c r="P1576" s="6">
        <f t="shared" si="434"/>
        <v>0</v>
      </c>
      <c r="Q1576" s="7">
        <f t="shared" si="442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31"/>
        <v>4</v>
      </c>
      <c r="C1577" s="5">
        <f t="shared" si="432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13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36"/>
        <v>45026</v>
      </c>
      <c r="L1577" s="5">
        <f t="shared" si="437"/>
        <v>4</v>
      </c>
      <c r="M1577" s="5">
        <f t="shared" si="438"/>
        <v>2023</v>
      </c>
      <c r="N1577" s="6">
        <v>100</v>
      </c>
      <c r="O1577" s="6">
        <f t="shared" si="447"/>
        <v>-100</v>
      </c>
      <c r="P1577" s="6">
        <f t="shared" si="434"/>
        <v>0</v>
      </c>
      <c r="Q1577" s="7">
        <f t="shared" si="442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48">MONTH(A1578)</f>
        <v>4</v>
      </c>
      <c r="C1578" s="5">
        <f t="shared" ref="C1578:C1595" si="449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13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36"/>
        <v>45025</v>
      </c>
      <c r="L1578" s="5">
        <f t="shared" si="437"/>
        <v>4</v>
      </c>
      <c r="M1578" s="5">
        <f t="shared" si="438"/>
        <v>2023</v>
      </c>
      <c r="N1578" s="6">
        <v>1000</v>
      </c>
      <c r="O1578" s="6">
        <f t="shared" si="447"/>
        <v>-1000</v>
      </c>
      <c r="P1578" s="6">
        <f t="shared" ref="P1578:P1595" si="450">SUM(N1578+O1578)</f>
        <v>0</v>
      </c>
      <c r="Q1578" s="7">
        <f t="shared" si="442"/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48"/>
        <v>4</v>
      </c>
      <c r="C1579" s="5">
        <f t="shared" si="449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13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36"/>
        <v>45027</v>
      </c>
      <c r="L1579" s="5">
        <f t="shared" si="437"/>
        <v>4</v>
      </c>
      <c r="M1579" s="5">
        <f t="shared" si="438"/>
        <v>2023</v>
      </c>
      <c r="N1579" s="6">
        <v>267</v>
      </c>
      <c r="O1579" s="6">
        <f t="shared" ref="O1579:O1585" si="451">-N1579</f>
        <v>-267</v>
      </c>
      <c r="P1579" s="6">
        <f t="shared" si="450"/>
        <v>0</v>
      </c>
      <c r="Q1579" s="7">
        <f t="shared" si="442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48"/>
        <v>4</v>
      </c>
      <c r="C1580" s="5">
        <f t="shared" si="449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13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36"/>
        <v>45027</v>
      </c>
      <c r="L1580" s="5">
        <f t="shared" si="437"/>
        <v>4</v>
      </c>
      <c r="M1580" s="5">
        <f t="shared" si="438"/>
        <v>2023</v>
      </c>
      <c r="N1580" s="6">
        <v>258</v>
      </c>
      <c r="O1580" s="6">
        <f t="shared" si="451"/>
        <v>-258</v>
      </c>
      <c r="P1580" s="6">
        <f t="shared" si="450"/>
        <v>0</v>
      </c>
      <c r="Q1580" s="7">
        <f t="shared" si="442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48"/>
        <v>4</v>
      </c>
      <c r="C1581" s="5">
        <f t="shared" si="449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13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36"/>
        <v>45027</v>
      </c>
      <c r="L1581" s="5">
        <f t="shared" si="437"/>
        <v>4</v>
      </c>
      <c r="M1581" s="5">
        <f t="shared" si="438"/>
        <v>2023</v>
      </c>
      <c r="N1581" s="6">
        <v>95</v>
      </c>
      <c r="O1581" s="6">
        <f t="shared" si="451"/>
        <v>-95</v>
      </c>
      <c r="P1581" s="6">
        <f t="shared" si="450"/>
        <v>0</v>
      </c>
      <c r="Q1581" s="7">
        <f t="shared" si="442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48"/>
        <v>4</v>
      </c>
      <c r="C1582" s="5">
        <f t="shared" si="449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13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36"/>
        <v>45027</v>
      </c>
      <c r="L1582" s="5">
        <f t="shared" si="437"/>
        <v>4</v>
      </c>
      <c r="M1582" s="5">
        <f t="shared" si="438"/>
        <v>2023</v>
      </c>
      <c r="N1582" s="6">
        <v>50</v>
      </c>
      <c r="O1582" s="6">
        <f t="shared" si="451"/>
        <v>-50</v>
      </c>
      <c r="P1582" s="6">
        <f t="shared" si="450"/>
        <v>0</v>
      </c>
      <c r="Q1582" s="7">
        <f t="shared" si="442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48"/>
        <v>4</v>
      </c>
      <c r="C1583" s="5">
        <f t="shared" si="449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13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36"/>
        <v>45028</v>
      </c>
      <c r="L1583" s="5">
        <f t="shared" si="437"/>
        <v>4</v>
      </c>
      <c r="M1583" s="5">
        <f t="shared" si="438"/>
        <v>2023</v>
      </c>
      <c r="N1583" s="6">
        <v>1870</v>
      </c>
      <c r="O1583" s="6">
        <f t="shared" si="451"/>
        <v>-1870</v>
      </c>
      <c r="P1583" s="6">
        <f t="shared" si="450"/>
        <v>0</v>
      </c>
      <c r="Q1583" s="7">
        <f t="shared" si="442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48"/>
        <v>4</v>
      </c>
      <c r="C1584" s="5">
        <f t="shared" si="449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13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36"/>
        <v>45028</v>
      </c>
      <c r="L1584" s="5">
        <f t="shared" si="437"/>
        <v>4</v>
      </c>
      <c r="M1584" s="5">
        <f t="shared" si="438"/>
        <v>2023</v>
      </c>
      <c r="N1584" s="6">
        <v>765</v>
      </c>
      <c r="O1584" s="6">
        <f t="shared" si="451"/>
        <v>-765</v>
      </c>
      <c r="P1584" s="6">
        <f t="shared" si="450"/>
        <v>0</v>
      </c>
      <c r="Q1584" s="7">
        <f t="shared" si="442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48"/>
        <v>4</v>
      </c>
      <c r="C1585" s="5">
        <f t="shared" si="449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13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36"/>
        <v>45028</v>
      </c>
      <c r="L1585" s="5">
        <f t="shared" si="437"/>
        <v>4</v>
      </c>
      <c r="M1585" s="5">
        <f t="shared" si="438"/>
        <v>2023</v>
      </c>
      <c r="N1585" s="6">
        <v>312.5</v>
      </c>
      <c r="O1585" s="6">
        <f t="shared" si="451"/>
        <v>-312.5</v>
      </c>
      <c r="P1585" s="6">
        <f t="shared" si="450"/>
        <v>0</v>
      </c>
      <c r="Q1585" s="7">
        <f t="shared" si="442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48"/>
        <v>4</v>
      </c>
      <c r="C1586" s="5">
        <f t="shared" si="449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13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36"/>
        <v>45059</v>
      </c>
      <c r="L1586" s="5">
        <f t="shared" si="437"/>
        <v>5</v>
      </c>
      <c r="M1586" s="5">
        <f t="shared" si="438"/>
        <v>2023</v>
      </c>
      <c r="N1586" s="6">
        <v>3696</v>
      </c>
      <c r="O1586" s="6">
        <f t="shared" ref="O1586:O1587" si="452">-N1586</f>
        <v>-3696</v>
      </c>
      <c r="P1586" s="6">
        <f t="shared" si="450"/>
        <v>0</v>
      </c>
      <c r="Q1586" s="7">
        <f t="shared" si="442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48"/>
        <v>4</v>
      </c>
      <c r="C1587" s="5">
        <f t="shared" si="449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13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36"/>
        <v>45059</v>
      </c>
      <c r="L1587" s="5">
        <f t="shared" si="437"/>
        <v>5</v>
      </c>
      <c r="M1587" s="5">
        <f t="shared" si="438"/>
        <v>2023</v>
      </c>
      <c r="N1587" s="6">
        <v>1263.5999999999999</v>
      </c>
      <c r="O1587" s="6">
        <f t="shared" si="452"/>
        <v>-1263.5999999999999</v>
      </c>
      <c r="P1587" s="6">
        <f t="shared" si="450"/>
        <v>0</v>
      </c>
      <c r="Q1587" s="7">
        <f t="shared" si="442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48"/>
        <v>4</v>
      </c>
      <c r="C1588" s="5">
        <f t="shared" si="449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13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36"/>
        <v>45030</v>
      </c>
      <c r="L1588" s="5">
        <f t="shared" si="437"/>
        <v>4</v>
      </c>
      <c r="M1588" s="5">
        <f t="shared" si="438"/>
        <v>2023</v>
      </c>
      <c r="N1588" s="6">
        <v>1892</v>
      </c>
      <c r="O1588" s="6">
        <f>-1642.8-249.2</f>
        <v>-1892</v>
      </c>
      <c r="P1588" s="6">
        <f t="shared" si="450"/>
        <v>0</v>
      </c>
      <c r="Q1588" s="7">
        <f t="shared" si="442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48"/>
        <v>4</v>
      </c>
      <c r="C1589" s="5">
        <f t="shared" si="449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13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36"/>
        <v>45030</v>
      </c>
      <c r="L1589" s="5">
        <f t="shared" si="437"/>
        <v>4</v>
      </c>
      <c r="M1589" s="5">
        <f t="shared" si="438"/>
        <v>2023</v>
      </c>
      <c r="N1589" s="6">
        <v>258</v>
      </c>
      <c r="O1589" s="6">
        <f t="shared" ref="O1589:O1591" si="453">-N1589</f>
        <v>-258</v>
      </c>
      <c r="P1589" s="6">
        <f t="shared" si="450"/>
        <v>0</v>
      </c>
      <c r="Q1589" s="7">
        <f t="shared" si="442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48"/>
        <v>4</v>
      </c>
      <c r="C1590" s="5">
        <f t="shared" si="449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13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36"/>
        <v>45030</v>
      </c>
      <c r="L1590" s="5">
        <f t="shared" si="437"/>
        <v>4</v>
      </c>
      <c r="M1590" s="5">
        <f t="shared" si="438"/>
        <v>2023</v>
      </c>
      <c r="N1590" s="6">
        <v>110</v>
      </c>
      <c r="O1590" s="6">
        <f t="shared" si="453"/>
        <v>-110</v>
      </c>
      <c r="P1590" s="6">
        <f t="shared" si="450"/>
        <v>0</v>
      </c>
      <c r="Q1590" s="7">
        <f t="shared" si="442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48"/>
        <v>4</v>
      </c>
      <c r="C1591" s="5">
        <f t="shared" si="449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13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36"/>
        <v>45031</v>
      </c>
      <c r="L1591" s="5">
        <f t="shared" si="437"/>
        <v>4</v>
      </c>
      <c r="M1591" s="5">
        <f t="shared" si="438"/>
        <v>2023</v>
      </c>
      <c r="N1591" s="6">
        <v>312.5</v>
      </c>
      <c r="O1591" s="6">
        <f t="shared" si="453"/>
        <v>-312.5</v>
      </c>
      <c r="P1591" s="6">
        <f t="shared" si="450"/>
        <v>0</v>
      </c>
      <c r="Q1591" s="7">
        <f t="shared" si="442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48"/>
        <v>4</v>
      </c>
      <c r="C1592" s="5">
        <f t="shared" si="449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13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36"/>
        <v>45031</v>
      </c>
      <c r="L1592" s="5">
        <f t="shared" si="437"/>
        <v>4</v>
      </c>
      <c r="M1592" s="5">
        <f t="shared" si="438"/>
        <v>2023</v>
      </c>
      <c r="N1592" s="6">
        <v>8910</v>
      </c>
      <c r="O1592" s="6">
        <f>-5756.9-3153.1</f>
        <v>-8910</v>
      </c>
      <c r="P1592" s="6">
        <f t="shared" si="450"/>
        <v>0</v>
      </c>
      <c r="Q1592" s="7">
        <f t="shared" si="442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48"/>
        <v>4</v>
      </c>
      <c r="C1593" s="5">
        <f t="shared" si="449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13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36"/>
        <v>45031</v>
      </c>
      <c r="L1593" s="5">
        <f t="shared" si="437"/>
        <v>4</v>
      </c>
      <c r="M1593" s="5">
        <f t="shared" si="438"/>
        <v>2023</v>
      </c>
      <c r="N1593" s="6">
        <v>3420</v>
      </c>
      <c r="O1593" s="6">
        <f t="shared" ref="O1593:O1595" si="454">-N1593</f>
        <v>-3420</v>
      </c>
      <c r="P1593" s="6">
        <f t="shared" si="450"/>
        <v>0</v>
      </c>
      <c r="Q1593" s="7">
        <f t="shared" si="442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48"/>
        <v>4</v>
      </c>
      <c r="C1594" s="5">
        <f t="shared" si="449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13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36"/>
        <v>45031</v>
      </c>
      <c r="L1594" s="5">
        <f t="shared" si="437"/>
        <v>4</v>
      </c>
      <c r="M1594" s="5">
        <f t="shared" si="438"/>
        <v>2023</v>
      </c>
      <c r="N1594" s="6">
        <v>1852.2000000000003</v>
      </c>
      <c r="O1594" s="6">
        <f t="shared" si="454"/>
        <v>-1852.2000000000003</v>
      </c>
      <c r="P1594" s="6">
        <f t="shared" si="450"/>
        <v>0</v>
      </c>
      <c r="Q1594" s="7">
        <f t="shared" si="442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48"/>
        <v>4</v>
      </c>
      <c r="C1595" s="5">
        <f t="shared" si="449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13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36"/>
        <v>45031</v>
      </c>
      <c r="L1595" s="5">
        <f t="shared" si="437"/>
        <v>4</v>
      </c>
      <c r="M1595" s="5">
        <f t="shared" si="438"/>
        <v>2023</v>
      </c>
      <c r="N1595" s="6">
        <v>1000</v>
      </c>
      <c r="O1595" s="6">
        <f t="shared" si="454"/>
        <v>-1000</v>
      </c>
      <c r="P1595" s="6">
        <f t="shared" si="450"/>
        <v>0</v>
      </c>
      <c r="Q1595" s="7">
        <f t="shared" si="442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55">MONTH(A1596)</f>
        <v>4</v>
      </c>
      <c r="C1596" s="5">
        <f t="shared" ref="C1596:C1619" si="456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13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36"/>
        <v>45034</v>
      </c>
      <c r="L1596" s="5">
        <f t="shared" si="437"/>
        <v>4</v>
      </c>
      <c r="M1596" s="5">
        <f t="shared" si="438"/>
        <v>2023</v>
      </c>
      <c r="N1596" s="6">
        <v>1870</v>
      </c>
      <c r="O1596" s="6">
        <f t="shared" ref="O1596:O1599" si="457">-N1596</f>
        <v>-1870</v>
      </c>
      <c r="P1596" s="6">
        <f t="shared" ref="P1596:P1620" si="458">SUM(N1596+O1596)</f>
        <v>0</v>
      </c>
      <c r="Q1596" s="7">
        <f t="shared" si="442"/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55"/>
        <v>4</v>
      </c>
      <c r="C1597" s="5">
        <f t="shared" si="456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13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36"/>
        <v>45034</v>
      </c>
      <c r="L1597" s="5">
        <f t="shared" si="437"/>
        <v>4</v>
      </c>
      <c r="M1597" s="5">
        <f t="shared" si="438"/>
        <v>2023</v>
      </c>
      <c r="N1597" s="6">
        <v>765</v>
      </c>
      <c r="O1597" s="6">
        <f t="shared" si="457"/>
        <v>-765</v>
      </c>
      <c r="P1597" s="6">
        <f t="shared" si="458"/>
        <v>0</v>
      </c>
      <c r="Q1597" s="7">
        <f t="shared" si="442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55"/>
        <v>4</v>
      </c>
      <c r="C1598" s="5">
        <f t="shared" si="456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13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36"/>
        <v>45034</v>
      </c>
      <c r="L1598" s="5">
        <f t="shared" si="437"/>
        <v>4</v>
      </c>
      <c r="M1598" s="5">
        <f t="shared" si="438"/>
        <v>2023</v>
      </c>
      <c r="N1598" s="6">
        <v>312.5</v>
      </c>
      <c r="O1598" s="6">
        <f t="shared" si="457"/>
        <v>-312.5</v>
      </c>
      <c r="P1598" s="6">
        <f t="shared" si="458"/>
        <v>0</v>
      </c>
      <c r="Q1598" s="7">
        <f t="shared" si="442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55"/>
        <v>4</v>
      </c>
      <c r="C1599" s="5">
        <f t="shared" si="456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13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36"/>
        <v>45034</v>
      </c>
      <c r="L1599" s="5">
        <f t="shared" si="437"/>
        <v>4</v>
      </c>
      <c r="M1599" s="5">
        <f t="shared" si="438"/>
        <v>2023</v>
      </c>
      <c r="N1599" s="6">
        <v>190</v>
      </c>
      <c r="O1599" s="6">
        <f t="shared" si="457"/>
        <v>-190</v>
      </c>
      <c r="P1599" s="6">
        <f t="shared" si="458"/>
        <v>0</v>
      </c>
      <c r="Q1599" s="7">
        <f t="shared" si="442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55"/>
        <v>4</v>
      </c>
      <c r="C1600" s="5">
        <f t="shared" si="456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13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36"/>
        <v>45095</v>
      </c>
      <c r="L1600" s="5">
        <f t="shared" si="437"/>
        <v>6</v>
      </c>
      <c r="M1600" s="5">
        <f t="shared" si="438"/>
        <v>2023</v>
      </c>
      <c r="N1600" s="6">
        <v>3388</v>
      </c>
      <c r="O1600" s="6">
        <f t="shared" ref="O1600:O1602" si="459">-N1600</f>
        <v>-3388</v>
      </c>
      <c r="P1600" s="6">
        <f t="shared" si="458"/>
        <v>0</v>
      </c>
      <c r="Q1600" s="7">
        <f t="shared" si="442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55"/>
        <v>4</v>
      </c>
      <c r="C1601" s="5">
        <f t="shared" si="456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13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36"/>
        <v>45095</v>
      </c>
      <c r="L1601" s="5">
        <f t="shared" si="437"/>
        <v>6</v>
      </c>
      <c r="M1601" s="5">
        <f t="shared" si="438"/>
        <v>2023</v>
      </c>
      <c r="N1601" s="6">
        <v>745.2</v>
      </c>
      <c r="O1601" s="6">
        <f t="shared" si="459"/>
        <v>-745.2</v>
      </c>
      <c r="P1601" s="6">
        <f t="shared" si="458"/>
        <v>0</v>
      </c>
      <c r="Q1601" s="7">
        <f t="shared" si="442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55"/>
        <v>4</v>
      </c>
      <c r="C1602" s="5">
        <f t="shared" si="456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13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36"/>
        <v>45095</v>
      </c>
      <c r="L1602" s="5">
        <f t="shared" si="437"/>
        <v>6</v>
      </c>
      <c r="M1602" s="5">
        <f t="shared" si="438"/>
        <v>2023</v>
      </c>
      <c r="N1602" s="6">
        <v>745.2</v>
      </c>
      <c r="O1602" s="6">
        <f t="shared" si="459"/>
        <v>-745.2</v>
      </c>
      <c r="P1602" s="6">
        <f t="shared" si="458"/>
        <v>0</v>
      </c>
      <c r="Q1602" s="7">
        <f t="shared" si="442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55"/>
        <v>4</v>
      </c>
      <c r="C1603" s="5">
        <f t="shared" si="456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13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60">A1603+J1603</f>
        <v>45036</v>
      </c>
      <c r="L1603" s="5">
        <f t="shared" ref="L1603:L1666" si="461">MONTH(K1603)</f>
        <v>4</v>
      </c>
      <c r="M1603" s="5">
        <f t="shared" ref="M1603:M1666" si="462">YEAR(K1603)</f>
        <v>2023</v>
      </c>
      <c r="N1603" s="6">
        <v>5478</v>
      </c>
      <c r="O1603" s="6">
        <f t="shared" ref="O1603:O1612" si="463">-N1603</f>
        <v>-5478</v>
      </c>
      <c r="P1603" s="6">
        <f t="shared" si="458"/>
        <v>0</v>
      </c>
      <c r="Q1603" s="7">
        <f t="shared" si="442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55"/>
        <v>4</v>
      </c>
      <c r="C1604" s="5">
        <f t="shared" si="456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13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60"/>
        <v>45036</v>
      </c>
      <c r="L1604" s="5">
        <f t="shared" si="461"/>
        <v>4</v>
      </c>
      <c r="M1604" s="5">
        <f t="shared" si="462"/>
        <v>2023</v>
      </c>
      <c r="N1604" s="6">
        <v>2133</v>
      </c>
      <c r="O1604" s="6">
        <f t="shared" si="463"/>
        <v>-2133</v>
      </c>
      <c r="P1604" s="6">
        <f t="shared" si="458"/>
        <v>0</v>
      </c>
      <c r="Q1604" s="7">
        <f t="shared" si="442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55"/>
        <v>4</v>
      </c>
      <c r="C1605" s="5">
        <f t="shared" si="456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13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60"/>
        <v>45036</v>
      </c>
      <c r="L1605" s="5">
        <f t="shared" si="461"/>
        <v>4</v>
      </c>
      <c r="M1605" s="5">
        <f t="shared" si="462"/>
        <v>2023</v>
      </c>
      <c r="N1605" s="6">
        <v>1279.8000000000002</v>
      </c>
      <c r="O1605" s="6">
        <f t="shared" si="463"/>
        <v>-1279.8000000000002</v>
      </c>
      <c r="P1605" s="6">
        <f t="shared" si="458"/>
        <v>0</v>
      </c>
      <c r="Q1605" s="7">
        <f t="shared" si="442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55"/>
        <v>4</v>
      </c>
      <c r="C1606" s="5">
        <f t="shared" si="456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13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60"/>
        <v>45036</v>
      </c>
      <c r="L1606" s="5">
        <f t="shared" si="461"/>
        <v>4</v>
      </c>
      <c r="M1606" s="5">
        <f t="shared" si="462"/>
        <v>2023</v>
      </c>
      <c r="N1606" s="6">
        <v>1290</v>
      </c>
      <c r="O1606" s="6">
        <f t="shared" si="463"/>
        <v>-1290</v>
      </c>
      <c r="P1606" s="6">
        <f t="shared" si="458"/>
        <v>0</v>
      </c>
      <c r="Q1606" s="7">
        <f t="shared" si="442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55"/>
        <v>4</v>
      </c>
      <c r="C1607" s="5">
        <f t="shared" si="456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13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60"/>
        <v>45036</v>
      </c>
      <c r="L1607" s="5">
        <f t="shared" si="461"/>
        <v>4</v>
      </c>
      <c r="M1607" s="5">
        <f t="shared" si="462"/>
        <v>2023</v>
      </c>
      <c r="N1607" s="6">
        <v>600</v>
      </c>
      <c r="O1607" s="6">
        <f t="shared" si="463"/>
        <v>-600</v>
      </c>
      <c r="P1607" s="6">
        <f t="shared" si="458"/>
        <v>0</v>
      </c>
      <c r="Q1607" s="7">
        <f t="shared" si="442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55"/>
        <v>4</v>
      </c>
      <c r="C1608" s="5">
        <f t="shared" si="456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13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60"/>
        <v>45036</v>
      </c>
      <c r="L1608" s="5">
        <f t="shared" si="461"/>
        <v>4</v>
      </c>
      <c r="M1608" s="5">
        <f t="shared" si="462"/>
        <v>2023</v>
      </c>
      <c r="N1608" s="6">
        <v>800</v>
      </c>
      <c r="O1608" s="6">
        <f t="shared" si="463"/>
        <v>-800</v>
      </c>
      <c r="P1608" s="6">
        <f t="shared" si="458"/>
        <v>0</v>
      </c>
      <c r="Q1608" s="7">
        <f t="shared" si="442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55"/>
        <v>4</v>
      </c>
      <c r="C1609" s="5">
        <f t="shared" si="456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13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60"/>
        <v>45036</v>
      </c>
      <c r="L1609" s="5">
        <f t="shared" si="461"/>
        <v>4</v>
      </c>
      <c r="M1609" s="5">
        <f t="shared" si="462"/>
        <v>2023</v>
      </c>
      <c r="N1609" s="6">
        <v>860</v>
      </c>
      <c r="O1609" s="6">
        <f t="shared" si="463"/>
        <v>-860</v>
      </c>
      <c r="P1609" s="6">
        <f t="shared" si="458"/>
        <v>0</v>
      </c>
      <c r="Q1609" s="7">
        <f t="shared" si="442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55"/>
        <v>4</v>
      </c>
      <c r="C1610" s="5">
        <f t="shared" si="456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13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60"/>
        <v>45036</v>
      </c>
      <c r="L1610" s="5">
        <f t="shared" si="461"/>
        <v>4</v>
      </c>
      <c r="M1610" s="5">
        <f t="shared" si="462"/>
        <v>2023</v>
      </c>
      <c r="N1610" s="6">
        <v>440</v>
      </c>
      <c r="O1610" s="6">
        <f t="shared" si="463"/>
        <v>-440</v>
      </c>
      <c r="P1610" s="6">
        <f t="shared" si="458"/>
        <v>0</v>
      </c>
      <c r="Q1610" s="7">
        <f t="shared" si="442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55"/>
        <v>4</v>
      </c>
      <c r="C1611" s="5">
        <f t="shared" si="456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13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60"/>
        <v>45036</v>
      </c>
      <c r="L1611" s="5">
        <f t="shared" si="461"/>
        <v>4</v>
      </c>
      <c r="M1611" s="5">
        <f t="shared" si="462"/>
        <v>2023</v>
      </c>
      <c r="N1611" s="6">
        <v>180</v>
      </c>
      <c r="O1611" s="6">
        <f t="shared" si="463"/>
        <v>-180</v>
      </c>
      <c r="P1611" s="6">
        <f t="shared" si="458"/>
        <v>0</v>
      </c>
      <c r="Q1611" s="7">
        <f t="shared" si="442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55"/>
        <v>4</v>
      </c>
      <c r="C1612" s="5">
        <f t="shared" si="456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13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60"/>
        <v>45036</v>
      </c>
      <c r="L1612" s="5">
        <f t="shared" si="461"/>
        <v>4</v>
      </c>
      <c r="M1612" s="5">
        <f t="shared" si="462"/>
        <v>2023</v>
      </c>
      <c r="N1612" s="6">
        <v>110.4</v>
      </c>
      <c r="O1612" s="6">
        <f t="shared" si="463"/>
        <v>-110.4</v>
      </c>
      <c r="P1612" s="6">
        <f t="shared" si="458"/>
        <v>0</v>
      </c>
      <c r="Q1612" s="7">
        <f t="shared" si="442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55"/>
        <v>4</v>
      </c>
      <c r="C1613" s="5">
        <f t="shared" si="456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13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60"/>
        <v>45036</v>
      </c>
      <c r="L1613" s="5">
        <f t="shared" si="461"/>
        <v>4</v>
      </c>
      <c r="M1613" s="5">
        <f t="shared" si="462"/>
        <v>2023</v>
      </c>
      <c r="N1613" s="6">
        <v>1108.4000000000001</v>
      </c>
      <c r="O1613" s="6">
        <f>-828.8-279.6</f>
        <v>-1108.4000000000001</v>
      </c>
      <c r="P1613" s="6">
        <f t="shared" si="458"/>
        <v>0</v>
      </c>
      <c r="Q1613" s="7">
        <f t="shared" si="442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55"/>
        <v>4</v>
      </c>
      <c r="C1614" s="5">
        <f t="shared" si="456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13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60"/>
        <v>45042</v>
      </c>
      <c r="L1614" s="5">
        <f t="shared" si="461"/>
        <v>4</v>
      </c>
      <c r="M1614" s="5">
        <f t="shared" si="462"/>
        <v>2023</v>
      </c>
      <c r="N1614" s="6">
        <v>3608</v>
      </c>
      <c r="O1614" s="6">
        <f t="shared" ref="O1614:O1622" si="464">-N1614</f>
        <v>-3608</v>
      </c>
      <c r="P1614" s="6">
        <f t="shared" si="458"/>
        <v>0</v>
      </c>
      <c r="Q1614" s="7">
        <f t="shared" si="442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55"/>
        <v>4</v>
      </c>
      <c r="C1615" s="5">
        <f t="shared" si="456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13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60"/>
        <v>45042</v>
      </c>
      <c r="L1615" s="5">
        <f t="shared" si="461"/>
        <v>4</v>
      </c>
      <c r="M1615" s="5">
        <f t="shared" si="462"/>
        <v>2023</v>
      </c>
      <c r="N1615" s="6">
        <v>1896</v>
      </c>
      <c r="O1615" s="6">
        <f t="shared" si="464"/>
        <v>-1896</v>
      </c>
      <c r="P1615" s="6">
        <f t="shared" si="458"/>
        <v>0</v>
      </c>
      <c r="Q1615" s="7">
        <f t="shared" si="442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55"/>
        <v>4</v>
      </c>
      <c r="C1616" s="5">
        <f t="shared" si="456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13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60"/>
        <v>45042</v>
      </c>
      <c r="L1616" s="5">
        <f t="shared" si="461"/>
        <v>4</v>
      </c>
      <c r="M1616" s="5">
        <f t="shared" si="462"/>
        <v>2023</v>
      </c>
      <c r="N1616" s="6">
        <v>320</v>
      </c>
      <c r="O1616" s="6">
        <f t="shared" si="464"/>
        <v>-320</v>
      </c>
      <c r="P1616" s="6">
        <f t="shared" si="458"/>
        <v>0</v>
      </c>
      <c r="Q1616" s="7">
        <f t="shared" si="442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55"/>
        <v>4</v>
      </c>
      <c r="C1617" s="5">
        <f t="shared" si="456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13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60"/>
        <v>45042</v>
      </c>
      <c r="L1617" s="5">
        <f t="shared" si="461"/>
        <v>4</v>
      </c>
      <c r="M1617" s="5">
        <f t="shared" si="462"/>
        <v>2023</v>
      </c>
      <c r="N1617" s="6">
        <v>62.5</v>
      </c>
      <c r="O1617" s="6">
        <f t="shared" si="464"/>
        <v>-62.5</v>
      </c>
      <c r="P1617" s="6">
        <f t="shared" si="458"/>
        <v>0</v>
      </c>
      <c r="Q1617" s="7">
        <f t="shared" si="442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55"/>
        <v>4</v>
      </c>
      <c r="C1618" s="5">
        <f t="shared" si="456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13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60"/>
        <v>45042</v>
      </c>
      <c r="L1618" s="5">
        <f t="shared" si="461"/>
        <v>4</v>
      </c>
      <c r="M1618" s="5">
        <f t="shared" si="462"/>
        <v>2023</v>
      </c>
      <c r="N1618" s="6">
        <v>516</v>
      </c>
      <c r="O1618" s="6">
        <f t="shared" si="464"/>
        <v>-516</v>
      </c>
      <c r="P1618" s="6">
        <f t="shared" si="458"/>
        <v>0</v>
      </c>
      <c r="Q1618" s="7">
        <f t="shared" ref="Q1618:Q1681" si="465">SUM(Q1617+N1618)</f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55"/>
        <v>4</v>
      </c>
      <c r="C1619" s="5">
        <f t="shared" si="456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13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60"/>
        <v>45042</v>
      </c>
      <c r="L1619" s="5">
        <f t="shared" si="461"/>
        <v>4</v>
      </c>
      <c r="M1619" s="5">
        <f t="shared" si="462"/>
        <v>2023</v>
      </c>
      <c r="N1619" s="6">
        <v>190</v>
      </c>
      <c r="O1619" s="6">
        <f t="shared" si="464"/>
        <v>-190</v>
      </c>
      <c r="P1619" s="6">
        <f t="shared" si="458"/>
        <v>0</v>
      </c>
      <c r="Q1619" s="7">
        <f t="shared" si="465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66">MONTH(A1620)</f>
        <v>4</v>
      </c>
      <c r="C1620" s="5">
        <f t="shared" ref="C1620:C1633" si="467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13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60"/>
        <v>45042</v>
      </c>
      <c r="L1620" s="5">
        <f t="shared" si="461"/>
        <v>4</v>
      </c>
      <c r="M1620" s="5">
        <f t="shared" si="462"/>
        <v>2023</v>
      </c>
      <c r="N1620" s="6">
        <v>200</v>
      </c>
      <c r="O1620" s="6">
        <f t="shared" si="464"/>
        <v>-200</v>
      </c>
      <c r="P1620" s="6">
        <f t="shared" si="458"/>
        <v>0</v>
      </c>
      <c r="Q1620" s="7">
        <f t="shared" si="465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66"/>
        <v>4</v>
      </c>
      <c r="C1621" s="5">
        <f t="shared" si="467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13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60"/>
        <v>45042</v>
      </c>
      <c r="L1621" s="5">
        <f t="shared" si="461"/>
        <v>4</v>
      </c>
      <c r="M1621" s="5">
        <f t="shared" si="462"/>
        <v>2023</v>
      </c>
      <c r="N1621" s="6">
        <v>1804</v>
      </c>
      <c r="O1621" s="6">
        <f t="shared" si="464"/>
        <v>-1804</v>
      </c>
      <c r="P1621" s="6">
        <f t="shared" ref="P1621:P1684" si="468">SUM(N1621+O1621)</f>
        <v>0</v>
      </c>
      <c r="Q1621" s="7">
        <f t="shared" si="465"/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66"/>
        <v>4</v>
      </c>
      <c r="C1622" s="5">
        <f t="shared" si="467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13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60"/>
        <v>45042</v>
      </c>
      <c r="L1622" s="5">
        <f t="shared" si="461"/>
        <v>4</v>
      </c>
      <c r="M1622" s="5">
        <f t="shared" si="462"/>
        <v>2023</v>
      </c>
      <c r="N1622" s="6">
        <v>912</v>
      </c>
      <c r="O1622" s="6">
        <f t="shared" si="464"/>
        <v>-912</v>
      </c>
      <c r="P1622" s="6">
        <f t="shared" si="468"/>
        <v>0</v>
      </c>
      <c r="Q1622" s="7">
        <f t="shared" si="465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66"/>
        <v>4</v>
      </c>
      <c r="C1623" s="5">
        <f t="shared" si="467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13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60"/>
        <v>45043</v>
      </c>
      <c r="L1623" s="5">
        <f t="shared" si="461"/>
        <v>4</v>
      </c>
      <c r="M1623" s="5">
        <f t="shared" si="462"/>
        <v>2023</v>
      </c>
      <c r="N1623" s="6">
        <v>3608</v>
      </c>
      <c r="O1623" s="6">
        <f>-568.9-1000-1000-1000-39.1</f>
        <v>-3608</v>
      </c>
      <c r="P1623" s="6">
        <f t="shared" si="468"/>
        <v>0</v>
      </c>
      <c r="Q1623" s="7">
        <f t="shared" si="465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66"/>
        <v>4</v>
      </c>
      <c r="C1624" s="5">
        <f t="shared" si="467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13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60"/>
        <v>45043</v>
      </c>
      <c r="L1624" s="5">
        <f t="shared" si="461"/>
        <v>4</v>
      </c>
      <c r="M1624" s="5">
        <f t="shared" si="462"/>
        <v>2023</v>
      </c>
      <c r="N1624" s="6">
        <v>842.4</v>
      </c>
      <c r="O1624" s="6">
        <f t="shared" ref="O1624" si="469">-N1624</f>
        <v>-842.4</v>
      </c>
      <c r="P1624" s="6">
        <f t="shared" si="468"/>
        <v>0</v>
      </c>
      <c r="Q1624" s="7">
        <f t="shared" si="465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66"/>
        <v>4</v>
      </c>
      <c r="C1625" s="5">
        <f t="shared" si="467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13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60"/>
        <v>45043</v>
      </c>
      <c r="L1625" s="5">
        <f t="shared" si="461"/>
        <v>4</v>
      </c>
      <c r="M1625" s="5">
        <f t="shared" si="462"/>
        <v>2023</v>
      </c>
      <c r="N1625" s="6">
        <v>187.5</v>
      </c>
      <c r="O1625" s="6">
        <f>-118.5-69</f>
        <v>-187.5</v>
      </c>
      <c r="P1625" s="6">
        <f t="shared" si="468"/>
        <v>0</v>
      </c>
      <c r="Q1625" s="7">
        <f t="shared" si="465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66"/>
        <v>4</v>
      </c>
      <c r="C1626" s="5">
        <f t="shared" si="467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13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60"/>
        <v>45043</v>
      </c>
      <c r="L1626" s="5">
        <f t="shared" si="461"/>
        <v>4</v>
      </c>
      <c r="M1626" s="5">
        <f t="shared" si="462"/>
        <v>2023</v>
      </c>
      <c r="N1626" s="6">
        <v>150</v>
      </c>
      <c r="O1626" s="6">
        <f t="shared" ref="O1626:O1629" si="470">-N1626</f>
        <v>-150</v>
      </c>
      <c r="P1626" s="6">
        <f t="shared" si="468"/>
        <v>0</v>
      </c>
      <c r="Q1626" s="7">
        <f t="shared" si="465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66"/>
        <v>4</v>
      </c>
      <c r="C1627" s="5">
        <f t="shared" si="467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13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60"/>
        <v>45043</v>
      </c>
      <c r="L1627" s="5">
        <f t="shared" si="461"/>
        <v>4</v>
      </c>
      <c r="M1627" s="5">
        <f t="shared" si="462"/>
        <v>2023</v>
      </c>
      <c r="N1627" s="6">
        <v>160</v>
      </c>
      <c r="O1627" s="6">
        <f t="shared" si="470"/>
        <v>-160</v>
      </c>
      <c r="P1627" s="6">
        <f t="shared" si="468"/>
        <v>0</v>
      </c>
      <c r="Q1627" s="7">
        <f t="shared" si="465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66"/>
        <v>4</v>
      </c>
      <c r="C1628" s="5">
        <f t="shared" si="467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13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60"/>
        <v>45041</v>
      </c>
      <c r="L1628" s="5">
        <f t="shared" si="461"/>
        <v>4</v>
      </c>
      <c r="M1628" s="5">
        <f t="shared" si="462"/>
        <v>2023</v>
      </c>
      <c r="N1628" s="6">
        <v>1782</v>
      </c>
      <c r="O1628" s="6">
        <f t="shared" si="470"/>
        <v>-1782</v>
      </c>
      <c r="P1628" s="6">
        <f t="shared" si="468"/>
        <v>0</v>
      </c>
      <c r="Q1628" s="7">
        <f t="shared" si="465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66"/>
        <v>4</v>
      </c>
      <c r="C1629" s="5">
        <f t="shared" si="467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13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60"/>
        <v>45041</v>
      </c>
      <c r="L1629" s="5">
        <f t="shared" si="461"/>
        <v>4</v>
      </c>
      <c r="M1629" s="5">
        <f t="shared" si="462"/>
        <v>2023</v>
      </c>
      <c r="N1629" s="6">
        <v>684</v>
      </c>
      <c r="O1629" s="6">
        <f t="shared" si="470"/>
        <v>-684</v>
      </c>
      <c r="P1629" s="6">
        <f t="shared" si="468"/>
        <v>0</v>
      </c>
      <c r="Q1629" s="7">
        <f t="shared" si="465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66"/>
        <v>4</v>
      </c>
      <c r="C1630" s="5">
        <f t="shared" si="467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13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60"/>
        <v>45044</v>
      </c>
      <c r="L1630" s="5">
        <f t="shared" si="461"/>
        <v>4</v>
      </c>
      <c r="M1630" s="5">
        <f t="shared" si="462"/>
        <v>2023</v>
      </c>
      <c r="N1630" s="6">
        <v>1870</v>
      </c>
      <c r="O1630" s="6">
        <f t="shared" ref="O1630:O1631" si="471">-N1630</f>
        <v>-1870</v>
      </c>
      <c r="P1630" s="6">
        <f t="shared" si="468"/>
        <v>0</v>
      </c>
      <c r="Q1630" s="7">
        <f t="shared" si="465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66"/>
        <v>4</v>
      </c>
      <c r="C1631" s="5">
        <f t="shared" si="467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13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60"/>
        <v>45044</v>
      </c>
      <c r="L1631" s="5">
        <f t="shared" si="461"/>
        <v>4</v>
      </c>
      <c r="M1631" s="5">
        <f t="shared" si="462"/>
        <v>2023</v>
      </c>
      <c r="N1631" s="6">
        <v>95</v>
      </c>
      <c r="O1631" s="6">
        <f t="shared" si="471"/>
        <v>-95</v>
      </c>
      <c r="P1631" s="6">
        <f t="shared" si="468"/>
        <v>0</v>
      </c>
      <c r="Q1631" s="7">
        <f t="shared" si="465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13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60"/>
        <v>45043</v>
      </c>
      <c r="L1632" s="5">
        <f t="shared" si="461"/>
        <v>4</v>
      </c>
      <c r="M1632" s="5">
        <f t="shared" si="462"/>
        <v>2023</v>
      </c>
      <c r="N1632" s="6">
        <v>322.5</v>
      </c>
      <c r="O1632" s="6">
        <f>-121-201.5</f>
        <v>-322.5</v>
      </c>
      <c r="P1632" s="6">
        <f t="shared" si="468"/>
        <v>0</v>
      </c>
      <c r="Q1632" s="7">
        <f t="shared" si="465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66"/>
        <v>4</v>
      </c>
      <c r="C1633" s="5">
        <f t="shared" si="467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13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60"/>
        <v>45043</v>
      </c>
      <c r="L1633" s="5">
        <f t="shared" si="461"/>
        <v>4</v>
      </c>
      <c r="M1633" s="5">
        <f t="shared" si="462"/>
        <v>2023</v>
      </c>
      <c r="N1633" s="6">
        <v>390</v>
      </c>
      <c r="O1633" s="6">
        <f t="shared" ref="O1633" si="472">-N1633</f>
        <v>-390</v>
      </c>
      <c r="P1633" s="6">
        <f t="shared" si="468"/>
        <v>0</v>
      </c>
      <c r="Q1633" s="7">
        <f t="shared" si="465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73">MONTH(A1634)</f>
        <v>5</v>
      </c>
      <c r="C1634" s="5">
        <f t="shared" ref="C1634:C1697" si="474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13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60"/>
        <v>45078</v>
      </c>
      <c r="L1634" s="5">
        <f t="shared" si="461"/>
        <v>6</v>
      </c>
      <c r="M1634" s="5">
        <f t="shared" si="462"/>
        <v>2023</v>
      </c>
      <c r="N1634" s="6">
        <v>1870</v>
      </c>
      <c r="O1634" s="6">
        <f t="shared" ref="O1634:O1641" si="475">-N1634</f>
        <v>-1870</v>
      </c>
      <c r="P1634" s="6">
        <f t="shared" si="468"/>
        <v>0</v>
      </c>
      <c r="Q1634" s="7">
        <f t="shared" si="465"/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73"/>
        <v>5</v>
      </c>
      <c r="C1635" s="5">
        <f t="shared" si="474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13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60"/>
        <v>45078</v>
      </c>
      <c r="L1635" s="5">
        <f t="shared" si="461"/>
        <v>6</v>
      </c>
      <c r="M1635" s="5">
        <f t="shared" si="462"/>
        <v>2023</v>
      </c>
      <c r="N1635" s="6">
        <v>842.4</v>
      </c>
      <c r="O1635" s="6">
        <f t="shared" si="475"/>
        <v>-842.4</v>
      </c>
      <c r="P1635" s="6">
        <f t="shared" si="468"/>
        <v>0</v>
      </c>
      <c r="Q1635" s="7">
        <f t="shared" si="465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73"/>
        <v>5</v>
      </c>
      <c r="C1636" s="5">
        <f t="shared" si="474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13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60"/>
        <v>45078</v>
      </c>
      <c r="L1636" s="5">
        <f t="shared" si="461"/>
        <v>6</v>
      </c>
      <c r="M1636" s="5">
        <f t="shared" si="462"/>
        <v>2023</v>
      </c>
      <c r="N1636" s="6">
        <v>144</v>
      </c>
      <c r="O1636" s="6">
        <f t="shared" si="475"/>
        <v>-144</v>
      </c>
      <c r="P1636" s="6">
        <f t="shared" si="468"/>
        <v>0</v>
      </c>
      <c r="Q1636" s="7">
        <f t="shared" si="465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73"/>
        <v>5</v>
      </c>
      <c r="C1637" s="5">
        <f t="shared" si="474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13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60"/>
        <v>45048</v>
      </c>
      <c r="L1637" s="5">
        <f t="shared" si="461"/>
        <v>5</v>
      </c>
      <c r="M1637" s="5">
        <f t="shared" si="462"/>
        <v>2023</v>
      </c>
      <c r="N1637" s="6">
        <v>5610</v>
      </c>
      <c r="O1637" s="6">
        <f t="shared" si="475"/>
        <v>-5610</v>
      </c>
      <c r="P1637" s="6">
        <f t="shared" si="468"/>
        <v>0</v>
      </c>
      <c r="Q1637" s="7">
        <f t="shared" si="465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73"/>
        <v>5</v>
      </c>
      <c r="C1638" s="5">
        <f t="shared" si="474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13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60"/>
        <v>45048</v>
      </c>
      <c r="L1638" s="5">
        <f t="shared" si="461"/>
        <v>5</v>
      </c>
      <c r="M1638" s="5">
        <f t="shared" si="462"/>
        <v>2023</v>
      </c>
      <c r="N1638" s="6">
        <v>300</v>
      </c>
      <c r="O1638" s="6">
        <f t="shared" si="475"/>
        <v>-300</v>
      </c>
      <c r="P1638" s="6">
        <f t="shared" si="468"/>
        <v>0</v>
      </c>
      <c r="Q1638" s="7">
        <f t="shared" si="465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73"/>
        <v>5</v>
      </c>
      <c r="C1639" s="5">
        <f t="shared" si="474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13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60"/>
        <v>45048</v>
      </c>
      <c r="L1639" s="5">
        <f t="shared" si="461"/>
        <v>5</v>
      </c>
      <c r="M1639" s="5">
        <f t="shared" si="462"/>
        <v>2023</v>
      </c>
      <c r="N1639" s="6">
        <v>187.5</v>
      </c>
      <c r="O1639" s="6">
        <f t="shared" si="475"/>
        <v>-187.5</v>
      </c>
      <c r="P1639" s="6">
        <f t="shared" si="468"/>
        <v>0</v>
      </c>
      <c r="Q1639" s="7">
        <f t="shared" si="465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73"/>
        <v>5</v>
      </c>
      <c r="C1640" s="5">
        <f t="shared" si="474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13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60"/>
        <v>45048</v>
      </c>
      <c r="L1640" s="5">
        <f t="shared" si="461"/>
        <v>5</v>
      </c>
      <c r="M1640" s="5">
        <f t="shared" si="462"/>
        <v>2023</v>
      </c>
      <c r="N1640" s="6">
        <v>1125</v>
      </c>
      <c r="O1640" s="6">
        <f t="shared" si="475"/>
        <v>-1125</v>
      </c>
      <c r="P1640" s="6">
        <f t="shared" si="468"/>
        <v>0</v>
      </c>
      <c r="Q1640" s="7">
        <f t="shared" si="465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73"/>
        <v>5</v>
      </c>
      <c r="C1641" s="5">
        <f t="shared" si="474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13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60"/>
        <v>45048</v>
      </c>
      <c r="L1641" s="5">
        <f t="shared" si="461"/>
        <v>5</v>
      </c>
      <c r="M1641" s="5">
        <f t="shared" si="462"/>
        <v>2023</v>
      </c>
      <c r="N1641" s="6">
        <v>450</v>
      </c>
      <c r="O1641" s="6">
        <f t="shared" si="475"/>
        <v>-450</v>
      </c>
      <c r="P1641" s="6">
        <f t="shared" si="468"/>
        <v>0</v>
      </c>
      <c r="Q1641" s="7">
        <f t="shared" si="465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73"/>
        <v>5</v>
      </c>
      <c r="C1642" s="5">
        <f t="shared" si="474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13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60"/>
        <v>45048</v>
      </c>
      <c r="L1642" s="5">
        <f t="shared" si="461"/>
        <v>5</v>
      </c>
      <c r="M1642" s="5">
        <f t="shared" si="462"/>
        <v>2023</v>
      </c>
      <c r="N1642" s="6">
        <v>236</v>
      </c>
      <c r="O1642" s="6">
        <f>-235.5-0.5</f>
        <v>-236</v>
      </c>
      <c r="P1642" s="6">
        <f t="shared" si="468"/>
        <v>0</v>
      </c>
      <c r="Q1642" s="7">
        <f t="shared" si="465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73"/>
        <v>5</v>
      </c>
      <c r="C1643" s="5">
        <f t="shared" si="474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13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60"/>
        <v>45048</v>
      </c>
      <c r="L1643" s="5">
        <f t="shared" si="461"/>
        <v>5</v>
      </c>
      <c r="M1643" s="5">
        <f t="shared" si="462"/>
        <v>2023</v>
      </c>
      <c r="N1643" s="6">
        <v>187.5</v>
      </c>
      <c r="O1643" s="6">
        <f t="shared" ref="O1643:O1648" si="476">-N1643</f>
        <v>-187.5</v>
      </c>
      <c r="P1643" s="6">
        <f t="shared" si="468"/>
        <v>0</v>
      </c>
      <c r="Q1643" s="7">
        <f t="shared" si="465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73"/>
        <v>5</v>
      </c>
      <c r="C1644" s="5">
        <f t="shared" si="474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2" t="s">
        <v>720</v>
      </c>
      <c r="H1644" s="137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60"/>
        <v>45048</v>
      </c>
      <c r="L1644" s="5">
        <f t="shared" si="461"/>
        <v>5</v>
      </c>
      <c r="M1644" s="5">
        <f t="shared" si="462"/>
        <v>2023</v>
      </c>
      <c r="N1644" s="6">
        <v>5412</v>
      </c>
      <c r="O1644" s="6">
        <f t="shared" si="476"/>
        <v>-5412</v>
      </c>
      <c r="P1644" s="6">
        <f t="shared" si="468"/>
        <v>0</v>
      </c>
      <c r="Q1644" s="7">
        <f t="shared" si="465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73"/>
        <v>5</v>
      </c>
      <c r="C1645" s="5">
        <f t="shared" si="474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137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60"/>
        <v>45048</v>
      </c>
      <c r="L1645" s="5">
        <f t="shared" si="461"/>
        <v>5</v>
      </c>
      <c r="M1645" s="5">
        <f t="shared" si="462"/>
        <v>2023</v>
      </c>
      <c r="N1645" s="6">
        <v>2280</v>
      </c>
      <c r="O1645" s="6">
        <f t="shared" si="476"/>
        <v>-2280</v>
      </c>
      <c r="P1645" s="6">
        <f t="shared" si="468"/>
        <v>0</v>
      </c>
      <c r="Q1645" s="7">
        <f t="shared" si="465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73"/>
        <v>5</v>
      </c>
      <c r="C1646" s="5">
        <f t="shared" si="474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137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60"/>
        <v>45048</v>
      </c>
      <c r="L1646" s="5">
        <f t="shared" si="461"/>
        <v>5</v>
      </c>
      <c r="M1646" s="5">
        <f t="shared" si="462"/>
        <v>2023</v>
      </c>
      <c r="N1646" s="6">
        <v>1587.6000000000001</v>
      </c>
      <c r="O1646" s="6">
        <f t="shared" si="476"/>
        <v>-1587.6000000000001</v>
      </c>
      <c r="P1646" s="6">
        <f t="shared" si="468"/>
        <v>0</v>
      </c>
      <c r="Q1646" s="7">
        <f t="shared" si="465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73"/>
        <v>5</v>
      </c>
      <c r="C1647" s="5">
        <f t="shared" si="474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137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60"/>
        <v>45048</v>
      </c>
      <c r="L1647" s="5">
        <f t="shared" si="461"/>
        <v>5</v>
      </c>
      <c r="M1647" s="5">
        <f t="shared" si="462"/>
        <v>2023</v>
      </c>
      <c r="N1647" s="6">
        <v>380</v>
      </c>
      <c r="O1647" s="6">
        <f t="shared" si="476"/>
        <v>-380</v>
      </c>
      <c r="P1647" s="6">
        <f t="shared" si="468"/>
        <v>0</v>
      </c>
      <c r="Q1647" s="7">
        <f t="shared" si="465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73"/>
        <v>5</v>
      </c>
      <c r="C1648" s="5">
        <f t="shared" si="474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8" t="s">
        <v>1534</v>
      </c>
      <c r="H1648" s="138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60"/>
        <v>45048</v>
      </c>
      <c r="L1648" s="5">
        <f t="shared" si="461"/>
        <v>5</v>
      </c>
      <c r="M1648" s="5">
        <f t="shared" si="462"/>
        <v>2023</v>
      </c>
      <c r="N1648" s="6">
        <v>420</v>
      </c>
      <c r="O1648" s="6">
        <f t="shared" si="476"/>
        <v>-420</v>
      </c>
      <c r="P1648" s="6">
        <f t="shared" si="468"/>
        <v>0</v>
      </c>
      <c r="Q1648" s="7">
        <f t="shared" si="465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73"/>
        <v>5</v>
      </c>
      <c r="C1649" s="5">
        <f t="shared" si="474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13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60"/>
        <v>45052</v>
      </c>
      <c r="L1649" s="5">
        <f t="shared" si="461"/>
        <v>5</v>
      </c>
      <c r="M1649" s="5">
        <f t="shared" si="462"/>
        <v>2023</v>
      </c>
      <c r="N1649" s="6">
        <v>3784</v>
      </c>
      <c r="P1649" s="6">
        <f t="shared" si="468"/>
        <v>3784</v>
      </c>
      <c r="Q1649" s="7">
        <f t="shared" si="465"/>
        <v>3007280.7500000009</v>
      </c>
      <c r="R1649" s="44" t="str">
        <f>VLOOKUP(F1649,'Set up'!$A$2:$E$55,5,FALSE)</f>
        <v>Trsf</v>
      </c>
    </row>
    <row r="1650" spans="1:19" x14ac:dyDescent="0.3">
      <c r="A1650" s="4">
        <v>45054</v>
      </c>
      <c r="B1650" s="5">
        <f t="shared" si="473"/>
        <v>5</v>
      </c>
      <c r="C1650" s="5">
        <f t="shared" si="474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3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60"/>
        <v>45054</v>
      </c>
      <c r="L1650" s="5">
        <f t="shared" si="461"/>
        <v>5</v>
      </c>
      <c r="M1650" s="5">
        <f t="shared" si="462"/>
        <v>2023</v>
      </c>
      <c r="N1650" s="6">
        <v>1912.5</v>
      </c>
      <c r="O1650" s="6">
        <f t="shared" ref="O1650:O1652" si="477">-N1650</f>
        <v>-1912.5</v>
      </c>
      <c r="P1650" s="6">
        <f t="shared" si="468"/>
        <v>0</v>
      </c>
      <c r="Q1650" s="7">
        <f t="shared" si="465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73"/>
        <v>5</v>
      </c>
      <c r="C1651" s="5">
        <f t="shared" si="474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3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60"/>
        <v>45054</v>
      </c>
      <c r="L1651" s="5">
        <f t="shared" si="461"/>
        <v>5</v>
      </c>
      <c r="M1651" s="5">
        <f t="shared" si="462"/>
        <v>2023</v>
      </c>
      <c r="N1651" s="6">
        <v>100</v>
      </c>
      <c r="O1651" s="6">
        <f t="shared" si="477"/>
        <v>-100</v>
      </c>
      <c r="P1651" s="6">
        <f t="shared" si="468"/>
        <v>0</v>
      </c>
      <c r="Q1651" s="7">
        <f t="shared" si="465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73"/>
        <v>5</v>
      </c>
      <c r="C1652" s="5">
        <f t="shared" si="474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3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60"/>
        <v>45054</v>
      </c>
      <c r="L1652" s="5">
        <f t="shared" si="461"/>
        <v>5</v>
      </c>
      <c r="M1652" s="5">
        <f t="shared" si="462"/>
        <v>2023</v>
      </c>
      <c r="N1652" s="6">
        <v>250</v>
      </c>
      <c r="O1652" s="6">
        <f t="shared" si="477"/>
        <v>-250</v>
      </c>
      <c r="P1652" s="6">
        <f t="shared" si="468"/>
        <v>0</v>
      </c>
      <c r="Q1652" s="7">
        <f t="shared" si="465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">
      <c r="A1653" s="108">
        <v>45054</v>
      </c>
      <c r="B1653" s="109">
        <f t="shared" si="473"/>
        <v>5</v>
      </c>
      <c r="C1653" s="109">
        <f t="shared" si="474"/>
        <v>2023</v>
      </c>
      <c r="D1653" s="109" t="s">
        <v>1536</v>
      </c>
      <c r="E1653" s="5" t="str">
        <f>VLOOKUP(F1653,'Set up'!$A$2:$C$55,2,FALSE)</f>
        <v>C00000034</v>
      </c>
      <c r="F1653" s="110" t="s">
        <v>1197</v>
      </c>
      <c r="G1653" s="111" t="s">
        <v>1537</v>
      </c>
      <c r="H1653" s="143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60"/>
        <v>45054</v>
      </c>
      <c r="L1653" s="5">
        <f t="shared" si="461"/>
        <v>5</v>
      </c>
      <c r="M1653" s="5">
        <f t="shared" si="462"/>
        <v>2023</v>
      </c>
      <c r="N1653" s="112">
        <v>640</v>
      </c>
      <c r="O1653" s="113">
        <f>-640</f>
        <v>-640</v>
      </c>
      <c r="P1653" s="91">
        <f>SUM(N1653+O1653)</f>
        <v>0</v>
      </c>
      <c r="Q1653" s="7">
        <f t="shared" si="465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73"/>
        <v>5</v>
      </c>
      <c r="C1654" s="5">
        <f t="shared" si="474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137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60"/>
        <v>45114</v>
      </c>
      <c r="L1654" s="5">
        <f t="shared" si="461"/>
        <v>7</v>
      </c>
      <c r="M1654" s="5">
        <f t="shared" si="462"/>
        <v>2023</v>
      </c>
      <c r="N1654" s="6">
        <v>220</v>
      </c>
      <c r="O1654" s="6">
        <f t="shared" ref="O1654:O1655" si="478">-N1654</f>
        <v>-220</v>
      </c>
      <c r="P1654" s="6">
        <f t="shared" si="468"/>
        <v>0</v>
      </c>
      <c r="Q1654" s="7">
        <f t="shared" si="465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73"/>
        <v>5</v>
      </c>
      <c r="C1655" s="5">
        <f t="shared" si="474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13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60"/>
        <v>45054</v>
      </c>
      <c r="L1655" s="5">
        <f t="shared" si="461"/>
        <v>5</v>
      </c>
      <c r="M1655" s="5">
        <f t="shared" si="462"/>
        <v>2023</v>
      </c>
      <c r="N1655" s="6">
        <v>937.5</v>
      </c>
      <c r="O1655" s="6">
        <f t="shared" si="478"/>
        <v>-937.5</v>
      </c>
      <c r="P1655" s="6">
        <f t="shared" si="468"/>
        <v>0</v>
      </c>
      <c r="Q1655" s="7">
        <f t="shared" si="465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73"/>
        <v>5</v>
      </c>
      <c r="C1656" s="5">
        <f t="shared" si="474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13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60"/>
        <v>45054</v>
      </c>
      <c r="L1656" s="5">
        <f t="shared" si="461"/>
        <v>5</v>
      </c>
      <c r="M1656" s="5">
        <f t="shared" si="462"/>
        <v>2023</v>
      </c>
      <c r="N1656" s="6">
        <v>27060</v>
      </c>
      <c r="O1656" s="6">
        <f>-8104.1-18955.9</f>
        <v>-27060</v>
      </c>
      <c r="P1656" s="6">
        <f t="shared" si="468"/>
        <v>0</v>
      </c>
      <c r="Q1656" s="7">
        <f t="shared" si="465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73"/>
        <v>5</v>
      </c>
      <c r="C1657" s="5">
        <f t="shared" si="474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13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60"/>
        <v>45054</v>
      </c>
      <c r="L1657" s="5">
        <f t="shared" si="461"/>
        <v>5</v>
      </c>
      <c r="M1657" s="5">
        <f t="shared" si="462"/>
        <v>2023</v>
      </c>
      <c r="N1657" s="6">
        <v>10260</v>
      </c>
      <c r="O1657" s="6">
        <f>-10044.1-215.9</f>
        <v>-10260</v>
      </c>
      <c r="P1657" s="6">
        <f t="shared" si="468"/>
        <v>0</v>
      </c>
      <c r="Q1657" s="7">
        <f t="shared" si="465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73"/>
        <v>5</v>
      </c>
      <c r="C1658" s="5">
        <f t="shared" si="474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13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60"/>
        <v>45054</v>
      </c>
      <c r="L1658" s="5">
        <f t="shared" si="461"/>
        <v>5</v>
      </c>
      <c r="M1658" s="5">
        <f t="shared" si="462"/>
        <v>2023</v>
      </c>
      <c r="N1658" s="6">
        <v>5821.2000000000007</v>
      </c>
      <c r="O1658" s="6">
        <f t="shared" ref="O1658:O1659" si="479">-N1658</f>
        <v>-5821.2000000000007</v>
      </c>
      <c r="P1658" s="6">
        <f t="shared" si="468"/>
        <v>0</v>
      </c>
      <c r="Q1658" s="7">
        <f t="shared" si="465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73"/>
        <v>5</v>
      </c>
      <c r="C1659" s="5">
        <f t="shared" si="474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13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60"/>
        <v>45054</v>
      </c>
      <c r="L1659" s="5">
        <f t="shared" si="461"/>
        <v>5</v>
      </c>
      <c r="M1659" s="5">
        <f t="shared" si="462"/>
        <v>2023</v>
      </c>
      <c r="N1659" s="6">
        <v>760</v>
      </c>
      <c r="O1659" s="6">
        <f t="shared" si="479"/>
        <v>-760</v>
      </c>
      <c r="P1659" s="6">
        <f t="shared" si="468"/>
        <v>0</v>
      </c>
      <c r="Q1659" s="7">
        <f t="shared" si="465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73"/>
        <v>5</v>
      </c>
      <c r="C1660" s="5">
        <f t="shared" si="474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13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60"/>
        <v>45054</v>
      </c>
      <c r="L1660" s="5">
        <f t="shared" si="461"/>
        <v>5</v>
      </c>
      <c r="M1660" s="5">
        <f t="shared" si="462"/>
        <v>2023</v>
      </c>
      <c r="N1660" s="6">
        <v>2000</v>
      </c>
      <c r="O1660" s="6">
        <f>-1202.9-797.1</f>
        <v>-2000</v>
      </c>
      <c r="P1660" s="6">
        <f t="shared" si="468"/>
        <v>0</v>
      </c>
      <c r="Q1660" s="7">
        <f t="shared" si="465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73"/>
        <v>5</v>
      </c>
      <c r="C1661" s="5">
        <f t="shared" si="474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13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60"/>
        <v>45054</v>
      </c>
      <c r="L1661" s="5">
        <f t="shared" si="461"/>
        <v>5</v>
      </c>
      <c r="M1661" s="5">
        <f t="shared" si="462"/>
        <v>2023</v>
      </c>
      <c r="N1661" s="6">
        <v>5412</v>
      </c>
      <c r="O1661" s="6">
        <f t="shared" ref="O1661:O1668" si="480">-N1661</f>
        <v>-5412</v>
      </c>
      <c r="P1661" s="6">
        <f t="shared" si="468"/>
        <v>0</v>
      </c>
      <c r="Q1661" s="7">
        <f t="shared" si="465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73"/>
        <v>5</v>
      </c>
      <c r="C1662" s="5">
        <f t="shared" si="474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13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60"/>
        <v>45054</v>
      </c>
      <c r="L1662" s="5">
        <f t="shared" si="461"/>
        <v>5</v>
      </c>
      <c r="M1662" s="5">
        <f t="shared" si="462"/>
        <v>2023</v>
      </c>
      <c r="N1662" s="6">
        <v>1185</v>
      </c>
      <c r="O1662" s="6">
        <f t="shared" si="480"/>
        <v>-1185</v>
      </c>
      <c r="P1662" s="6">
        <f t="shared" si="468"/>
        <v>0</v>
      </c>
      <c r="Q1662" s="7">
        <f t="shared" si="465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73"/>
        <v>5</v>
      </c>
      <c r="C1663" s="5">
        <f t="shared" si="474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13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60"/>
        <v>45054</v>
      </c>
      <c r="L1663" s="5">
        <f t="shared" si="461"/>
        <v>5</v>
      </c>
      <c r="M1663" s="5">
        <f t="shared" si="462"/>
        <v>2023</v>
      </c>
      <c r="N1663" s="6">
        <v>640</v>
      </c>
      <c r="O1663" s="6">
        <f t="shared" si="480"/>
        <v>-640</v>
      </c>
      <c r="P1663" s="6">
        <f t="shared" si="468"/>
        <v>0</v>
      </c>
      <c r="Q1663" s="7">
        <f t="shared" si="465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73"/>
        <v>5</v>
      </c>
      <c r="C1664" s="5">
        <f t="shared" si="474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13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60"/>
        <v>45054</v>
      </c>
      <c r="L1664" s="5">
        <f t="shared" si="461"/>
        <v>5</v>
      </c>
      <c r="M1664" s="5">
        <f t="shared" si="462"/>
        <v>2023</v>
      </c>
      <c r="N1664" s="6">
        <v>187.5</v>
      </c>
      <c r="O1664" s="6">
        <f t="shared" si="480"/>
        <v>-187.5</v>
      </c>
      <c r="P1664" s="6">
        <f t="shared" si="468"/>
        <v>0</v>
      </c>
      <c r="Q1664" s="7">
        <f t="shared" si="465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73"/>
        <v>5</v>
      </c>
      <c r="C1665" s="5">
        <f t="shared" si="474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13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60"/>
        <v>45054</v>
      </c>
      <c r="L1665" s="5">
        <f t="shared" si="461"/>
        <v>5</v>
      </c>
      <c r="M1665" s="5">
        <f t="shared" si="462"/>
        <v>2023</v>
      </c>
      <c r="N1665" s="6">
        <v>1548</v>
      </c>
      <c r="O1665" s="6">
        <f t="shared" si="480"/>
        <v>-1548</v>
      </c>
      <c r="P1665" s="6">
        <f t="shared" si="468"/>
        <v>0</v>
      </c>
      <c r="Q1665" s="7">
        <f t="shared" si="465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73"/>
        <v>5</v>
      </c>
      <c r="C1666" s="5">
        <f t="shared" si="474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13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60"/>
        <v>45054</v>
      </c>
      <c r="L1666" s="5">
        <f t="shared" si="461"/>
        <v>5</v>
      </c>
      <c r="M1666" s="5">
        <f t="shared" si="462"/>
        <v>2023</v>
      </c>
      <c r="N1666" s="6">
        <v>190</v>
      </c>
      <c r="O1666" s="6">
        <f t="shared" si="480"/>
        <v>-190</v>
      </c>
      <c r="P1666" s="6">
        <f t="shared" si="468"/>
        <v>0</v>
      </c>
      <c r="Q1666" s="7">
        <f t="shared" si="465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73"/>
        <v>5</v>
      </c>
      <c r="C1667" s="5">
        <f t="shared" si="474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13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81">A1667+J1667</f>
        <v>45054</v>
      </c>
      <c r="L1667" s="5">
        <f t="shared" ref="L1667:L1730" si="482">MONTH(K1667)</f>
        <v>5</v>
      </c>
      <c r="M1667" s="5">
        <f t="shared" ref="M1667:M1730" si="483">YEAR(K1667)</f>
        <v>2023</v>
      </c>
      <c r="N1667" s="6">
        <v>200</v>
      </c>
      <c r="O1667" s="6">
        <f t="shared" si="480"/>
        <v>-200</v>
      </c>
      <c r="P1667" s="6">
        <f t="shared" si="468"/>
        <v>0</v>
      </c>
      <c r="Q1667" s="7">
        <f t="shared" si="465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73"/>
        <v>5</v>
      </c>
      <c r="C1668" s="5">
        <f t="shared" si="474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13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81"/>
        <v>45054</v>
      </c>
      <c r="L1668" s="5">
        <f t="shared" si="482"/>
        <v>5</v>
      </c>
      <c r="M1668" s="5">
        <f t="shared" si="483"/>
        <v>2023</v>
      </c>
      <c r="N1668" s="6">
        <v>330</v>
      </c>
      <c r="O1668" s="6">
        <f t="shared" si="480"/>
        <v>-330</v>
      </c>
      <c r="P1668" s="6">
        <f t="shared" si="468"/>
        <v>0</v>
      </c>
      <c r="Q1668" s="7">
        <f t="shared" si="465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73"/>
        <v>5</v>
      </c>
      <c r="C1669" s="5">
        <f t="shared" si="474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13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81"/>
        <v>45058</v>
      </c>
      <c r="L1669" s="5">
        <f t="shared" si="482"/>
        <v>5</v>
      </c>
      <c r="M1669" s="5">
        <f t="shared" si="483"/>
        <v>2023</v>
      </c>
      <c r="N1669" s="6">
        <v>3652</v>
      </c>
      <c r="O1669" s="6">
        <f>-408.5-2000-1000-243.5</f>
        <v>-3652</v>
      </c>
      <c r="P1669" s="6">
        <f t="shared" si="468"/>
        <v>0</v>
      </c>
      <c r="Q1669" s="7">
        <f t="shared" si="465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73"/>
        <v>5</v>
      </c>
      <c r="C1670" s="5">
        <f t="shared" si="474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13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81"/>
        <v>45058</v>
      </c>
      <c r="L1670" s="5">
        <f t="shared" si="482"/>
        <v>5</v>
      </c>
      <c r="M1670" s="5">
        <f t="shared" si="483"/>
        <v>2023</v>
      </c>
      <c r="N1670" s="6">
        <v>421.2</v>
      </c>
      <c r="O1670" s="6">
        <f t="shared" ref="O1670:O1673" si="484">-N1670</f>
        <v>-421.2</v>
      </c>
      <c r="P1670" s="6">
        <f t="shared" si="468"/>
        <v>0</v>
      </c>
      <c r="Q1670" s="7">
        <f t="shared" si="465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73"/>
        <v>5</v>
      </c>
      <c r="C1671" s="5">
        <f t="shared" si="474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13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81"/>
        <v>45058</v>
      </c>
      <c r="L1671" s="5">
        <f t="shared" si="482"/>
        <v>5</v>
      </c>
      <c r="M1671" s="5">
        <f t="shared" si="483"/>
        <v>2023</v>
      </c>
      <c r="N1671" s="6">
        <v>187.5</v>
      </c>
      <c r="O1671" s="6">
        <f t="shared" si="484"/>
        <v>-187.5</v>
      </c>
      <c r="P1671" s="6">
        <f t="shared" si="468"/>
        <v>0</v>
      </c>
      <c r="Q1671" s="7">
        <f t="shared" si="465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73"/>
        <v>5</v>
      </c>
      <c r="C1672" s="5">
        <f t="shared" si="474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13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81"/>
        <v>45058</v>
      </c>
      <c r="L1672" s="5">
        <f t="shared" si="482"/>
        <v>5</v>
      </c>
      <c r="M1672" s="5">
        <f t="shared" si="483"/>
        <v>2023</v>
      </c>
      <c r="N1672" s="6">
        <v>420</v>
      </c>
      <c r="O1672" s="6">
        <f t="shared" si="484"/>
        <v>-420</v>
      </c>
      <c r="P1672" s="6">
        <f t="shared" si="468"/>
        <v>0</v>
      </c>
      <c r="Q1672" s="7">
        <f t="shared" si="465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73"/>
        <v>5</v>
      </c>
      <c r="C1673" s="5">
        <f t="shared" si="474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13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81"/>
        <v>45058</v>
      </c>
      <c r="L1673" s="5">
        <f t="shared" si="482"/>
        <v>5</v>
      </c>
      <c r="M1673" s="5">
        <f t="shared" si="483"/>
        <v>2023</v>
      </c>
      <c r="N1673" s="6">
        <v>105</v>
      </c>
      <c r="O1673" s="6">
        <f t="shared" si="484"/>
        <v>-105</v>
      </c>
      <c r="P1673" s="6">
        <f t="shared" si="468"/>
        <v>0</v>
      </c>
      <c r="Q1673" s="7">
        <f t="shared" si="465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73"/>
        <v>5</v>
      </c>
      <c r="C1674" s="5">
        <f t="shared" si="474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13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81"/>
        <v>45176</v>
      </c>
      <c r="L1674" s="5">
        <f t="shared" si="482"/>
        <v>9</v>
      </c>
      <c r="M1674" s="5">
        <f t="shared" si="483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65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73"/>
        <v>5</v>
      </c>
      <c r="C1675" s="5">
        <f t="shared" si="474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13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81"/>
        <v>45176</v>
      </c>
      <c r="L1675" s="5">
        <f t="shared" si="482"/>
        <v>9</v>
      </c>
      <c r="M1675" s="5">
        <f t="shared" si="483"/>
        <v>2023</v>
      </c>
      <c r="N1675" s="6">
        <v>1206</v>
      </c>
      <c r="O1675" s="6">
        <f>-N1675</f>
        <v>-1206</v>
      </c>
      <c r="P1675" s="6">
        <f t="shared" si="468"/>
        <v>0</v>
      </c>
      <c r="Q1675" s="7">
        <f t="shared" si="465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73"/>
        <v>5</v>
      </c>
      <c r="C1676" s="5">
        <f t="shared" si="474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13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81"/>
        <v>45176</v>
      </c>
      <c r="L1676" s="5">
        <f t="shared" si="482"/>
        <v>9</v>
      </c>
      <c r="M1676" s="5">
        <f t="shared" si="483"/>
        <v>2023</v>
      </c>
      <c r="N1676" s="6">
        <v>575</v>
      </c>
      <c r="O1676" s="6">
        <f>-N1676</f>
        <v>-575</v>
      </c>
      <c r="P1676" s="6">
        <f t="shared" si="468"/>
        <v>0</v>
      </c>
      <c r="Q1676" s="7">
        <f t="shared" si="465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73"/>
        <v>5</v>
      </c>
      <c r="C1677" s="5">
        <f t="shared" si="474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13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81"/>
        <v>45091</v>
      </c>
      <c r="L1677" s="5">
        <f t="shared" si="482"/>
        <v>6</v>
      </c>
      <c r="M1677" s="5">
        <f t="shared" si="483"/>
        <v>2023</v>
      </c>
      <c r="N1677" s="6">
        <v>7480</v>
      </c>
      <c r="O1677" s="6">
        <f t="shared" ref="O1677:O1683" si="485">-N1677</f>
        <v>-7480</v>
      </c>
      <c r="P1677" s="6">
        <f t="shared" si="468"/>
        <v>0</v>
      </c>
      <c r="Q1677" s="7">
        <f t="shared" si="465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73"/>
        <v>5</v>
      </c>
      <c r="C1678" s="5">
        <f t="shared" si="474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13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81"/>
        <v>45091</v>
      </c>
      <c r="L1678" s="5">
        <f t="shared" si="482"/>
        <v>6</v>
      </c>
      <c r="M1678" s="5">
        <f t="shared" si="483"/>
        <v>2023</v>
      </c>
      <c r="N1678" s="6">
        <v>2613</v>
      </c>
      <c r="O1678" s="6">
        <f t="shared" si="485"/>
        <v>-2613</v>
      </c>
      <c r="P1678" s="6">
        <f t="shared" si="468"/>
        <v>0</v>
      </c>
      <c r="Q1678" s="7">
        <f t="shared" si="465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73"/>
        <v>5</v>
      </c>
      <c r="C1679" s="5">
        <f t="shared" si="474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13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81"/>
        <v>45091</v>
      </c>
      <c r="L1679" s="5">
        <f t="shared" si="482"/>
        <v>6</v>
      </c>
      <c r="M1679" s="5">
        <f t="shared" si="483"/>
        <v>2023</v>
      </c>
      <c r="N1679" s="6">
        <v>144</v>
      </c>
      <c r="O1679" s="6">
        <f t="shared" si="485"/>
        <v>-144</v>
      </c>
      <c r="P1679" s="6">
        <f t="shared" si="468"/>
        <v>0</v>
      </c>
      <c r="Q1679" s="7">
        <f t="shared" si="465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73"/>
        <v>5</v>
      </c>
      <c r="C1680" s="5">
        <f t="shared" si="474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13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81"/>
        <v>45091</v>
      </c>
      <c r="L1680" s="5">
        <f t="shared" si="482"/>
        <v>6</v>
      </c>
      <c r="M1680" s="5">
        <f t="shared" si="483"/>
        <v>2023</v>
      </c>
      <c r="N1680" s="6">
        <v>285</v>
      </c>
      <c r="O1680" s="6">
        <f t="shared" si="485"/>
        <v>-285</v>
      </c>
      <c r="P1680" s="6">
        <f t="shared" si="468"/>
        <v>0</v>
      </c>
      <c r="Q1680" s="7">
        <f t="shared" si="465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73"/>
        <v>5</v>
      </c>
      <c r="C1681" s="5">
        <f t="shared" si="474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13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81"/>
        <v>45091</v>
      </c>
      <c r="L1681" s="5">
        <f t="shared" si="482"/>
        <v>6</v>
      </c>
      <c r="M1681" s="5">
        <f t="shared" si="483"/>
        <v>2023</v>
      </c>
      <c r="N1681" s="6">
        <v>312.5</v>
      </c>
      <c r="O1681" s="6">
        <f t="shared" si="485"/>
        <v>-312.5</v>
      </c>
      <c r="P1681" s="6">
        <f t="shared" si="468"/>
        <v>0</v>
      </c>
      <c r="Q1681" s="7">
        <f t="shared" si="465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73"/>
        <v>5</v>
      </c>
      <c r="C1682" s="5">
        <f t="shared" si="474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13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81"/>
        <v>45091</v>
      </c>
      <c r="L1682" s="5">
        <f t="shared" si="482"/>
        <v>6</v>
      </c>
      <c r="M1682" s="5">
        <f t="shared" si="483"/>
        <v>2023</v>
      </c>
      <c r="N1682" s="6">
        <v>520</v>
      </c>
      <c r="O1682" s="6">
        <f t="shared" si="485"/>
        <v>-520</v>
      </c>
      <c r="P1682" s="6">
        <f t="shared" si="468"/>
        <v>0</v>
      </c>
      <c r="Q1682" s="7">
        <f t="shared" ref="Q1682:Q1745" si="486">SUM(Q1681+N1682)</f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73"/>
        <v>5</v>
      </c>
      <c r="C1683" s="5">
        <f t="shared" si="474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13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81"/>
        <v>45091</v>
      </c>
      <c r="L1683" s="5">
        <f t="shared" si="482"/>
        <v>6</v>
      </c>
      <c r="M1683" s="5">
        <f t="shared" si="483"/>
        <v>2023</v>
      </c>
      <c r="N1683" s="6">
        <v>1860</v>
      </c>
      <c r="O1683" s="6">
        <f t="shared" si="485"/>
        <v>-1860</v>
      </c>
      <c r="P1683" s="6">
        <f t="shared" si="468"/>
        <v>0</v>
      </c>
      <c r="Q1683" s="7">
        <f t="shared" si="486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73"/>
        <v>5</v>
      </c>
      <c r="C1684" s="5">
        <f t="shared" si="474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13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81"/>
        <v>45108</v>
      </c>
      <c r="L1684" s="5">
        <f t="shared" si="482"/>
        <v>7</v>
      </c>
      <c r="M1684" s="5">
        <f t="shared" si="483"/>
        <v>2023</v>
      </c>
      <c r="N1684" s="6">
        <v>3872</v>
      </c>
      <c r="O1684" s="6">
        <f>-1500-1500-872</f>
        <v>-3872</v>
      </c>
      <c r="P1684" s="6">
        <f t="shared" si="468"/>
        <v>0</v>
      </c>
      <c r="Q1684" s="7">
        <f t="shared" si="486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73"/>
        <v>5</v>
      </c>
      <c r="C1685" s="5">
        <f t="shared" si="474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13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81"/>
        <v>45108</v>
      </c>
      <c r="L1685" s="5">
        <f t="shared" si="482"/>
        <v>7</v>
      </c>
      <c r="M1685" s="5">
        <f t="shared" si="483"/>
        <v>2023</v>
      </c>
      <c r="N1685" s="6">
        <v>420</v>
      </c>
      <c r="O1685" s="6">
        <f>-N1685</f>
        <v>-420</v>
      </c>
      <c r="P1685" s="6">
        <f t="shared" ref="P1685:P1707" si="487">SUM(N1685+O1685)</f>
        <v>0</v>
      </c>
      <c r="Q1685" s="7">
        <f t="shared" si="486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73"/>
        <v>5</v>
      </c>
      <c r="C1686" s="5">
        <f t="shared" si="474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13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81"/>
        <v>45063</v>
      </c>
      <c r="L1686" s="5">
        <f t="shared" si="482"/>
        <v>5</v>
      </c>
      <c r="M1686" s="5">
        <f t="shared" si="483"/>
        <v>2023</v>
      </c>
      <c r="N1686" s="6">
        <v>280</v>
      </c>
      <c r="O1686" s="6">
        <f t="shared" ref="O1686:O1692" si="488">-N1686</f>
        <v>-280</v>
      </c>
      <c r="P1686" s="6">
        <f t="shared" si="487"/>
        <v>0</v>
      </c>
      <c r="Q1686" s="7">
        <f t="shared" si="486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73"/>
        <v>5</v>
      </c>
      <c r="C1687" s="5">
        <f t="shared" si="474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13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81"/>
        <v>45063</v>
      </c>
      <c r="L1687" s="5">
        <f t="shared" si="482"/>
        <v>5</v>
      </c>
      <c r="M1687" s="5">
        <f t="shared" si="483"/>
        <v>2023</v>
      </c>
      <c r="N1687" s="6">
        <v>258</v>
      </c>
      <c r="O1687" s="6">
        <f t="shared" si="488"/>
        <v>-258</v>
      </c>
      <c r="P1687" s="6">
        <f t="shared" si="487"/>
        <v>0</v>
      </c>
      <c r="Q1687" s="7">
        <f t="shared" si="486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73"/>
        <v>5</v>
      </c>
      <c r="C1688" s="5">
        <f t="shared" si="474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13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81"/>
        <v>45063</v>
      </c>
      <c r="L1688" s="5">
        <f t="shared" si="482"/>
        <v>5</v>
      </c>
      <c r="M1688" s="5">
        <f t="shared" si="483"/>
        <v>2023</v>
      </c>
      <c r="N1688" s="6">
        <v>105</v>
      </c>
      <c r="O1688" s="6">
        <f t="shared" si="488"/>
        <v>-105</v>
      </c>
      <c r="P1688" s="6">
        <f t="shared" si="487"/>
        <v>0</v>
      </c>
      <c r="Q1688" s="7">
        <f t="shared" si="486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73"/>
        <v>5</v>
      </c>
      <c r="C1689" s="5">
        <f t="shared" si="474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13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81"/>
        <v>45063</v>
      </c>
      <c r="L1689" s="5">
        <f t="shared" si="482"/>
        <v>5</v>
      </c>
      <c r="M1689" s="5">
        <f t="shared" si="483"/>
        <v>2023</v>
      </c>
      <c r="N1689" s="6">
        <v>55</v>
      </c>
      <c r="O1689" s="6">
        <f t="shared" si="488"/>
        <v>-55</v>
      </c>
      <c r="P1689" s="6">
        <f t="shared" si="487"/>
        <v>0</v>
      </c>
      <c r="Q1689" s="7">
        <f t="shared" si="486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73"/>
        <v>5</v>
      </c>
      <c r="C1690" s="5">
        <f t="shared" si="474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13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81"/>
        <v>45063</v>
      </c>
      <c r="L1690" s="5">
        <f t="shared" si="482"/>
        <v>5</v>
      </c>
      <c r="M1690" s="5">
        <f t="shared" si="483"/>
        <v>2023</v>
      </c>
      <c r="N1690" s="6">
        <v>1870</v>
      </c>
      <c r="O1690" s="6">
        <f t="shared" si="488"/>
        <v>-1870</v>
      </c>
      <c r="P1690" s="6">
        <f t="shared" si="487"/>
        <v>0</v>
      </c>
      <c r="Q1690" s="7">
        <f t="shared" si="486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73"/>
        <v>5</v>
      </c>
      <c r="C1691" s="5">
        <f t="shared" si="474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13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81"/>
        <v>45063</v>
      </c>
      <c r="L1691" s="5">
        <f t="shared" si="482"/>
        <v>5</v>
      </c>
      <c r="M1691" s="5">
        <f t="shared" si="483"/>
        <v>2023</v>
      </c>
      <c r="N1691" s="6">
        <v>510</v>
      </c>
      <c r="O1691" s="6">
        <f t="shared" si="488"/>
        <v>-510</v>
      </c>
      <c r="P1691" s="6">
        <f t="shared" si="487"/>
        <v>0</v>
      </c>
      <c r="Q1691" s="7">
        <f t="shared" si="486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73"/>
        <v>5</v>
      </c>
      <c r="C1692" s="5">
        <f t="shared" si="474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13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81"/>
        <v>45063</v>
      </c>
      <c r="L1692" s="5">
        <f t="shared" si="482"/>
        <v>5</v>
      </c>
      <c r="M1692" s="5">
        <f t="shared" si="483"/>
        <v>2023</v>
      </c>
      <c r="N1692" s="6">
        <v>95</v>
      </c>
      <c r="O1692" s="6">
        <f t="shared" si="488"/>
        <v>-95</v>
      </c>
      <c r="P1692" s="6">
        <f t="shared" si="487"/>
        <v>0</v>
      </c>
      <c r="Q1692" s="7">
        <f t="shared" si="486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73"/>
        <v>5</v>
      </c>
      <c r="C1693" s="5">
        <f t="shared" si="474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13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81"/>
        <v>45063</v>
      </c>
      <c r="L1693" s="5">
        <f t="shared" si="482"/>
        <v>5</v>
      </c>
      <c r="M1693" s="5">
        <f t="shared" si="483"/>
        <v>2023</v>
      </c>
      <c r="N1693" s="6">
        <v>7304</v>
      </c>
      <c r="O1693" s="6">
        <f t="shared" ref="O1693:O1700" si="489">-N1693</f>
        <v>-7304</v>
      </c>
      <c r="P1693" s="6">
        <f t="shared" si="487"/>
        <v>0</v>
      </c>
      <c r="Q1693" s="7">
        <f t="shared" si="486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73"/>
        <v>5</v>
      </c>
      <c r="C1694" s="5">
        <f t="shared" si="474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13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81"/>
        <v>45064</v>
      </c>
      <c r="L1694" s="5">
        <f t="shared" si="482"/>
        <v>5</v>
      </c>
      <c r="M1694" s="5">
        <f t="shared" si="483"/>
        <v>2023</v>
      </c>
      <c r="N1694" s="6">
        <v>2133</v>
      </c>
      <c r="O1694" s="6">
        <f t="shared" si="489"/>
        <v>-2133</v>
      </c>
      <c r="P1694" s="6">
        <f t="shared" si="487"/>
        <v>0</v>
      </c>
      <c r="Q1694" s="7">
        <f t="shared" si="486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73"/>
        <v>5</v>
      </c>
      <c r="C1695" s="5">
        <f t="shared" si="474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13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81"/>
        <v>45064</v>
      </c>
      <c r="L1695" s="5">
        <f t="shared" si="482"/>
        <v>5</v>
      </c>
      <c r="M1695" s="5">
        <f t="shared" si="483"/>
        <v>2023</v>
      </c>
      <c r="N1695" s="6">
        <v>1279.8000000000002</v>
      </c>
      <c r="O1695" s="6">
        <f t="shared" si="489"/>
        <v>-1279.8000000000002</v>
      </c>
      <c r="P1695" s="6">
        <f t="shared" si="487"/>
        <v>0</v>
      </c>
      <c r="Q1695" s="7">
        <f t="shared" si="486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73"/>
        <v>5</v>
      </c>
      <c r="C1696" s="5">
        <f t="shared" si="474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13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81"/>
        <v>45064</v>
      </c>
      <c r="L1696" s="5">
        <f t="shared" si="482"/>
        <v>5</v>
      </c>
      <c r="M1696" s="5">
        <f t="shared" si="483"/>
        <v>2023</v>
      </c>
      <c r="N1696" s="6">
        <v>1290</v>
      </c>
      <c r="O1696" s="6">
        <f t="shared" si="489"/>
        <v>-1290</v>
      </c>
      <c r="P1696" s="6">
        <f t="shared" si="487"/>
        <v>0</v>
      </c>
      <c r="Q1696" s="7">
        <f t="shared" si="486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73"/>
        <v>5</v>
      </c>
      <c r="C1697" s="5">
        <f t="shared" si="474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13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81"/>
        <v>45064</v>
      </c>
      <c r="L1697" s="5">
        <f t="shared" si="482"/>
        <v>5</v>
      </c>
      <c r="M1697" s="5">
        <f t="shared" si="483"/>
        <v>2023</v>
      </c>
      <c r="N1697" s="6">
        <v>150</v>
      </c>
      <c r="O1697" s="6">
        <f t="shared" si="489"/>
        <v>-150</v>
      </c>
      <c r="P1697" s="6">
        <f t="shared" si="487"/>
        <v>0</v>
      </c>
      <c r="Q1697" s="7">
        <f t="shared" si="486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490">MONTH(A1698)</f>
        <v>5</v>
      </c>
      <c r="C1698" s="5">
        <f t="shared" ref="C1698:C1706" si="491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13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81"/>
        <v>45064</v>
      </c>
      <c r="L1698" s="5">
        <f t="shared" si="482"/>
        <v>5</v>
      </c>
      <c r="M1698" s="5">
        <f t="shared" si="483"/>
        <v>2023</v>
      </c>
      <c r="N1698" s="6">
        <v>1600</v>
      </c>
      <c r="O1698" s="6">
        <f t="shared" si="489"/>
        <v>-1600</v>
      </c>
      <c r="P1698" s="6">
        <f t="shared" si="487"/>
        <v>0</v>
      </c>
      <c r="Q1698" s="7">
        <f t="shared" si="486"/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13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81"/>
        <v>45064</v>
      </c>
      <c r="L1699" s="5">
        <f t="shared" si="482"/>
        <v>5</v>
      </c>
      <c r="M1699" s="5">
        <f t="shared" si="483"/>
        <v>2023</v>
      </c>
      <c r="N1699" s="6">
        <v>1290</v>
      </c>
      <c r="O1699" s="6">
        <f>-963.6-326.4</f>
        <v>-1290</v>
      </c>
      <c r="P1699" s="6">
        <f t="shared" si="487"/>
        <v>0</v>
      </c>
      <c r="Q1699" s="7">
        <f t="shared" si="486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13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81"/>
        <v>45064</v>
      </c>
      <c r="L1700" s="5">
        <f t="shared" si="482"/>
        <v>5</v>
      </c>
      <c r="M1700" s="5">
        <f t="shared" si="483"/>
        <v>2023</v>
      </c>
      <c r="N1700" s="6">
        <v>660</v>
      </c>
      <c r="O1700" s="6">
        <f t="shared" si="489"/>
        <v>-660</v>
      </c>
      <c r="P1700" s="6">
        <f t="shared" si="487"/>
        <v>0</v>
      </c>
      <c r="Q1700" s="7">
        <f t="shared" si="486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13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81"/>
        <v>45064</v>
      </c>
      <c r="L1701" s="5">
        <f t="shared" si="482"/>
        <v>5</v>
      </c>
      <c r="M1701" s="5">
        <f t="shared" si="483"/>
        <v>2023</v>
      </c>
      <c r="N1701" s="6">
        <v>1112</v>
      </c>
      <c r="O1701" s="6">
        <f t="shared" ref="O1701:O1704" si="492">-N1701</f>
        <v>-1112</v>
      </c>
      <c r="P1701" s="6">
        <f t="shared" si="487"/>
        <v>0</v>
      </c>
      <c r="Q1701" s="7">
        <f t="shared" si="486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13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81"/>
        <v>45064</v>
      </c>
      <c r="L1702" s="5">
        <f t="shared" si="482"/>
        <v>5</v>
      </c>
      <c r="M1702" s="5">
        <f t="shared" si="483"/>
        <v>2023</v>
      </c>
      <c r="N1702" s="6">
        <v>62.5</v>
      </c>
      <c r="O1702" s="6">
        <f t="shared" si="492"/>
        <v>-62.5</v>
      </c>
      <c r="P1702" s="6">
        <f t="shared" si="487"/>
        <v>0</v>
      </c>
      <c r="Q1702" s="7">
        <f t="shared" si="486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490"/>
        <v>5</v>
      </c>
      <c r="C1703" s="5">
        <f t="shared" si="491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13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81"/>
        <v>45066</v>
      </c>
      <c r="L1703" s="5">
        <f t="shared" si="482"/>
        <v>5</v>
      </c>
      <c r="M1703" s="5">
        <f t="shared" si="483"/>
        <v>2023</v>
      </c>
      <c r="N1703" s="6">
        <v>1912.5</v>
      </c>
      <c r="O1703" s="6">
        <f t="shared" si="492"/>
        <v>-1912.5</v>
      </c>
      <c r="P1703" s="6">
        <f t="shared" si="487"/>
        <v>0</v>
      </c>
      <c r="Q1703" s="7">
        <f t="shared" si="486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490"/>
        <v>5</v>
      </c>
      <c r="C1704" s="5">
        <f t="shared" si="491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13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81"/>
        <v>45066</v>
      </c>
      <c r="L1704" s="5">
        <f t="shared" si="482"/>
        <v>5</v>
      </c>
      <c r="M1704" s="5">
        <f t="shared" si="483"/>
        <v>2023</v>
      </c>
      <c r="N1704" s="6">
        <v>187.5</v>
      </c>
      <c r="O1704" s="6">
        <f t="shared" si="492"/>
        <v>-187.5</v>
      </c>
      <c r="P1704" s="6">
        <f t="shared" si="487"/>
        <v>0</v>
      </c>
      <c r="Q1704" s="7">
        <f t="shared" si="486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490"/>
        <v>5</v>
      </c>
      <c r="C1705" s="5">
        <f t="shared" si="491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13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81"/>
        <v>45066</v>
      </c>
      <c r="L1705" s="5">
        <f t="shared" si="482"/>
        <v>5</v>
      </c>
      <c r="M1705" s="5">
        <f t="shared" si="483"/>
        <v>2023</v>
      </c>
      <c r="N1705" s="6">
        <v>5412</v>
      </c>
      <c r="O1705" s="6">
        <f>-5215.4-196.6</f>
        <v>-5412</v>
      </c>
      <c r="P1705" s="6">
        <f t="shared" si="487"/>
        <v>0</v>
      </c>
      <c r="Q1705" s="7">
        <f t="shared" si="486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490"/>
        <v>5</v>
      </c>
      <c r="C1706" s="5">
        <f t="shared" si="491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13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81"/>
        <v>45066</v>
      </c>
      <c r="L1706" s="5">
        <f t="shared" si="482"/>
        <v>5</v>
      </c>
      <c r="M1706" s="5">
        <f t="shared" si="483"/>
        <v>2023</v>
      </c>
      <c r="N1706" s="6">
        <v>2508</v>
      </c>
      <c r="O1706" s="6">
        <f t="shared" ref="O1706:O1708" si="493">-N1706</f>
        <v>-2508</v>
      </c>
      <c r="P1706" s="6">
        <f t="shared" si="487"/>
        <v>0</v>
      </c>
      <c r="Q1706" s="7">
        <f t="shared" si="486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494">MONTH(A1707)</f>
        <v>5</v>
      </c>
      <c r="C1707" s="5">
        <f t="shared" ref="C1707:C1750" si="495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13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81"/>
        <v>45066</v>
      </c>
      <c r="L1707" s="5">
        <f t="shared" si="482"/>
        <v>5</v>
      </c>
      <c r="M1707" s="5">
        <f t="shared" si="483"/>
        <v>2023</v>
      </c>
      <c r="N1707" s="6">
        <v>793.80000000000007</v>
      </c>
      <c r="O1707" s="6">
        <f t="shared" si="493"/>
        <v>-793.80000000000007</v>
      </c>
      <c r="P1707" s="6">
        <f t="shared" si="487"/>
        <v>0</v>
      </c>
      <c r="Q1707" s="7">
        <f t="shared" si="486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494"/>
        <v>5</v>
      </c>
      <c r="C1708" s="5">
        <f t="shared" si="495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13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81"/>
        <v>45066</v>
      </c>
      <c r="L1708" s="5">
        <f t="shared" si="482"/>
        <v>5</v>
      </c>
      <c r="M1708" s="5">
        <f t="shared" si="483"/>
        <v>2023</v>
      </c>
      <c r="N1708" s="6">
        <v>2000</v>
      </c>
      <c r="O1708" s="6">
        <f t="shared" si="493"/>
        <v>-2000</v>
      </c>
      <c r="P1708" s="6">
        <f t="shared" ref="P1708:P1731" si="496">SUM(N1708+O1708)</f>
        <v>0</v>
      </c>
      <c r="Q1708" s="7">
        <f t="shared" si="486"/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494"/>
        <v>5</v>
      </c>
      <c r="C1709" s="5">
        <f t="shared" si="495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13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81"/>
        <v>45066</v>
      </c>
      <c r="L1709" s="5">
        <f t="shared" si="482"/>
        <v>5</v>
      </c>
      <c r="M1709" s="5">
        <f t="shared" si="483"/>
        <v>2023</v>
      </c>
      <c r="N1709" s="6">
        <v>1804</v>
      </c>
      <c r="O1709" s="6">
        <f t="shared" ref="O1709:O1711" si="497">-N1709</f>
        <v>-1804</v>
      </c>
      <c r="P1709" s="6">
        <f t="shared" si="496"/>
        <v>0</v>
      </c>
      <c r="Q1709" s="7">
        <f t="shared" si="486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494"/>
        <v>5</v>
      </c>
      <c r="C1710" s="5">
        <f t="shared" si="495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13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81"/>
        <v>45071</v>
      </c>
      <c r="L1710" s="5">
        <f t="shared" si="482"/>
        <v>5</v>
      </c>
      <c r="M1710" s="5">
        <f t="shared" si="483"/>
        <v>2023</v>
      </c>
      <c r="N1710" s="6">
        <v>948</v>
      </c>
      <c r="O1710" s="6">
        <f t="shared" si="497"/>
        <v>-948</v>
      </c>
      <c r="P1710" s="6">
        <f t="shared" si="496"/>
        <v>0</v>
      </c>
      <c r="Q1710" s="7">
        <f t="shared" si="486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494"/>
        <v>5</v>
      </c>
      <c r="C1711" s="5">
        <f t="shared" si="495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13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81"/>
        <v>45071</v>
      </c>
      <c r="L1711" s="5">
        <f t="shared" si="482"/>
        <v>5</v>
      </c>
      <c r="M1711" s="5">
        <f t="shared" si="483"/>
        <v>2023</v>
      </c>
      <c r="N1711" s="6">
        <v>516</v>
      </c>
      <c r="O1711" s="6">
        <f t="shared" si="497"/>
        <v>-516</v>
      </c>
      <c r="P1711" s="6">
        <f t="shared" si="496"/>
        <v>0</v>
      </c>
      <c r="Q1711" s="7">
        <f t="shared" si="486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494"/>
        <v>5</v>
      </c>
      <c r="C1712" s="5">
        <f t="shared" si="495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13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81"/>
        <v>45071</v>
      </c>
      <c r="L1712" s="5">
        <f t="shared" si="482"/>
        <v>5</v>
      </c>
      <c r="M1712" s="5">
        <f t="shared" si="483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86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494"/>
        <v>5</v>
      </c>
      <c r="C1713" s="5">
        <f t="shared" si="495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2" t="s">
        <v>1609</v>
      </c>
      <c r="H1713" s="13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81"/>
        <v>45071</v>
      </c>
      <c r="L1713" s="5">
        <f t="shared" si="482"/>
        <v>5</v>
      </c>
      <c r="M1713" s="5">
        <f t="shared" si="483"/>
        <v>2023</v>
      </c>
      <c r="N1713" s="6">
        <v>350</v>
      </c>
      <c r="O1713" s="6">
        <f t="shared" ref="O1713" si="498">-N1713</f>
        <v>-350</v>
      </c>
      <c r="P1713" s="6">
        <f t="shared" si="496"/>
        <v>0</v>
      </c>
      <c r="Q1713" s="7">
        <f t="shared" si="486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494"/>
        <v>5</v>
      </c>
      <c r="C1714" s="5">
        <f t="shared" si="495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13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81"/>
        <v>45072</v>
      </c>
      <c r="L1714" s="5">
        <f t="shared" si="482"/>
        <v>5</v>
      </c>
      <c r="M1714" s="5">
        <f t="shared" si="483"/>
        <v>2023</v>
      </c>
      <c r="N1714" s="6">
        <v>1804</v>
      </c>
      <c r="O1714" s="6">
        <f>-N1714</f>
        <v>-1804</v>
      </c>
      <c r="P1714" s="6">
        <f t="shared" si="496"/>
        <v>0</v>
      </c>
      <c r="Q1714" s="7">
        <f t="shared" si="486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494"/>
        <v>5</v>
      </c>
      <c r="C1715" s="5">
        <f t="shared" si="495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13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81"/>
        <v>45072</v>
      </c>
      <c r="L1715" s="5">
        <f t="shared" si="482"/>
        <v>5</v>
      </c>
      <c r="M1715" s="5">
        <f t="shared" si="483"/>
        <v>2023</v>
      </c>
      <c r="N1715" s="6">
        <v>684</v>
      </c>
      <c r="O1715" s="6">
        <f>-N1715</f>
        <v>-684</v>
      </c>
      <c r="P1715" s="6">
        <f t="shared" si="496"/>
        <v>0</v>
      </c>
      <c r="Q1715" s="7">
        <f t="shared" si="486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494"/>
        <v>5</v>
      </c>
      <c r="C1716" s="5">
        <f t="shared" si="495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13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81"/>
        <v>45072</v>
      </c>
      <c r="L1716" s="5">
        <f t="shared" si="482"/>
        <v>5</v>
      </c>
      <c r="M1716" s="5">
        <f t="shared" si="483"/>
        <v>2023</v>
      </c>
      <c r="N1716" s="6">
        <v>264.60000000000002</v>
      </c>
      <c r="O1716" s="6">
        <f>-N1716</f>
        <v>-264.60000000000002</v>
      </c>
      <c r="P1716" s="6">
        <f t="shared" si="496"/>
        <v>0</v>
      </c>
      <c r="Q1716" s="7">
        <f t="shared" si="486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494"/>
        <v>5</v>
      </c>
      <c r="C1717" s="5">
        <f t="shared" si="495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13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81"/>
        <v>45072</v>
      </c>
      <c r="L1717" s="5">
        <f t="shared" si="482"/>
        <v>5</v>
      </c>
      <c r="M1717" s="5">
        <f t="shared" si="483"/>
        <v>2023</v>
      </c>
      <c r="N1717" s="6">
        <v>62.5</v>
      </c>
      <c r="O1717" s="6">
        <f>-N1717</f>
        <v>-62.5</v>
      </c>
      <c r="P1717" s="6">
        <f t="shared" si="496"/>
        <v>0</v>
      </c>
      <c r="Q1717" s="7">
        <f t="shared" si="486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494"/>
        <v>5</v>
      </c>
      <c r="C1718" s="5">
        <f t="shared" si="495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13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81"/>
        <v>45132</v>
      </c>
      <c r="L1718" s="5">
        <f t="shared" si="482"/>
        <v>7</v>
      </c>
      <c r="M1718" s="5">
        <f t="shared" si="483"/>
        <v>2023</v>
      </c>
      <c r="N1718" s="6">
        <v>3388</v>
      </c>
      <c r="O1718" s="6">
        <f t="shared" ref="O1718:O1720" si="499">-N1718</f>
        <v>-3388</v>
      </c>
      <c r="P1718" s="6">
        <f t="shared" si="496"/>
        <v>0</v>
      </c>
      <c r="Q1718" s="7">
        <f t="shared" si="486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494"/>
        <v>5</v>
      </c>
      <c r="C1719" s="5">
        <f t="shared" si="495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13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81"/>
        <v>45132</v>
      </c>
      <c r="L1719" s="5">
        <f t="shared" si="482"/>
        <v>7</v>
      </c>
      <c r="M1719" s="5">
        <f t="shared" si="483"/>
        <v>2023</v>
      </c>
      <c r="N1719" s="6">
        <v>745.2</v>
      </c>
      <c r="O1719" s="6">
        <f t="shared" si="499"/>
        <v>-745.2</v>
      </c>
      <c r="P1719" s="6">
        <f t="shared" si="496"/>
        <v>0</v>
      </c>
      <c r="Q1719" s="7">
        <f t="shared" si="486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494"/>
        <v>5</v>
      </c>
      <c r="C1720" s="5">
        <f t="shared" si="495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13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81"/>
        <v>45132</v>
      </c>
      <c r="L1720" s="5">
        <f t="shared" si="482"/>
        <v>7</v>
      </c>
      <c r="M1720" s="5">
        <f t="shared" si="483"/>
        <v>2023</v>
      </c>
      <c r="N1720" s="6">
        <v>488</v>
      </c>
      <c r="O1720" s="6">
        <f t="shared" si="499"/>
        <v>-488</v>
      </c>
      <c r="P1720" s="6">
        <f t="shared" si="496"/>
        <v>0</v>
      </c>
      <c r="Q1720" s="7">
        <f t="shared" si="486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494"/>
        <v>5</v>
      </c>
      <c r="C1721" s="5">
        <f t="shared" si="495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13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81"/>
        <v>45072</v>
      </c>
      <c r="L1721" s="5">
        <f t="shared" si="482"/>
        <v>5</v>
      </c>
      <c r="M1721" s="5">
        <f t="shared" si="483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86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494"/>
        <v>5</v>
      </c>
      <c r="C1722" s="5">
        <f t="shared" si="495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13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81"/>
        <v>45076</v>
      </c>
      <c r="L1722" s="5">
        <f t="shared" si="482"/>
        <v>5</v>
      </c>
      <c r="M1722" s="5">
        <f t="shared" si="483"/>
        <v>2023</v>
      </c>
      <c r="N1722" s="6">
        <v>948</v>
      </c>
      <c r="O1722" s="6">
        <f>-N1722</f>
        <v>-948</v>
      </c>
      <c r="P1722" s="6">
        <f t="shared" si="496"/>
        <v>0</v>
      </c>
      <c r="Q1722" s="7">
        <f t="shared" si="486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494"/>
        <v>5</v>
      </c>
      <c r="C1723" s="5">
        <f t="shared" si="495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13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81"/>
        <v>45076</v>
      </c>
      <c r="L1723" s="5">
        <f t="shared" si="482"/>
        <v>5</v>
      </c>
      <c r="M1723" s="5">
        <f t="shared" si="483"/>
        <v>2023</v>
      </c>
      <c r="N1723" s="6">
        <v>160</v>
      </c>
      <c r="O1723" s="6">
        <f>-N1723</f>
        <v>-160</v>
      </c>
      <c r="P1723" s="6">
        <f t="shared" si="496"/>
        <v>0</v>
      </c>
      <c r="Q1723" s="7">
        <f t="shared" si="486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494"/>
        <v>5</v>
      </c>
      <c r="C1724" s="5">
        <f t="shared" si="495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13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81"/>
        <v>45076</v>
      </c>
      <c r="L1724" s="5">
        <f t="shared" si="482"/>
        <v>5</v>
      </c>
      <c r="M1724" s="5">
        <f t="shared" si="483"/>
        <v>2023</v>
      </c>
      <c r="N1724" s="6">
        <v>1870</v>
      </c>
      <c r="O1724" s="6">
        <f t="shared" ref="O1724:O1728" si="500">-N1724</f>
        <v>-1870</v>
      </c>
      <c r="P1724" s="6">
        <f t="shared" si="496"/>
        <v>0</v>
      </c>
      <c r="Q1724" s="7">
        <f t="shared" si="486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494"/>
        <v>5</v>
      </c>
      <c r="C1725" s="5">
        <f t="shared" si="495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13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81"/>
        <v>45076</v>
      </c>
      <c r="L1725" s="5">
        <f t="shared" si="482"/>
        <v>5</v>
      </c>
      <c r="M1725" s="5">
        <f t="shared" si="483"/>
        <v>2023</v>
      </c>
      <c r="N1725" s="6">
        <v>325</v>
      </c>
      <c r="O1725" s="6">
        <f t="shared" si="500"/>
        <v>-325</v>
      </c>
      <c r="P1725" s="6">
        <f t="shared" si="496"/>
        <v>0</v>
      </c>
      <c r="Q1725" s="7">
        <f t="shared" si="486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494"/>
        <v>5</v>
      </c>
      <c r="C1726" s="5">
        <f t="shared" si="495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13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81"/>
        <v>45077</v>
      </c>
      <c r="L1726" s="5">
        <f t="shared" si="482"/>
        <v>5</v>
      </c>
      <c r="M1726" s="5">
        <f t="shared" si="483"/>
        <v>2023</v>
      </c>
      <c r="N1726" s="6">
        <v>3608</v>
      </c>
      <c r="O1726" s="6">
        <f t="shared" si="500"/>
        <v>-3608</v>
      </c>
      <c r="P1726" s="6">
        <f t="shared" si="496"/>
        <v>0</v>
      </c>
      <c r="Q1726" s="7">
        <f t="shared" si="486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494"/>
        <v>5</v>
      </c>
      <c r="C1727" s="5">
        <f t="shared" si="495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13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81"/>
        <v>45077</v>
      </c>
      <c r="L1727" s="5">
        <f t="shared" si="482"/>
        <v>5</v>
      </c>
      <c r="M1727" s="5">
        <f t="shared" si="483"/>
        <v>2023</v>
      </c>
      <c r="N1727" s="6">
        <v>456</v>
      </c>
      <c r="O1727" s="6">
        <f t="shared" si="500"/>
        <v>-456</v>
      </c>
      <c r="P1727" s="6">
        <f t="shared" si="496"/>
        <v>0</v>
      </c>
      <c r="Q1727" s="7">
        <f t="shared" si="486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494"/>
        <v>5</v>
      </c>
      <c r="C1728" s="5">
        <f t="shared" si="495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13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81"/>
        <v>45077</v>
      </c>
      <c r="L1728" s="5">
        <f t="shared" si="482"/>
        <v>5</v>
      </c>
      <c r="M1728" s="5">
        <f t="shared" si="483"/>
        <v>2023</v>
      </c>
      <c r="N1728" s="6">
        <v>504</v>
      </c>
      <c r="O1728" s="6">
        <f t="shared" si="500"/>
        <v>-504</v>
      </c>
      <c r="P1728" s="6">
        <f t="shared" si="496"/>
        <v>0</v>
      </c>
      <c r="Q1728" s="7">
        <f t="shared" si="486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494"/>
        <v>6</v>
      </c>
      <c r="C1729" s="5">
        <f t="shared" si="495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2" t="s">
        <v>1609</v>
      </c>
      <c r="H1729" s="13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81"/>
        <v>45078</v>
      </c>
      <c r="L1729" s="5">
        <f t="shared" si="482"/>
        <v>6</v>
      </c>
      <c r="M1729" s="5">
        <f t="shared" si="483"/>
        <v>2023</v>
      </c>
      <c r="N1729" s="95">
        <v>350</v>
      </c>
      <c r="O1729" s="6">
        <f t="shared" ref="O1729" si="501">-N1729</f>
        <v>-350</v>
      </c>
      <c r="P1729" s="6">
        <f t="shared" si="496"/>
        <v>0</v>
      </c>
      <c r="Q1729" s="7">
        <f t="shared" si="486"/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494"/>
        <v>6</v>
      </c>
      <c r="C1730" s="5">
        <f t="shared" si="495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13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81"/>
        <v>45080</v>
      </c>
      <c r="L1730" s="5">
        <f t="shared" si="482"/>
        <v>6</v>
      </c>
      <c r="M1730" s="5">
        <f t="shared" si="483"/>
        <v>2023</v>
      </c>
      <c r="N1730" s="6">
        <v>3740</v>
      </c>
      <c r="O1730" s="6">
        <f t="shared" ref="O1730:O1731" si="502">-N1730</f>
        <v>-3740</v>
      </c>
      <c r="P1730" s="6">
        <f t="shared" si="496"/>
        <v>0</v>
      </c>
      <c r="Q1730" s="7">
        <f t="shared" si="486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494"/>
        <v>6</v>
      </c>
      <c r="C1731" s="5">
        <f t="shared" si="495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13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03">A1731+J1731</f>
        <v>45080</v>
      </c>
      <c r="L1731" s="5">
        <f t="shared" ref="L1731:L1794" si="504">MONTH(K1731)</f>
        <v>6</v>
      </c>
      <c r="M1731" s="5">
        <f t="shared" ref="M1731:M1794" si="505">YEAR(K1731)</f>
        <v>2023</v>
      </c>
      <c r="N1731" s="6">
        <v>1005</v>
      </c>
      <c r="O1731" s="6">
        <f t="shared" si="502"/>
        <v>-1005</v>
      </c>
      <c r="P1731" s="6">
        <f t="shared" si="496"/>
        <v>0</v>
      </c>
      <c r="Q1731" s="7">
        <f t="shared" si="486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494"/>
        <v>6</v>
      </c>
      <c r="C1732" s="5">
        <f t="shared" si="495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13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03"/>
        <v>45080</v>
      </c>
      <c r="L1732" s="5">
        <f t="shared" si="504"/>
        <v>6</v>
      </c>
      <c r="M1732" s="5">
        <f t="shared" si="505"/>
        <v>2023</v>
      </c>
      <c r="N1732" s="6">
        <v>3652</v>
      </c>
      <c r="O1732" s="6">
        <f>-922.8-500-1350-879.2</f>
        <v>-3652</v>
      </c>
      <c r="P1732" s="6">
        <f t="shared" ref="P1732:P1751" si="506">SUM(N1732+O1732)</f>
        <v>0</v>
      </c>
      <c r="Q1732" s="7">
        <f t="shared" si="486"/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494"/>
        <v>6</v>
      </c>
      <c r="C1733" s="5">
        <f t="shared" si="495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13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03"/>
        <v>45080</v>
      </c>
      <c r="L1733" s="5">
        <f t="shared" si="504"/>
        <v>6</v>
      </c>
      <c r="M1733" s="5">
        <f t="shared" si="505"/>
        <v>2023</v>
      </c>
      <c r="N1733" s="6">
        <v>1045.2</v>
      </c>
      <c r="O1733" s="6">
        <f t="shared" ref="O1733" si="507">-N1733</f>
        <v>-1045.2</v>
      </c>
      <c r="P1733" s="6">
        <f t="shared" si="506"/>
        <v>0</v>
      </c>
      <c r="Q1733" s="7">
        <f t="shared" si="48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494"/>
        <v>6</v>
      </c>
      <c r="C1734" s="5">
        <f t="shared" si="495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13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03"/>
        <v>45080</v>
      </c>
      <c r="L1734" s="5">
        <f t="shared" si="504"/>
        <v>6</v>
      </c>
      <c r="M1734" s="5">
        <f t="shared" si="505"/>
        <v>2023</v>
      </c>
      <c r="N1734" s="6">
        <v>187.5</v>
      </c>
      <c r="O1734" s="6">
        <f>-75.6-111.9</f>
        <v>-187.5</v>
      </c>
      <c r="P1734" s="6">
        <f t="shared" si="506"/>
        <v>0</v>
      </c>
      <c r="Q1734" s="7">
        <f t="shared" si="48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494"/>
        <v>6</v>
      </c>
      <c r="C1735" s="5">
        <f t="shared" si="495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13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03"/>
        <v>45080</v>
      </c>
      <c r="L1735" s="5">
        <f t="shared" si="504"/>
        <v>6</v>
      </c>
      <c r="M1735" s="5">
        <f t="shared" si="505"/>
        <v>2023</v>
      </c>
      <c r="N1735" s="6">
        <v>780</v>
      </c>
      <c r="O1735" s="6">
        <f t="shared" ref="O1735:O1736" si="508">-N1735</f>
        <v>-780</v>
      </c>
      <c r="P1735" s="6">
        <f t="shared" si="506"/>
        <v>0</v>
      </c>
      <c r="Q1735" s="7">
        <f t="shared" si="48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494"/>
        <v>6</v>
      </c>
      <c r="C1736" s="5">
        <f t="shared" si="495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13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03"/>
        <v>45080</v>
      </c>
      <c r="L1736" s="5">
        <f t="shared" si="504"/>
        <v>6</v>
      </c>
      <c r="M1736" s="5">
        <f t="shared" si="505"/>
        <v>2023</v>
      </c>
      <c r="N1736" s="6">
        <v>210</v>
      </c>
      <c r="O1736" s="6">
        <f t="shared" si="508"/>
        <v>-210</v>
      </c>
      <c r="P1736" s="6">
        <f t="shared" si="506"/>
        <v>0</v>
      </c>
      <c r="Q1736" s="7">
        <f t="shared" si="48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494"/>
        <v>6</v>
      </c>
      <c r="C1737" s="5">
        <f t="shared" si="495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137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03"/>
        <v>45084</v>
      </c>
      <c r="L1737" s="5">
        <f t="shared" si="504"/>
        <v>6</v>
      </c>
      <c r="M1737" s="5">
        <f t="shared" si="505"/>
        <v>2023</v>
      </c>
      <c r="N1737" s="6">
        <v>1804</v>
      </c>
      <c r="O1737" s="6">
        <f t="shared" ref="O1737:O1742" si="509">-N1737</f>
        <v>-1804</v>
      </c>
      <c r="P1737" s="6">
        <f t="shared" si="506"/>
        <v>0</v>
      </c>
      <c r="Q1737" s="7">
        <f t="shared" si="48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494"/>
        <v>6</v>
      </c>
      <c r="C1738" s="5">
        <f t="shared" si="495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137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03"/>
        <v>45084</v>
      </c>
      <c r="L1738" s="5">
        <f t="shared" si="504"/>
        <v>6</v>
      </c>
      <c r="M1738" s="5">
        <f t="shared" si="505"/>
        <v>2023</v>
      </c>
      <c r="N1738" s="6">
        <v>360</v>
      </c>
      <c r="O1738" s="6">
        <f t="shared" si="509"/>
        <v>-360</v>
      </c>
      <c r="P1738" s="6">
        <f t="shared" si="506"/>
        <v>0</v>
      </c>
      <c r="Q1738" s="7">
        <f t="shared" si="48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494"/>
        <v>6</v>
      </c>
      <c r="C1739" s="5">
        <f t="shared" si="495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137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03"/>
        <v>45084</v>
      </c>
      <c r="L1739" s="5">
        <f t="shared" si="504"/>
        <v>6</v>
      </c>
      <c r="M1739" s="5">
        <f t="shared" si="505"/>
        <v>2023</v>
      </c>
      <c r="N1739" s="6">
        <v>1140</v>
      </c>
      <c r="O1739" s="6">
        <f t="shared" si="509"/>
        <v>-1140</v>
      </c>
      <c r="P1739" s="6">
        <f t="shared" si="506"/>
        <v>0</v>
      </c>
      <c r="Q1739" s="7">
        <f t="shared" si="48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494"/>
        <v>6</v>
      </c>
      <c r="C1740" s="5">
        <f t="shared" si="495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137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03"/>
        <v>45084</v>
      </c>
      <c r="L1740" s="5">
        <f t="shared" si="504"/>
        <v>6</v>
      </c>
      <c r="M1740" s="5">
        <f t="shared" si="505"/>
        <v>2023</v>
      </c>
      <c r="N1740" s="6">
        <v>62.5</v>
      </c>
      <c r="O1740" s="6">
        <f t="shared" si="509"/>
        <v>-62.5</v>
      </c>
      <c r="P1740" s="6">
        <f t="shared" si="506"/>
        <v>0</v>
      </c>
      <c r="Q1740" s="7">
        <f t="shared" si="48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494"/>
        <v>6</v>
      </c>
      <c r="C1741" s="5">
        <f t="shared" si="495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137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03"/>
        <v>45084</v>
      </c>
      <c r="L1741" s="5">
        <f t="shared" si="504"/>
        <v>6</v>
      </c>
      <c r="M1741" s="5">
        <f t="shared" si="505"/>
        <v>2023</v>
      </c>
      <c r="N1741" s="6">
        <v>80</v>
      </c>
      <c r="O1741" s="6">
        <f t="shared" si="509"/>
        <v>-80</v>
      </c>
      <c r="P1741" s="6">
        <f t="shared" si="506"/>
        <v>0</v>
      </c>
      <c r="Q1741" s="7">
        <f t="shared" si="48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494"/>
        <v>6</v>
      </c>
      <c r="C1742" s="5">
        <f t="shared" si="495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8" t="s">
        <v>1062</v>
      </c>
      <c r="H1742" s="138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03"/>
        <v>45084</v>
      </c>
      <c r="L1742" s="5">
        <f t="shared" si="504"/>
        <v>6</v>
      </c>
      <c r="M1742" s="5">
        <f t="shared" si="505"/>
        <v>2023</v>
      </c>
      <c r="N1742" s="6">
        <v>380</v>
      </c>
      <c r="O1742" s="6">
        <f t="shared" si="509"/>
        <v>-380</v>
      </c>
      <c r="P1742" s="6">
        <f t="shared" si="506"/>
        <v>0</v>
      </c>
      <c r="Q1742" s="7">
        <f t="shared" si="48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494"/>
        <v>6</v>
      </c>
      <c r="C1743" s="5">
        <f t="shared" si="495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3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03"/>
        <v>45203</v>
      </c>
      <c r="L1743" s="5">
        <f t="shared" si="504"/>
        <v>10</v>
      </c>
      <c r="M1743" s="5">
        <f t="shared" si="505"/>
        <v>2023</v>
      </c>
      <c r="N1743" s="6">
        <v>10032</v>
      </c>
      <c r="O1743" s="6">
        <f>-N1743</f>
        <v>-10032</v>
      </c>
      <c r="P1743" s="6">
        <f t="shared" si="506"/>
        <v>0</v>
      </c>
      <c r="Q1743" s="7">
        <f t="shared" si="48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494"/>
        <v>6</v>
      </c>
      <c r="C1744" s="5">
        <f t="shared" si="495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137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03"/>
        <v>45203</v>
      </c>
      <c r="L1744" s="5">
        <f t="shared" si="504"/>
        <v>10</v>
      </c>
      <c r="M1744" s="5">
        <f t="shared" si="505"/>
        <v>2023</v>
      </c>
      <c r="N1744" s="6">
        <v>2010</v>
      </c>
      <c r="O1744" s="6">
        <f>-N1744</f>
        <v>-2010</v>
      </c>
      <c r="P1744" s="6">
        <f t="shared" si="506"/>
        <v>0</v>
      </c>
      <c r="Q1744" s="7">
        <f t="shared" si="48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494"/>
        <v>6</v>
      </c>
      <c r="C1745" s="5">
        <f t="shared" si="495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137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03"/>
        <v>45203</v>
      </c>
      <c r="L1745" s="5">
        <f t="shared" si="504"/>
        <v>10</v>
      </c>
      <c r="M1745" s="5">
        <f t="shared" si="505"/>
        <v>2023</v>
      </c>
      <c r="N1745" s="6">
        <v>575</v>
      </c>
      <c r="O1745" s="6">
        <f>-N1745</f>
        <v>-575</v>
      </c>
      <c r="P1745" s="6">
        <f t="shared" si="506"/>
        <v>0</v>
      </c>
      <c r="Q1745" s="7">
        <f t="shared" si="48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494"/>
        <v>6</v>
      </c>
      <c r="C1746" s="5">
        <f t="shared" si="495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137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03"/>
        <v>45203</v>
      </c>
      <c r="L1746" s="5">
        <f t="shared" si="504"/>
        <v>10</v>
      </c>
      <c r="M1746" s="5">
        <f t="shared" si="505"/>
        <v>2023</v>
      </c>
      <c r="N1746" s="6">
        <v>420</v>
      </c>
      <c r="O1746" s="6">
        <f>-N1746</f>
        <v>-420</v>
      </c>
      <c r="P1746" s="6">
        <f t="shared" si="506"/>
        <v>0</v>
      </c>
      <c r="Q1746" s="7">
        <f t="shared" ref="Q1746:Q1809" si="510">SUM(Q1745+N1746)</f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494"/>
        <v>6</v>
      </c>
      <c r="C1747" s="5">
        <f t="shared" si="495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137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03"/>
        <v>45203</v>
      </c>
      <c r="L1747" s="5">
        <f t="shared" si="504"/>
        <v>10</v>
      </c>
      <c r="M1747" s="5">
        <f t="shared" si="505"/>
        <v>2023</v>
      </c>
      <c r="N1747" s="6">
        <v>420</v>
      </c>
      <c r="O1747" s="6">
        <f>-N1747</f>
        <v>-420</v>
      </c>
      <c r="P1747" s="6">
        <f t="shared" si="506"/>
        <v>0</v>
      </c>
      <c r="Q1747" s="7">
        <f t="shared" si="510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494"/>
        <v>6</v>
      </c>
      <c r="C1748" s="5">
        <f t="shared" si="495"/>
        <v>2023</v>
      </c>
      <c r="D1748" s="104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13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03"/>
        <v>45084</v>
      </c>
      <c r="L1748" s="5">
        <f t="shared" si="504"/>
        <v>6</v>
      </c>
      <c r="M1748" s="5">
        <f t="shared" si="505"/>
        <v>2023</v>
      </c>
      <c r="N1748" s="6">
        <v>3608</v>
      </c>
      <c r="O1748" s="6">
        <f t="shared" ref="O1748:O1755" si="511">-N1748</f>
        <v>-3608</v>
      </c>
      <c r="P1748" s="6">
        <f t="shared" si="506"/>
        <v>0</v>
      </c>
      <c r="Q1748" s="7">
        <f t="shared" si="510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494"/>
        <v>6</v>
      </c>
      <c r="C1749" s="5">
        <f t="shared" si="495"/>
        <v>2023</v>
      </c>
      <c r="D1749" s="104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13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03"/>
        <v>45084</v>
      </c>
      <c r="L1749" s="5">
        <f t="shared" si="504"/>
        <v>6</v>
      </c>
      <c r="M1749" s="5">
        <f t="shared" si="505"/>
        <v>2023</v>
      </c>
      <c r="N1749" s="6">
        <v>948</v>
      </c>
      <c r="O1749" s="6">
        <f t="shared" si="511"/>
        <v>-948</v>
      </c>
      <c r="P1749" s="6">
        <f t="shared" si="506"/>
        <v>0</v>
      </c>
      <c r="Q1749" s="7">
        <f t="shared" si="510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494"/>
        <v>6</v>
      </c>
      <c r="C1750" s="5">
        <f t="shared" si="495"/>
        <v>2023</v>
      </c>
      <c r="D1750" s="104" t="s">
        <v>1618</v>
      </c>
      <c r="E1750" s="5" t="str">
        <f>VLOOKUP(F1750,'Set up'!$A$2:$C$55,2,FALSE)</f>
        <v>C00000014</v>
      </c>
      <c r="F1750" s="1" t="s">
        <v>263</v>
      </c>
      <c r="G1750" s="98" t="s">
        <v>866</v>
      </c>
      <c r="H1750" s="13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03"/>
        <v>45084</v>
      </c>
      <c r="L1750" s="5">
        <f t="shared" si="504"/>
        <v>6</v>
      </c>
      <c r="M1750" s="5">
        <f t="shared" si="505"/>
        <v>2023</v>
      </c>
      <c r="N1750" s="6">
        <v>516</v>
      </c>
      <c r="O1750" s="6">
        <f t="shared" si="511"/>
        <v>-516</v>
      </c>
      <c r="P1750" s="6">
        <f t="shared" si="506"/>
        <v>0</v>
      </c>
      <c r="Q1750" s="7">
        <f t="shared" si="510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12">MONTH(A1751)</f>
        <v>6</v>
      </c>
      <c r="C1751" s="5">
        <f t="shared" ref="C1751" si="513">YEAR(A1751)</f>
        <v>2023</v>
      </c>
      <c r="D1751" s="104" t="s">
        <v>1618</v>
      </c>
      <c r="E1751" s="5" t="str">
        <f>VLOOKUP(F1751,'Set up'!$A$2:$C$55,2,FALSE)</f>
        <v>C00000014</v>
      </c>
      <c r="F1751" s="1" t="s">
        <v>263</v>
      </c>
      <c r="G1751" s="98" t="s">
        <v>895</v>
      </c>
      <c r="H1751" s="13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03"/>
        <v>45084</v>
      </c>
      <c r="L1751" s="5">
        <f t="shared" si="504"/>
        <v>6</v>
      </c>
      <c r="M1751" s="5">
        <f t="shared" si="505"/>
        <v>2023</v>
      </c>
      <c r="N1751" s="6">
        <v>320</v>
      </c>
      <c r="O1751" s="6">
        <f t="shared" si="511"/>
        <v>-320</v>
      </c>
      <c r="P1751" s="6">
        <f t="shared" si="506"/>
        <v>0</v>
      </c>
      <c r="Q1751" s="7">
        <f t="shared" si="510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14">MONTH(A1752)</f>
        <v>6</v>
      </c>
      <c r="C1752" s="5">
        <f t="shared" ref="C1752:C1782" si="515">YEAR(A1752)</f>
        <v>2023</v>
      </c>
      <c r="D1752" s="104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137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03"/>
        <v>45085</v>
      </c>
      <c r="L1752" s="5">
        <f t="shared" si="504"/>
        <v>6</v>
      </c>
      <c r="M1752" s="5">
        <f t="shared" si="505"/>
        <v>2023</v>
      </c>
      <c r="N1752" s="6">
        <v>1804</v>
      </c>
      <c r="O1752" s="6">
        <f t="shared" si="511"/>
        <v>-1804</v>
      </c>
      <c r="P1752" s="6">
        <f t="shared" ref="P1752:P1782" si="516">SUM(N1752+O1752)</f>
        <v>0</v>
      </c>
      <c r="Q1752" s="7">
        <f t="shared" si="510"/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14"/>
        <v>6</v>
      </c>
      <c r="C1753" s="5">
        <f t="shared" si="515"/>
        <v>2023</v>
      </c>
      <c r="D1753" s="104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137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03"/>
        <v>45085</v>
      </c>
      <c r="L1753" s="5">
        <f t="shared" si="504"/>
        <v>6</v>
      </c>
      <c r="M1753" s="5">
        <f t="shared" si="505"/>
        <v>2023</v>
      </c>
      <c r="N1753" s="6">
        <v>912</v>
      </c>
      <c r="O1753" s="6">
        <f t="shared" si="511"/>
        <v>-912</v>
      </c>
      <c r="P1753" s="6">
        <f t="shared" si="516"/>
        <v>0</v>
      </c>
      <c r="Q1753" s="7">
        <f t="shared" si="510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14"/>
        <v>6</v>
      </c>
      <c r="C1754" s="5">
        <f t="shared" si="515"/>
        <v>2023</v>
      </c>
      <c r="D1754" s="104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137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03"/>
        <v>45085</v>
      </c>
      <c r="L1754" s="5">
        <f t="shared" si="504"/>
        <v>6</v>
      </c>
      <c r="M1754" s="5">
        <f t="shared" si="505"/>
        <v>2023</v>
      </c>
      <c r="N1754" s="6">
        <v>62.5</v>
      </c>
      <c r="O1754" s="6">
        <f t="shared" si="511"/>
        <v>-62.5</v>
      </c>
      <c r="P1754" s="6">
        <f t="shared" si="516"/>
        <v>0</v>
      </c>
      <c r="Q1754" s="7">
        <f t="shared" si="510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14"/>
        <v>6</v>
      </c>
      <c r="C1755" s="5">
        <f t="shared" si="515"/>
        <v>2023</v>
      </c>
      <c r="D1755" s="104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137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03"/>
        <v>45085</v>
      </c>
      <c r="L1755" s="5">
        <f t="shared" si="504"/>
        <v>6</v>
      </c>
      <c r="M1755" s="5">
        <f t="shared" si="505"/>
        <v>2023</v>
      </c>
      <c r="N1755" s="6">
        <v>190</v>
      </c>
      <c r="O1755" s="6">
        <f t="shared" si="511"/>
        <v>-190</v>
      </c>
      <c r="P1755" s="6">
        <f t="shared" si="516"/>
        <v>0</v>
      </c>
      <c r="Q1755" s="7">
        <f t="shared" si="510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14"/>
        <v>6</v>
      </c>
      <c r="C1756" s="5">
        <f t="shared" si="515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13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03"/>
        <v>45086</v>
      </c>
      <c r="L1756" s="5">
        <f t="shared" si="504"/>
        <v>6</v>
      </c>
      <c r="M1756" s="5">
        <f t="shared" si="505"/>
        <v>2023</v>
      </c>
      <c r="N1756" s="6">
        <v>1870</v>
      </c>
      <c r="O1756" s="6">
        <f t="shared" ref="O1756:O1768" si="517">-N1756</f>
        <v>-1870</v>
      </c>
      <c r="P1756" s="6">
        <f t="shared" si="516"/>
        <v>0</v>
      </c>
      <c r="Q1756" s="7">
        <f t="shared" si="510"/>
        <v>3193440.7500000014</v>
      </c>
      <c r="R1756" s="44" t="str">
        <f>VLOOKUP(F1756,'Set up'!$A$2:$E$55,5,FALSE)</f>
        <v>Trsf</v>
      </c>
      <c r="S1756" s="114" t="s">
        <v>1696</v>
      </c>
    </row>
    <row r="1757" spans="1:19" ht="15" customHeight="1" x14ac:dyDescent="0.3">
      <c r="A1757" s="4">
        <v>45086</v>
      </c>
      <c r="B1757" s="5">
        <f t="shared" si="514"/>
        <v>6</v>
      </c>
      <c r="C1757" s="5">
        <f t="shared" si="515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13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03"/>
        <v>45086</v>
      </c>
      <c r="L1757" s="5">
        <f t="shared" si="504"/>
        <v>6</v>
      </c>
      <c r="M1757" s="5">
        <f t="shared" si="505"/>
        <v>2023</v>
      </c>
      <c r="N1757" s="6">
        <v>450</v>
      </c>
      <c r="O1757" s="6">
        <f t="shared" si="517"/>
        <v>-450</v>
      </c>
      <c r="P1757" s="6">
        <f t="shared" si="516"/>
        <v>0</v>
      </c>
      <c r="Q1757" s="7">
        <f t="shared" si="510"/>
        <v>3193890.7500000014</v>
      </c>
      <c r="R1757" s="44" t="str">
        <f>VLOOKUP(F1757,'Set up'!$A$2:$E$55,5,FALSE)</f>
        <v>Trsf</v>
      </c>
      <c r="S1757" s="114" t="s">
        <v>1696</v>
      </c>
    </row>
    <row r="1758" spans="1:19" ht="15" customHeight="1" x14ac:dyDescent="0.3">
      <c r="A1758" s="4">
        <v>45086</v>
      </c>
      <c r="B1758" s="5">
        <f t="shared" si="514"/>
        <v>6</v>
      </c>
      <c r="C1758" s="5">
        <f t="shared" si="515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13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03"/>
        <v>45086</v>
      </c>
      <c r="L1758" s="5">
        <f t="shared" si="504"/>
        <v>6</v>
      </c>
      <c r="M1758" s="5">
        <f t="shared" si="505"/>
        <v>2023</v>
      </c>
      <c r="N1758" s="6">
        <v>225</v>
      </c>
      <c r="O1758" s="6">
        <f t="shared" si="517"/>
        <v>-225</v>
      </c>
      <c r="P1758" s="6">
        <f t="shared" si="516"/>
        <v>0</v>
      </c>
      <c r="Q1758" s="7">
        <f t="shared" si="510"/>
        <v>3194115.7500000014</v>
      </c>
      <c r="R1758" s="44" t="str">
        <f>VLOOKUP(F1758,'Set up'!$A$2:$E$55,5,FALSE)</f>
        <v>Trsf</v>
      </c>
      <c r="S1758" s="114" t="s">
        <v>1696</v>
      </c>
    </row>
    <row r="1759" spans="1:19" ht="15" customHeight="1" x14ac:dyDescent="0.3">
      <c r="A1759" s="4">
        <v>45086</v>
      </c>
      <c r="B1759" s="5">
        <f t="shared" si="514"/>
        <v>6</v>
      </c>
      <c r="C1759" s="5">
        <f t="shared" si="515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13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03"/>
        <v>45086</v>
      </c>
      <c r="L1759" s="5">
        <f t="shared" si="504"/>
        <v>6</v>
      </c>
      <c r="M1759" s="5">
        <f t="shared" si="505"/>
        <v>2023</v>
      </c>
      <c r="N1759" s="6">
        <v>247.8</v>
      </c>
      <c r="O1759" s="91">
        <f>-247.8</f>
        <v>-247.8</v>
      </c>
      <c r="P1759" s="91">
        <f t="shared" si="516"/>
        <v>0</v>
      </c>
      <c r="Q1759" s="7">
        <f t="shared" si="510"/>
        <v>3194363.5500000012</v>
      </c>
      <c r="R1759" s="44" t="str">
        <f>VLOOKUP(F1759,'Set up'!$A$2:$E$55,5,FALSE)</f>
        <v>Trsf</v>
      </c>
      <c r="S1759" s="114" t="s">
        <v>1696</v>
      </c>
    </row>
    <row r="1760" spans="1:19" ht="15" customHeight="1" x14ac:dyDescent="0.3">
      <c r="A1760" s="4" t="s">
        <v>1626</v>
      </c>
      <c r="B1760" s="5">
        <f t="shared" si="514"/>
        <v>6</v>
      </c>
      <c r="C1760" s="5">
        <f t="shared" si="515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13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03"/>
        <v>45089</v>
      </c>
      <c r="L1760" s="5">
        <f t="shared" si="504"/>
        <v>6</v>
      </c>
      <c r="M1760" s="5">
        <f t="shared" si="505"/>
        <v>2023</v>
      </c>
      <c r="N1760" s="6">
        <v>1870</v>
      </c>
      <c r="O1760" s="6">
        <f t="shared" si="517"/>
        <v>-1870</v>
      </c>
      <c r="P1760" s="6">
        <f t="shared" si="516"/>
        <v>0</v>
      </c>
      <c r="Q1760" s="7">
        <f t="shared" si="510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14"/>
        <v>6</v>
      </c>
      <c r="C1761" s="5">
        <f t="shared" si="515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13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03"/>
        <v>45089</v>
      </c>
      <c r="L1761" s="5">
        <f t="shared" si="504"/>
        <v>6</v>
      </c>
      <c r="M1761" s="5">
        <f t="shared" si="505"/>
        <v>2023</v>
      </c>
      <c r="N1761" s="6">
        <v>450</v>
      </c>
      <c r="O1761" s="6">
        <f t="shared" si="517"/>
        <v>-450</v>
      </c>
      <c r="P1761" s="6">
        <f t="shared" si="516"/>
        <v>0</v>
      </c>
      <c r="Q1761" s="7">
        <f t="shared" si="510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14"/>
        <v>6</v>
      </c>
      <c r="C1762" s="5">
        <f t="shared" si="515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13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03"/>
        <v>45089</v>
      </c>
      <c r="L1762" s="5">
        <f t="shared" si="504"/>
        <v>6</v>
      </c>
      <c r="M1762" s="5">
        <f t="shared" si="505"/>
        <v>2023</v>
      </c>
      <c r="N1762" s="6">
        <v>225</v>
      </c>
      <c r="O1762" s="6">
        <f t="shared" si="517"/>
        <v>-225</v>
      </c>
      <c r="P1762" s="6">
        <f t="shared" si="516"/>
        <v>0</v>
      </c>
      <c r="Q1762" s="7">
        <f t="shared" si="510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14"/>
        <v>6</v>
      </c>
      <c r="C1763" s="5">
        <f t="shared" si="515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13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03"/>
        <v>45089</v>
      </c>
      <c r="L1763" s="5">
        <f t="shared" si="504"/>
        <v>6</v>
      </c>
      <c r="M1763" s="5">
        <f t="shared" si="505"/>
        <v>2023</v>
      </c>
      <c r="N1763" s="6">
        <v>236</v>
      </c>
      <c r="O1763" s="6">
        <f t="shared" si="517"/>
        <v>-236</v>
      </c>
      <c r="P1763" s="6">
        <f t="shared" si="516"/>
        <v>0</v>
      </c>
      <c r="Q1763" s="7">
        <f t="shared" si="510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14"/>
        <v>6</v>
      </c>
      <c r="C1764" s="5">
        <f t="shared" si="515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13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03"/>
        <v>45089</v>
      </c>
      <c r="L1764" s="5">
        <f t="shared" si="504"/>
        <v>6</v>
      </c>
      <c r="M1764" s="5">
        <f t="shared" si="505"/>
        <v>2023</v>
      </c>
      <c r="N1764" s="6">
        <v>1390</v>
      </c>
      <c r="O1764" s="6">
        <f t="shared" si="517"/>
        <v>-1390</v>
      </c>
      <c r="P1764" s="6">
        <f t="shared" si="516"/>
        <v>0</v>
      </c>
      <c r="Q1764" s="7">
        <f t="shared" si="510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14"/>
        <v>6</v>
      </c>
      <c r="C1765" s="5">
        <f t="shared" si="515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13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03"/>
        <v>45089</v>
      </c>
      <c r="L1765" s="5">
        <f t="shared" si="504"/>
        <v>6</v>
      </c>
      <c r="M1765" s="5">
        <f t="shared" si="505"/>
        <v>2023</v>
      </c>
      <c r="N1765" s="6">
        <v>187.5</v>
      </c>
      <c r="O1765" s="6">
        <f t="shared" si="517"/>
        <v>-187.5</v>
      </c>
      <c r="P1765" s="6">
        <f t="shared" si="516"/>
        <v>0</v>
      </c>
      <c r="Q1765" s="7">
        <f t="shared" si="510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14"/>
        <v>6</v>
      </c>
      <c r="C1766" s="5">
        <f t="shared" si="515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13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03"/>
        <v>45089</v>
      </c>
      <c r="L1766" s="5">
        <f t="shared" si="504"/>
        <v>6</v>
      </c>
      <c r="M1766" s="5">
        <f t="shared" si="505"/>
        <v>2023</v>
      </c>
      <c r="N1766" s="6">
        <v>95</v>
      </c>
      <c r="O1766" s="6">
        <f t="shared" si="517"/>
        <v>-95</v>
      </c>
      <c r="P1766" s="6">
        <f t="shared" si="516"/>
        <v>0</v>
      </c>
      <c r="Q1766" s="7">
        <f t="shared" si="510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14"/>
        <v>6</v>
      </c>
      <c r="C1767" s="5">
        <f t="shared" si="515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13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03"/>
        <v>45091</v>
      </c>
      <c r="L1767" s="5">
        <f t="shared" si="504"/>
        <v>6</v>
      </c>
      <c r="M1767" s="5">
        <f t="shared" si="505"/>
        <v>2023</v>
      </c>
      <c r="N1767" s="6">
        <v>150</v>
      </c>
      <c r="O1767" s="6">
        <f t="shared" si="517"/>
        <v>-150</v>
      </c>
      <c r="P1767" s="6">
        <f t="shared" si="516"/>
        <v>0</v>
      </c>
      <c r="Q1767" s="7">
        <f t="shared" si="510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14"/>
        <v>6</v>
      </c>
      <c r="C1768" s="5">
        <f t="shared" si="515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13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03"/>
        <v>45091</v>
      </c>
      <c r="L1768" s="5">
        <f t="shared" si="504"/>
        <v>6</v>
      </c>
      <c r="M1768" s="5">
        <f t="shared" si="505"/>
        <v>2023</v>
      </c>
      <c r="N1768" s="6">
        <v>260</v>
      </c>
      <c r="O1768" s="6">
        <f t="shared" si="517"/>
        <v>-260</v>
      </c>
      <c r="P1768" s="6">
        <f t="shared" si="516"/>
        <v>0</v>
      </c>
      <c r="Q1768" s="7">
        <f t="shared" si="510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14"/>
        <v>6</v>
      </c>
      <c r="C1769" s="5">
        <f t="shared" si="515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13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03"/>
        <v>45092</v>
      </c>
      <c r="L1769" s="5">
        <f t="shared" si="504"/>
        <v>6</v>
      </c>
      <c r="M1769" s="5">
        <f t="shared" si="505"/>
        <v>2023</v>
      </c>
      <c r="N1769" s="6">
        <v>3608</v>
      </c>
      <c r="O1769" s="6">
        <f>-N1769</f>
        <v>-3608</v>
      </c>
      <c r="P1769" s="6">
        <f t="shared" si="516"/>
        <v>0</v>
      </c>
      <c r="Q1769" s="7">
        <f t="shared" si="510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14"/>
        <v>6</v>
      </c>
      <c r="C1770" s="5">
        <f t="shared" si="515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13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03"/>
        <v>45092</v>
      </c>
      <c r="L1770" s="5">
        <f t="shared" si="504"/>
        <v>6</v>
      </c>
      <c r="M1770" s="5">
        <f t="shared" si="505"/>
        <v>2023</v>
      </c>
      <c r="N1770" s="6">
        <v>474</v>
      </c>
      <c r="O1770" s="6">
        <f>-N1770</f>
        <v>-474</v>
      </c>
      <c r="P1770" s="6">
        <f t="shared" si="516"/>
        <v>0</v>
      </c>
      <c r="Q1770" s="7">
        <f t="shared" si="510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14"/>
        <v>6</v>
      </c>
      <c r="C1771" s="5">
        <f t="shared" si="515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13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03"/>
        <v>45092</v>
      </c>
      <c r="L1771" s="5">
        <f t="shared" si="504"/>
        <v>6</v>
      </c>
      <c r="M1771" s="5">
        <f t="shared" si="505"/>
        <v>2023</v>
      </c>
      <c r="N1771" s="6">
        <v>516</v>
      </c>
      <c r="O1771" s="6">
        <f>-N1771</f>
        <v>-516</v>
      </c>
      <c r="P1771" s="6">
        <f t="shared" si="516"/>
        <v>0</v>
      </c>
      <c r="Q1771" s="7">
        <f t="shared" si="510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14"/>
        <v>6</v>
      </c>
      <c r="C1772" s="5">
        <f t="shared" si="515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13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03"/>
        <v>45092</v>
      </c>
      <c r="L1772" s="5">
        <f t="shared" si="504"/>
        <v>6</v>
      </c>
      <c r="M1772" s="5">
        <f t="shared" si="505"/>
        <v>2023</v>
      </c>
      <c r="N1772" s="6">
        <v>320</v>
      </c>
      <c r="O1772" s="6">
        <f>-N1772</f>
        <v>-320</v>
      </c>
      <c r="P1772" s="6">
        <f t="shared" si="516"/>
        <v>0</v>
      </c>
      <c r="Q1772" s="7">
        <f t="shared" si="510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14"/>
        <v>6</v>
      </c>
      <c r="C1773" s="5">
        <f t="shared" si="515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13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03"/>
        <v>45092</v>
      </c>
      <c r="L1773" s="5">
        <f t="shared" si="504"/>
        <v>6</v>
      </c>
      <c r="M1773" s="5">
        <f t="shared" si="505"/>
        <v>2023</v>
      </c>
      <c r="N1773" s="6">
        <v>350</v>
      </c>
      <c r="O1773" s="6">
        <f t="shared" ref="O1773:O1776" si="518">-N1773</f>
        <v>-350</v>
      </c>
      <c r="P1773" s="6">
        <f t="shared" si="516"/>
        <v>0</v>
      </c>
      <c r="Q1773" s="7">
        <f t="shared" si="510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14"/>
        <v>6</v>
      </c>
      <c r="C1774" s="5">
        <f t="shared" si="515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13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03"/>
        <v>45092</v>
      </c>
      <c r="L1774" s="5">
        <f t="shared" si="504"/>
        <v>6</v>
      </c>
      <c r="M1774" s="5">
        <f t="shared" si="505"/>
        <v>2023</v>
      </c>
      <c r="N1774" s="6">
        <v>105</v>
      </c>
      <c r="O1774" s="6">
        <f t="shared" si="518"/>
        <v>-105</v>
      </c>
      <c r="P1774" s="6">
        <f t="shared" si="516"/>
        <v>0</v>
      </c>
      <c r="Q1774" s="7">
        <f t="shared" si="510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14"/>
        <v>6</v>
      </c>
      <c r="C1775" s="5">
        <f t="shared" si="515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13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03"/>
        <v>45092</v>
      </c>
      <c r="L1775" s="5">
        <f t="shared" si="504"/>
        <v>6</v>
      </c>
      <c r="M1775" s="5">
        <f t="shared" si="505"/>
        <v>2023</v>
      </c>
      <c r="N1775" s="6">
        <v>55</v>
      </c>
      <c r="O1775" s="6">
        <f t="shared" si="518"/>
        <v>-55</v>
      </c>
      <c r="P1775" s="6">
        <f t="shared" si="516"/>
        <v>0</v>
      </c>
      <c r="Q1775" s="7">
        <f t="shared" si="510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14"/>
        <v>6</v>
      </c>
      <c r="C1776" s="5">
        <f t="shared" si="515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13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03"/>
        <v>45092</v>
      </c>
      <c r="L1776" s="5">
        <f t="shared" si="504"/>
        <v>6</v>
      </c>
      <c r="M1776" s="5">
        <f t="shared" si="505"/>
        <v>2023</v>
      </c>
      <c r="N1776" s="6">
        <v>80</v>
      </c>
      <c r="O1776" s="6">
        <f t="shared" si="518"/>
        <v>-80</v>
      </c>
      <c r="P1776" s="6">
        <f t="shared" si="516"/>
        <v>0</v>
      </c>
      <c r="Q1776" s="7">
        <f t="shared" si="510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14"/>
        <v>6</v>
      </c>
      <c r="C1777" s="5">
        <f t="shared" si="515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13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03"/>
        <v>45092</v>
      </c>
      <c r="L1777" s="5">
        <f t="shared" si="504"/>
        <v>6</v>
      </c>
      <c r="M1777" s="5">
        <f t="shared" si="505"/>
        <v>2023</v>
      </c>
      <c r="N1777" s="6">
        <v>1870</v>
      </c>
      <c r="O1777" s="6">
        <f t="shared" ref="O1777:O1781" si="519">-N1777</f>
        <v>-1870</v>
      </c>
      <c r="P1777" s="6">
        <f t="shared" si="516"/>
        <v>0</v>
      </c>
      <c r="Q1777" s="7">
        <f t="shared" si="510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14"/>
        <v>6</v>
      </c>
      <c r="C1778" s="5">
        <f t="shared" si="515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13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03"/>
        <v>45092</v>
      </c>
      <c r="L1778" s="5">
        <f t="shared" si="504"/>
        <v>6</v>
      </c>
      <c r="M1778" s="5">
        <f t="shared" si="505"/>
        <v>2023</v>
      </c>
      <c r="N1778" s="6">
        <v>450</v>
      </c>
      <c r="O1778" s="6">
        <f t="shared" si="519"/>
        <v>-450</v>
      </c>
      <c r="P1778" s="6">
        <f t="shared" si="516"/>
        <v>0</v>
      </c>
      <c r="Q1778" s="7">
        <f t="shared" si="510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14"/>
        <v>6</v>
      </c>
      <c r="C1779" s="5">
        <f t="shared" si="515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13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03"/>
        <v>45092</v>
      </c>
      <c r="L1779" s="5">
        <f t="shared" si="504"/>
        <v>6</v>
      </c>
      <c r="M1779" s="5">
        <f t="shared" si="505"/>
        <v>2023</v>
      </c>
      <c r="N1779" s="6">
        <v>236</v>
      </c>
      <c r="O1779" s="6">
        <f t="shared" si="519"/>
        <v>-236</v>
      </c>
      <c r="P1779" s="6">
        <f t="shared" si="516"/>
        <v>0</v>
      </c>
      <c r="Q1779" s="7">
        <f t="shared" si="510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14"/>
        <v>6</v>
      </c>
      <c r="C1780" s="5">
        <f t="shared" si="515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13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03"/>
        <v>45092</v>
      </c>
      <c r="L1780" s="5">
        <f t="shared" si="504"/>
        <v>6</v>
      </c>
      <c r="M1780" s="5">
        <f t="shared" si="505"/>
        <v>2023</v>
      </c>
      <c r="N1780" s="6">
        <v>1390</v>
      </c>
      <c r="O1780" s="6">
        <f t="shared" si="519"/>
        <v>-1390</v>
      </c>
      <c r="P1780" s="6">
        <f t="shared" si="516"/>
        <v>0</v>
      </c>
      <c r="Q1780" s="7">
        <f t="shared" si="510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14"/>
        <v>6</v>
      </c>
      <c r="C1781" s="5">
        <f t="shared" si="515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13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03"/>
        <v>45092</v>
      </c>
      <c r="L1781" s="5">
        <f t="shared" si="504"/>
        <v>6</v>
      </c>
      <c r="M1781" s="5">
        <f t="shared" si="505"/>
        <v>2023</v>
      </c>
      <c r="N1781" s="6">
        <v>187.5</v>
      </c>
      <c r="O1781" s="6">
        <f t="shared" si="519"/>
        <v>-187.5</v>
      </c>
      <c r="P1781" s="6">
        <f t="shared" si="516"/>
        <v>0</v>
      </c>
      <c r="Q1781" s="7">
        <f t="shared" si="510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14"/>
        <v>6</v>
      </c>
      <c r="C1782" s="5">
        <f t="shared" si="515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2" t="s">
        <v>1111</v>
      </c>
      <c r="H1782" s="13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03"/>
        <v>45093</v>
      </c>
      <c r="L1782" s="5">
        <f t="shared" si="504"/>
        <v>6</v>
      </c>
      <c r="M1782" s="5">
        <f t="shared" si="505"/>
        <v>2023</v>
      </c>
      <c r="N1782" s="95">
        <v>375</v>
      </c>
      <c r="O1782" s="6">
        <f>-N1782</f>
        <v>-375</v>
      </c>
      <c r="P1782" s="6">
        <f t="shared" si="516"/>
        <v>0</v>
      </c>
      <c r="Q1782" s="7">
        <f t="shared" si="510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20">MONTH(A1783)</f>
        <v>6</v>
      </c>
      <c r="C1783" s="5">
        <f t="shared" ref="C1783:C1803" si="52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2" t="s">
        <v>720</v>
      </c>
      <c r="H1783" s="137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03"/>
        <v>45093</v>
      </c>
      <c r="L1783" s="5">
        <f t="shared" si="504"/>
        <v>6</v>
      </c>
      <c r="M1783" s="5">
        <f t="shared" si="505"/>
        <v>2023</v>
      </c>
      <c r="N1783" s="6">
        <v>10692</v>
      </c>
      <c r="O1783" s="6">
        <f>-1126.6-9565.4</f>
        <v>-10692</v>
      </c>
      <c r="P1783" s="6">
        <f t="shared" ref="P1783:P1825" si="522">SUM(N1783+O1783)</f>
        <v>0</v>
      </c>
      <c r="Q1783" s="7">
        <f t="shared" si="510"/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20"/>
        <v>6</v>
      </c>
      <c r="C1784" s="5">
        <f t="shared" si="52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137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03"/>
        <v>45093</v>
      </c>
      <c r="L1784" s="5">
        <f t="shared" si="504"/>
        <v>6</v>
      </c>
      <c r="M1784" s="5">
        <f t="shared" si="505"/>
        <v>2023</v>
      </c>
      <c r="N1784" s="6">
        <v>1575</v>
      </c>
      <c r="O1784" s="6">
        <f>-434.6-1140.4</f>
        <v>-1575</v>
      </c>
      <c r="P1784" s="6">
        <f t="shared" si="522"/>
        <v>0</v>
      </c>
      <c r="Q1784" s="7">
        <f t="shared" si="510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20"/>
        <v>6</v>
      </c>
      <c r="C1785" s="5">
        <f t="shared" si="52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137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03"/>
        <v>45093</v>
      </c>
      <c r="L1785" s="5">
        <f t="shared" si="504"/>
        <v>6</v>
      </c>
      <c r="M1785" s="5">
        <f t="shared" si="505"/>
        <v>2023</v>
      </c>
      <c r="N1785" s="6">
        <v>1620</v>
      </c>
      <c r="O1785" s="6">
        <f>-N1785</f>
        <v>-1620</v>
      </c>
      <c r="P1785" s="6">
        <f t="shared" si="522"/>
        <v>0</v>
      </c>
      <c r="Q1785" s="7">
        <f t="shared" si="510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20"/>
        <v>6</v>
      </c>
      <c r="C1786" s="5">
        <f t="shared" si="52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137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03"/>
        <v>45093</v>
      </c>
      <c r="L1786" s="5">
        <f t="shared" si="504"/>
        <v>6</v>
      </c>
      <c r="M1786" s="5">
        <f t="shared" si="505"/>
        <v>2023</v>
      </c>
      <c r="N1786" s="6">
        <v>2480</v>
      </c>
      <c r="O1786" s="6">
        <f>-N1786</f>
        <v>-2480</v>
      </c>
      <c r="P1786" s="6">
        <f t="shared" si="522"/>
        <v>0</v>
      </c>
      <c r="Q1786" s="7">
        <f t="shared" si="510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20"/>
        <v>6</v>
      </c>
      <c r="C1787" s="5">
        <f t="shared" si="52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13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03"/>
        <v>45093</v>
      </c>
      <c r="L1787" s="5">
        <f t="shared" si="504"/>
        <v>6</v>
      </c>
      <c r="M1787" s="5">
        <f t="shared" si="505"/>
        <v>2023</v>
      </c>
      <c r="N1787" s="6">
        <v>16434</v>
      </c>
      <c r="O1787" s="6">
        <f t="shared" ref="O1787:O1807" si="523">-N1787</f>
        <v>-16434</v>
      </c>
      <c r="P1787" s="6">
        <f t="shared" si="522"/>
        <v>0</v>
      </c>
      <c r="Q1787" s="7">
        <f t="shared" si="510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20"/>
        <v>6</v>
      </c>
      <c r="C1788" s="5">
        <f t="shared" si="521"/>
        <v>2023</v>
      </c>
      <c r="D1788" s="104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13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03"/>
        <v>45096</v>
      </c>
      <c r="L1788" s="5">
        <f t="shared" si="504"/>
        <v>6</v>
      </c>
      <c r="M1788" s="5">
        <f t="shared" si="505"/>
        <v>2023</v>
      </c>
      <c r="N1788" s="6">
        <v>4266</v>
      </c>
      <c r="O1788" s="6">
        <f t="shared" si="523"/>
        <v>-4266</v>
      </c>
      <c r="P1788" s="6">
        <f t="shared" si="522"/>
        <v>0</v>
      </c>
      <c r="Q1788" s="7">
        <f t="shared" si="510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20"/>
        <v>6</v>
      </c>
      <c r="C1789" s="5">
        <f t="shared" si="521"/>
        <v>2023</v>
      </c>
      <c r="D1789" s="104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13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03"/>
        <v>45096</v>
      </c>
      <c r="L1789" s="5">
        <f t="shared" si="504"/>
        <v>6</v>
      </c>
      <c r="M1789" s="5">
        <f t="shared" si="505"/>
        <v>2023</v>
      </c>
      <c r="N1789" s="6">
        <v>2559.6000000000004</v>
      </c>
      <c r="O1789" s="6">
        <f t="shared" si="523"/>
        <v>-2559.6000000000004</v>
      </c>
      <c r="P1789" s="6">
        <f t="shared" si="522"/>
        <v>0</v>
      </c>
      <c r="Q1789" s="7">
        <f t="shared" si="510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20"/>
        <v>6</v>
      </c>
      <c r="C1790" s="5">
        <f t="shared" si="521"/>
        <v>2023</v>
      </c>
      <c r="D1790" s="104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13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03"/>
        <v>45096</v>
      </c>
      <c r="L1790" s="5">
        <f t="shared" si="504"/>
        <v>6</v>
      </c>
      <c r="M1790" s="5">
        <f t="shared" si="505"/>
        <v>2023</v>
      </c>
      <c r="N1790" s="6">
        <v>4128</v>
      </c>
      <c r="O1790" s="6">
        <f t="shared" si="523"/>
        <v>-4128</v>
      </c>
      <c r="P1790" s="6">
        <f t="shared" si="522"/>
        <v>0</v>
      </c>
      <c r="Q1790" s="7">
        <f t="shared" si="510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20"/>
        <v>6</v>
      </c>
      <c r="C1791" s="5">
        <f t="shared" si="521"/>
        <v>2023</v>
      </c>
      <c r="D1791" s="104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13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03"/>
        <v>45096</v>
      </c>
      <c r="L1791" s="5">
        <f t="shared" si="504"/>
        <v>6</v>
      </c>
      <c r="M1791" s="5">
        <f t="shared" si="505"/>
        <v>2023</v>
      </c>
      <c r="N1791" s="6">
        <v>750</v>
      </c>
      <c r="O1791" s="6">
        <f t="shared" si="523"/>
        <v>-750</v>
      </c>
      <c r="P1791" s="6">
        <f t="shared" si="522"/>
        <v>0</v>
      </c>
      <c r="Q1791" s="7">
        <f t="shared" si="510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20"/>
        <v>6</v>
      </c>
      <c r="C1792" s="5">
        <f t="shared" si="521"/>
        <v>2023</v>
      </c>
      <c r="D1792" s="104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13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03"/>
        <v>45096</v>
      </c>
      <c r="L1792" s="5">
        <f t="shared" si="504"/>
        <v>6</v>
      </c>
      <c r="M1792" s="5">
        <f t="shared" si="505"/>
        <v>2023</v>
      </c>
      <c r="N1792" s="6">
        <v>2400</v>
      </c>
      <c r="O1792" s="6">
        <f t="shared" si="523"/>
        <v>-2400</v>
      </c>
      <c r="P1792" s="6">
        <f t="shared" si="522"/>
        <v>0</v>
      </c>
      <c r="Q1792" s="7">
        <f t="shared" si="510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20"/>
        <v>6</v>
      </c>
      <c r="C1793" s="5">
        <f t="shared" si="521"/>
        <v>2023</v>
      </c>
      <c r="D1793" s="104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13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03"/>
        <v>45096</v>
      </c>
      <c r="L1793" s="5">
        <f t="shared" si="504"/>
        <v>6</v>
      </c>
      <c r="M1793" s="5">
        <f t="shared" si="505"/>
        <v>2023</v>
      </c>
      <c r="N1793" s="6">
        <v>2150</v>
      </c>
      <c r="O1793" s="6">
        <f t="shared" si="523"/>
        <v>-2150</v>
      </c>
      <c r="P1793" s="6">
        <f t="shared" si="522"/>
        <v>0</v>
      </c>
      <c r="Q1793" s="7">
        <f t="shared" si="510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20"/>
        <v>6</v>
      </c>
      <c r="C1794" s="5">
        <f t="shared" si="521"/>
        <v>2023</v>
      </c>
      <c r="D1794" s="104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13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03"/>
        <v>45096</v>
      </c>
      <c r="L1794" s="5">
        <f t="shared" si="504"/>
        <v>6</v>
      </c>
      <c r="M1794" s="5">
        <f t="shared" si="505"/>
        <v>2023</v>
      </c>
      <c r="N1794" s="6">
        <v>1100</v>
      </c>
      <c r="O1794" s="6">
        <f t="shared" si="523"/>
        <v>-1100</v>
      </c>
      <c r="P1794" s="6">
        <f t="shared" si="522"/>
        <v>0</v>
      </c>
      <c r="Q1794" s="7">
        <f t="shared" si="510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20"/>
        <v>6</v>
      </c>
      <c r="C1795" s="5">
        <f t="shared" si="521"/>
        <v>2023</v>
      </c>
      <c r="D1795" s="104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13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24">A1795+J1795</f>
        <v>45096</v>
      </c>
      <c r="L1795" s="5">
        <f t="shared" ref="L1795:L1858" si="525">MONTH(K1795)</f>
        <v>6</v>
      </c>
      <c r="M1795" s="5">
        <f t="shared" ref="M1795:M1858" si="526">YEAR(K1795)</f>
        <v>2023</v>
      </c>
      <c r="N1795" s="6">
        <v>180</v>
      </c>
      <c r="O1795" s="6">
        <f t="shared" si="523"/>
        <v>-180</v>
      </c>
      <c r="P1795" s="6">
        <f t="shared" si="522"/>
        <v>0</v>
      </c>
      <c r="Q1795" s="7">
        <f t="shared" si="510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20"/>
        <v>6</v>
      </c>
      <c r="C1796" s="5">
        <f t="shared" si="521"/>
        <v>2023</v>
      </c>
      <c r="D1796" s="104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13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24"/>
        <v>45096</v>
      </c>
      <c r="L1796" s="5">
        <f t="shared" si="525"/>
        <v>6</v>
      </c>
      <c r="M1796" s="5">
        <f t="shared" si="526"/>
        <v>2023</v>
      </c>
      <c r="N1796" s="6">
        <v>110.4</v>
      </c>
      <c r="O1796" s="6">
        <f t="shared" si="523"/>
        <v>-110.4</v>
      </c>
      <c r="P1796" s="6">
        <f t="shared" si="522"/>
        <v>0</v>
      </c>
      <c r="Q1796" s="7">
        <f t="shared" si="510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20"/>
        <v>6</v>
      </c>
      <c r="C1797" s="5">
        <f t="shared" si="521"/>
        <v>2023</v>
      </c>
      <c r="D1797" s="104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13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24"/>
        <v>45096</v>
      </c>
      <c r="L1797" s="5">
        <f t="shared" si="525"/>
        <v>6</v>
      </c>
      <c r="M1797" s="5">
        <f t="shared" si="526"/>
        <v>2023</v>
      </c>
      <c r="N1797" s="6">
        <v>1108.4000000000001</v>
      </c>
      <c r="O1797" s="6">
        <f t="shared" si="523"/>
        <v>-1108.4000000000001</v>
      </c>
      <c r="P1797" s="6">
        <f t="shared" si="522"/>
        <v>0</v>
      </c>
      <c r="Q1797" s="7">
        <f t="shared" si="510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20"/>
        <v>6</v>
      </c>
      <c r="C1798" s="5">
        <f t="shared" si="521"/>
        <v>2023</v>
      </c>
      <c r="D1798" s="104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13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24"/>
        <v>45096</v>
      </c>
      <c r="L1798" s="5">
        <f t="shared" si="525"/>
        <v>6</v>
      </c>
      <c r="M1798" s="5">
        <f t="shared" si="526"/>
        <v>2023</v>
      </c>
      <c r="N1798" s="6">
        <v>525</v>
      </c>
      <c r="O1798" s="6">
        <f t="shared" si="523"/>
        <v>-525</v>
      </c>
      <c r="P1798" s="6">
        <f t="shared" si="522"/>
        <v>0</v>
      </c>
      <c r="Q1798" s="7">
        <f t="shared" si="510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20"/>
        <v>6</v>
      </c>
      <c r="C1799" s="5">
        <f t="shared" si="521"/>
        <v>2023</v>
      </c>
      <c r="D1799" s="104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13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24"/>
        <v>45096</v>
      </c>
      <c r="L1799" s="5">
        <f t="shared" si="525"/>
        <v>6</v>
      </c>
      <c r="M1799" s="5">
        <f t="shared" si="526"/>
        <v>2023</v>
      </c>
      <c r="N1799" s="6">
        <v>280</v>
      </c>
      <c r="O1799" s="6">
        <f t="shared" si="523"/>
        <v>-280</v>
      </c>
      <c r="P1799" s="6">
        <f t="shared" si="522"/>
        <v>0</v>
      </c>
      <c r="Q1799" s="7">
        <f t="shared" si="510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20"/>
        <v>6</v>
      </c>
      <c r="C1800" s="5">
        <f t="shared" si="521"/>
        <v>2023</v>
      </c>
      <c r="D1800" s="104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13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24"/>
        <v>45126</v>
      </c>
      <c r="L1800" s="5">
        <f t="shared" si="525"/>
        <v>7</v>
      </c>
      <c r="M1800" s="5">
        <f t="shared" si="526"/>
        <v>2023</v>
      </c>
      <c r="N1800" s="6">
        <v>7480</v>
      </c>
      <c r="O1800" s="6">
        <f t="shared" si="523"/>
        <v>-7480</v>
      </c>
      <c r="P1800" s="6">
        <f t="shared" si="522"/>
        <v>0</v>
      </c>
      <c r="Q1800" s="7">
        <f t="shared" si="510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20"/>
        <v>6</v>
      </c>
      <c r="C1801" s="5">
        <f t="shared" si="521"/>
        <v>2023</v>
      </c>
      <c r="D1801" s="104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13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24"/>
        <v>45126</v>
      </c>
      <c r="L1801" s="5">
        <f t="shared" si="525"/>
        <v>7</v>
      </c>
      <c r="M1801" s="5">
        <f t="shared" si="526"/>
        <v>2023</v>
      </c>
      <c r="N1801" s="6">
        <v>1263.5999999999999</v>
      </c>
      <c r="O1801" s="6">
        <f t="shared" si="523"/>
        <v>-1263.5999999999999</v>
      </c>
      <c r="P1801" s="6">
        <f t="shared" si="522"/>
        <v>0</v>
      </c>
      <c r="Q1801" s="7">
        <f t="shared" si="510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20"/>
        <v>6</v>
      </c>
      <c r="C1802" s="5">
        <f t="shared" si="521"/>
        <v>2023</v>
      </c>
      <c r="D1802" s="104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13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24"/>
        <v>45126</v>
      </c>
      <c r="L1802" s="5">
        <f t="shared" si="525"/>
        <v>7</v>
      </c>
      <c r="M1802" s="5">
        <f t="shared" si="526"/>
        <v>2023</v>
      </c>
      <c r="N1802" s="6">
        <v>1045.2</v>
      </c>
      <c r="O1802" s="6">
        <f t="shared" si="523"/>
        <v>-1045.2</v>
      </c>
      <c r="P1802" s="6">
        <f t="shared" si="522"/>
        <v>0</v>
      </c>
      <c r="Q1802" s="7">
        <f t="shared" si="510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20"/>
        <v>6</v>
      </c>
      <c r="C1803" s="5">
        <f t="shared" si="521"/>
        <v>2023</v>
      </c>
      <c r="D1803" s="104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13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24"/>
        <v>45126</v>
      </c>
      <c r="L1803" s="5">
        <f t="shared" si="525"/>
        <v>7</v>
      </c>
      <c r="M1803" s="5">
        <f t="shared" si="526"/>
        <v>2023</v>
      </c>
      <c r="N1803" s="6">
        <v>144</v>
      </c>
      <c r="O1803" s="6">
        <f t="shared" si="523"/>
        <v>-144</v>
      </c>
      <c r="P1803" s="6">
        <f t="shared" si="522"/>
        <v>0</v>
      </c>
      <c r="Q1803" s="7">
        <f t="shared" si="510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27">MONTH(A1804)</f>
        <v>6</v>
      </c>
      <c r="C1804" s="5">
        <f t="shared" ref="C1804:C1825" si="528">YEAR(A1804)</f>
        <v>2023</v>
      </c>
      <c r="D1804" s="104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13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24"/>
        <v>45126</v>
      </c>
      <c r="L1804" s="5">
        <f t="shared" si="525"/>
        <v>7</v>
      </c>
      <c r="M1804" s="5">
        <f t="shared" si="526"/>
        <v>2023</v>
      </c>
      <c r="N1804" s="6">
        <v>190</v>
      </c>
      <c r="O1804" s="6">
        <f t="shared" si="523"/>
        <v>-190</v>
      </c>
      <c r="P1804" s="6">
        <f t="shared" si="522"/>
        <v>0</v>
      </c>
      <c r="Q1804" s="7">
        <f t="shared" si="510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27"/>
        <v>6</v>
      </c>
      <c r="C1805" s="5">
        <f t="shared" si="528"/>
        <v>2023</v>
      </c>
      <c r="D1805" s="104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13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24"/>
        <v>45126</v>
      </c>
      <c r="L1805" s="5">
        <f t="shared" si="525"/>
        <v>7</v>
      </c>
      <c r="M1805" s="5">
        <f t="shared" si="526"/>
        <v>2023</v>
      </c>
      <c r="N1805" s="6">
        <v>187.5</v>
      </c>
      <c r="O1805" s="6">
        <f t="shared" si="523"/>
        <v>-187.5</v>
      </c>
      <c r="P1805" s="6">
        <f t="shared" si="522"/>
        <v>0</v>
      </c>
      <c r="Q1805" s="7">
        <f t="shared" si="510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27"/>
        <v>6</v>
      </c>
      <c r="C1806" s="5">
        <f t="shared" si="528"/>
        <v>2023</v>
      </c>
      <c r="D1806" s="104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13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24"/>
        <v>45126</v>
      </c>
      <c r="L1806" s="5">
        <f t="shared" si="525"/>
        <v>7</v>
      </c>
      <c r="M1806" s="5">
        <f t="shared" si="526"/>
        <v>2023</v>
      </c>
      <c r="N1806" s="6">
        <v>520</v>
      </c>
      <c r="O1806" s="6">
        <f t="shared" si="523"/>
        <v>-520</v>
      </c>
      <c r="P1806" s="6">
        <f t="shared" si="522"/>
        <v>0</v>
      </c>
      <c r="Q1806" s="7">
        <f t="shared" si="510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27"/>
        <v>6</v>
      </c>
      <c r="C1807" s="5">
        <f t="shared" si="528"/>
        <v>2023</v>
      </c>
      <c r="D1807" s="104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13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24"/>
        <v>45126</v>
      </c>
      <c r="L1807" s="5">
        <f t="shared" si="525"/>
        <v>7</v>
      </c>
      <c r="M1807" s="5">
        <f t="shared" si="526"/>
        <v>2023</v>
      </c>
      <c r="N1807" s="6">
        <v>930</v>
      </c>
      <c r="O1807" s="6">
        <f t="shared" si="523"/>
        <v>-930</v>
      </c>
      <c r="P1807" s="6">
        <f t="shared" si="522"/>
        <v>0</v>
      </c>
      <c r="Q1807" s="7">
        <f t="shared" si="510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27"/>
        <v>6</v>
      </c>
      <c r="C1808" s="5">
        <f t="shared" si="528"/>
        <v>2023</v>
      </c>
      <c r="D1808" s="104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13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24"/>
        <v>45097</v>
      </c>
      <c r="L1808" s="5">
        <f t="shared" si="525"/>
        <v>6</v>
      </c>
      <c r="M1808" s="5">
        <f t="shared" si="526"/>
        <v>2023</v>
      </c>
      <c r="N1808" s="6">
        <v>3740</v>
      </c>
      <c r="O1808" s="6">
        <f t="shared" ref="O1808:O1815" si="529">-N1808</f>
        <v>-3740</v>
      </c>
      <c r="P1808" s="6">
        <f t="shared" si="522"/>
        <v>0</v>
      </c>
      <c r="Q1808" s="7">
        <f t="shared" si="510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">
      <c r="A1809" s="96" t="s">
        <v>1646</v>
      </c>
      <c r="B1809" s="5">
        <f t="shared" si="527"/>
        <v>6</v>
      </c>
      <c r="C1809" s="5">
        <f t="shared" si="528"/>
        <v>2023</v>
      </c>
      <c r="D1809" s="104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13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24"/>
        <v>45097</v>
      </c>
      <c r="L1809" s="5">
        <f t="shared" si="525"/>
        <v>6</v>
      </c>
      <c r="M1809" s="5">
        <f t="shared" si="526"/>
        <v>2023</v>
      </c>
      <c r="N1809" s="6">
        <v>160</v>
      </c>
      <c r="O1809" s="6">
        <f t="shared" si="529"/>
        <v>-160</v>
      </c>
      <c r="P1809" s="6">
        <f t="shared" si="522"/>
        <v>0</v>
      </c>
      <c r="Q1809" s="7">
        <f t="shared" si="510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">
      <c r="A1810" s="96" t="s">
        <v>1646</v>
      </c>
      <c r="B1810" s="5">
        <f t="shared" si="527"/>
        <v>6</v>
      </c>
      <c r="C1810" s="5">
        <f t="shared" si="528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13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24"/>
        <v>45097</v>
      </c>
      <c r="L1810" s="5">
        <f t="shared" si="525"/>
        <v>6</v>
      </c>
      <c r="M1810" s="5">
        <f t="shared" si="526"/>
        <v>2023</v>
      </c>
      <c r="N1810" s="6">
        <v>165</v>
      </c>
      <c r="O1810" s="6">
        <f t="shared" si="529"/>
        <v>-165</v>
      </c>
      <c r="P1810" s="6">
        <f t="shared" si="522"/>
        <v>0</v>
      </c>
      <c r="Q1810" s="7">
        <f t="shared" ref="Q1810:Q1873" si="530">SUM(Q1809+N1810)</f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">
      <c r="A1811" s="96" t="s">
        <v>1646</v>
      </c>
      <c r="B1811" s="5">
        <f t="shared" si="527"/>
        <v>6</v>
      </c>
      <c r="C1811" s="5">
        <f t="shared" si="528"/>
        <v>2023</v>
      </c>
      <c r="D1811" s="104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13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24"/>
        <v>45097</v>
      </c>
      <c r="L1811" s="5">
        <f t="shared" si="525"/>
        <v>6</v>
      </c>
      <c r="M1811" s="5">
        <f t="shared" si="526"/>
        <v>2023</v>
      </c>
      <c r="N1811" s="6">
        <v>160</v>
      </c>
      <c r="O1811" s="6">
        <f t="shared" si="529"/>
        <v>-160</v>
      </c>
      <c r="P1811" s="6">
        <f t="shared" si="522"/>
        <v>0</v>
      </c>
      <c r="Q1811" s="7">
        <f t="shared" si="530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27"/>
        <v>6</v>
      </c>
      <c r="C1812" s="5">
        <f t="shared" si="528"/>
        <v>2023</v>
      </c>
      <c r="D1812" s="104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13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24"/>
        <v>45128</v>
      </c>
      <c r="L1812" s="5">
        <f t="shared" si="525"/>
        <v>7</v>
      </c>
      <c r="M1812" s="5">
        <f t="shared" si="526"/>
        <v>2023</v>
      </c>
      <c r="N1812" s="6">
        <v>390</v>
      </c>
      <c r="O1812" s="6">
        <f t="shared" si="529"/>
        <v>-390</v>
      </c>
      <c r="P1812" s="6">
        <f t="shared" si="522"/>
        <v>0</v>
      </c>
      <c r="Q1812" s="7">
        <f t="shared" si="530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27"/>
        <v>6</v>
      </c>
      <c r="C1813" s="5">
        <f t="shared" si="528"/>
        <v>2023</v>
      </c>
      <c r="D1813" s="104" t="s">
        <v>1649</v>
      </c>
      <c r="E1813" s="5" t="str">
        <f>VLOOKUP(F1813,'Set up'!$A$2:$C$55,2,FALSE)</f>
        <v>C00000021</v>
      </c>
      <c r="F1813" s="1" t="s">
        <v>492</v>
      </c>
      <c r="G1813" s="132" t="s">
        <v>717</v>
      </c>
      <c r="H1813" s="13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24"/>
        <v>45099</v>
      </c>
      <c r="L1813" s="5">
        <f t="shared" si="525"/>
        <v>6</v>
      </c>
      <c r="M1813" s="5">
        <f t="shared" si="526"/>
        <v>2023</v>
      </c>
      <c r="N1813" s="6">
        <v>1870</v>
      </c>
      <c r="O1813" s="6">
        <f t="shared" si="529"/>
        <v>-1870</v>
      </c>
      <c r="P1813" s="6">
        <f t="shared" si="522"/>
        <v>0</v>
      </c>
      <c r="Q1813" s="7">
        <f t="shared" si="530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27"/>
        <v>6</v>
      </c>
      <c r="C1814" s="5">
        <f t="shared" si="528"/>
        <v>2023</v>
      </c>
      <c r="D1814" s="104" t="s">
        <v>1649</v>
      </c>
      <c r="E1814" s="5" t="str">
        <f>VLOOKUP(F1814,'Set up'!$A$2:$C$55,2,FALSE)</f>
        <v>C00000021</v>
      </c>
      <c r="F1814" s="1" t="s">
        <v>492</v>
      </c>
      <c r="G1814" s="98" t="s">
        <v>655</v>
      </c>
      <c r="H1814" s="13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24"/>
        <v>45099</v>
      </c>
      <c r="L1814" s="5">
        <f t="shared" si="525"/>
        <v>6</v>
      </c>
      <c r="M1814" s="5">
        <f t="shared" si="526"/>
        <v>2023</v>
      </c>
      <c r="N1814" s="6">
        <v>510</v>
      </c>
      <c r="O1814" s="6">
        <f t="shared" si="529"/>
        <v>-510</v>
      </c>
      <c r="P1814" s="6">
        <f t="shared" si="522"/>
        <v>0</v>
      </c>
      <c r="Q1814" s="7">
        <f t="shared" si="530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27"/>
        <v>6</v>
      </c>
      <c r="C1815" s="5">
        <f t="shared" si="528"/>
        <v>2023</v>
      </c>
      <c r="D1815" s="104" t="s">
        <v>1649</v>
      </c>
      <c r="E1815" s="5" t="str">
        <f>VLOOKUP(F1815,'Set up'!$A$2:$C$55,2,FALSE)</f>
        <v>C00000021</v>
      </c>
      <c r="F1815" s="1" t="s">
        <v>492</v>
      </c>
      <c r="G1815" s="98" t="s">
        <v>1062</v>
      </c>
      <c r="H1815" s="13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24"/>
        <v>45099</v>
      </c>
      <c r="L1815" s="5">
        <f t="shared" si="525"/>
        <v>6</v>
      </c>
      <c r="M1815" s="5">
        <f t="shared" si="526"/>
        <v>2023</v>
      </c>
      <c r="N1815" s="6">
        <v>95</v>
      </c>
      <c r="O1815" s="6">
        <f t="shared" si="529"/>
        <v>-95</v>
      </c>
      <c r="P1815" s="6">
        <f t="shared" si="522"/>
        <v>0</v>
      </c>
      <c r="Q1815" s="7">
        <f t="shared" si="530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27"/>
        <v>6</v>
      </c>
      <c r="C1816" s="5">
        <f t="shared" si="528"/>
        <v>2023</v>
      </c>
      <c r="D1816" s="104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13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24"/>
        <v>45099</v>
      </c>
      <c r="L1816" s="5">
        <f t="shared" si="525"/>
        <v>6</v>
      </c>
      <c r="M1816" s="5">
        <f t="shared" si="526"/>
        <v>2023</v>
      </c>
      <c r="N1816" s="6">
        <v>420</v>
      </c>
      <c r="O1816" s="6">
        <f t="shared" ref="O1816:O1817" si="531">-N1816</f>
        <v>-420</v>
      </c>
      <c r="P1816" s="6">
        <f t="shared" si="522"/>
        <v>0</v>
      </c>
      <c r="Q1816" s="7">
        <f t="shared" si="530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27"/>
        <v>6</v>
      </c>
      <c r="C1817" s="5">
        <f t="shared" si="528"/>
        <v>2023</v>
      </c>
      <c r="D1817" s="104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13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24"/>
        <v>45099</v>
      </c>
      <c r="L1817" s="5">
        <f t="shared" si="525"/>
        <v>6</v>
      </c>
      <c r="M1817" s="5">
        <f t="shared" si="526"/>
        <v>2023</v>
      </c>
      <c r="N1817" s="6">
        <v>375</v>
      </c>
      <c r="O1817" s="6">
        <f t="shared" si="531"/>
        <v>-375</v>
      </c>
      <c r="P1817" s="6">
        <f t="shared" si="522"/>
        <v>0</v>
      </c>
      <c r="Q1817" s="7">
        <f t="shared" si="530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27"/>
        <v>6</v>
      </c>
      <c r="C1818" s="5">
        <f t="shared" si="528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13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24"/>
        <v>45101</v>
      </c>
      <c r="L1818" s="5">
        <f t="shared" si="525"/>
        <v>6</v>
      </c>
      <c r="M1818" s="5">
        <f t="shared" si="526"/>
        <v>2023</v>
      </c>
      <c r="N1818" s="6">
        <v>1032</v>
      </c>
      <c r="O1818" s="6">
        <f>-N1818</f>
        <v>-1032</v>
      </c>
      <c r="P1818" s="6">
        <f t="shared" si="522"/>
        <v>0</v>
      </c>
      <c r="Q1818" s="7">
        <f t="shared" si="530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27"/>
        <v>6</v>
      </c>
      <c r="C1819" s="5">
        <f t="shared" si="528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13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24"/>
        <v>45101</v>
      </c>
      <c r="L1819" s="5">
        <f t="shared" si="525"/>
        <v>6</v>
      </c>
      <c r="M1819" s="5">
        <f t="shared" si="526"/>
        <v>2023</v>
      </c>
      <c r="N1819" s="6">
        <v>160</v>
      </c>
      <c r="O1819" s="6">
        <f>-N1819</f>
        <v>-160</v>
      </c>
      <c r="P1819" s="6">
        <f t="shared" si="522"/>
        <v>0</v>
      </c>
      <c r="Q1819" s="7">
        <f t="shared" si="530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27"/>
        <v>6</v>
      </c>
      <c r="C1820" s="5">
        <f t="shared" si="528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13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24"/>
        <v>45101</v>
      </c>
      <c r="L1820" s="5">
        <f t="shared" si="525"/>
        <v>6</v>
      </c>
      <c r="M1820" s="5">
        <f t="shared" si="526"/>
        <v>2023</v>
      </c>
      <c r="N1820" s="6">
        <v>3652</v>
      </c>
      <c r="O1820" s="6">
        <f>-1988.1-1000-663.9</f>
        <v>-3652</v>
      </c>
      <c r="P1820" s="6">
        <f t="shared" si="522"/>
        <v>0</v>
      </c>
      <c r="Q1820" s="7">
        <f t="shared" si="530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27"/>
        <v>6</v>
      </c>
      <c r="C1821" s="5">
        <f t="shared" si="528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13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24"/>
        <v>45101</v>
      </c>
      <c r="L1821" s="5">
        <f t="shared" si="525"/>
        <v>6</v>
      </c>
      <c r="M1821" s="5">
        <f t="shared" si="526"/>
        <v>2023</v>
      </c>
      <c r="N1821" s="6">
        <v>842.4</v>
      </c>
      <c r="O1821" s="6">
        <f>-836.1-6.3</f>
        <v>-842.4</v>
      </c>
      <c r="P1821" s="6">
        <f t="shared" si="522"/>
        <v>0</v>
      </c>
      <c r="Q1821" s="7">
        <f t="shared" si="530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27"/>
        <v>6</v>
      </c>
      <c r="C1822" s="5">
        <f t="shared" si="528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13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24"/>
        <v>45101</v>
      </c>
      <c r="L1822" s="5">
        <f t="shared" si="525"/>
        <v>6</v>
      </c>
      <c r="M1822" s="5">
        <f t="shared" si="526"/>
        <v>2023</v>
      </c>
      <c r="N1822" s="6">
        <v>187.5</v>
      </c>
      <c r="O1822" s="6">
        <f t="shared" ref="O1822" si="532">-N1822</f>
        <v>-187.5</v>
      </c>
      <c r="P1822" s="6">
        <f t="shared" si="522"/>
        <v>0</v>
      </c>
      <c r="Q1822" s="7">
        <f t="shared" si="530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27"/>
        <v>6</v>
      </c>
      <c r="C1823" s="5">
        <f t="shared" si="528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13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24"/>
        <v>45101</v>
      </c>
      <c r="L1823" s="5">
        <f t="shared" si="525"/>
        <v>6</v>
      </c>
      <c r="M1823" s="5">
        <f t="shared" si="526"/>
        <v>2023</v>
      </c>
      <c r="N1823" s="6">
        <v>390</v>
      </c>
      <c r="O1823" s="6">
        <f>-306.2-83.8</f>
        <v>-390</v>
      </c>
      <c r="P1823" s="6">
        <f t="shared" si="522"/>
        <v>0</v>
      </c>
      <c r="Q1823" s="7">
        <f t="shared" si="530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27"/>
        <v>6</v>
      </c>
      <c r="C1824" s="5">
        <f t="shared" si="528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13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24"/>
        <v>45101</v>
      </c>
      <c r="L1824" s="5">
        <f t="shared" si="525"/>
        <v>6</v>
      </c>
      <c r="M1824" s="5">
        <f t="shared" si="526"/>
        <v>2023</v>
      </c>
      <c r="N1824" s="6">
        <v>258</v>
      </c>
      <c r="O1824" s="6">
        <f t="shared" ref="O1824" si="533">-N1824</f>
        <v>-258</v>
      </c>
      <c r="P1824" s="6">
        <f t="shared" si="522"/>
        <v>0</v>
      </c>
      <c r="Q1824" s="7">
        <f t="shared" si="530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27"/>
        <v>6</v>
      </c>
      <c r="C1825" s="5">
        <f t="shared" si="528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134" t="s">
        <v>1654</v>
      </c>
      <c r="H1825" s="13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24"/>
        <v>45103</v>
      </c>
      <c r="L1825" s="5">
        <f t="shared" si="525"/>
        <v>6</v>
      </c>
      <c r="M1825" s="5">
        <f t="shared" si="526"/>
        <v>2023</v>
      </c>
      <c r="N1825" s="6">
        <v>1958</v>
      </c>
      <c r="O1825" s="6">
        <f t="shared" ref="O1825:O1833" si="534">-N1825</f>
        <v>-1958</v>
      </c>
      <c r="P1825" s="6">
        <f t="shared" si="522"/>
        <v>0</v>
      </c>
      <c r="Q1825" s="7">
        <f t="shared" si="530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35">MONTH(A1826)</f>
        <v>6</v>
      </c>
      <c r="C1826" s="5">
        <f t="shared" ref="C1826:C1830" si="53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13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24"/>
        <v>45103</v>
      </c>
      <c r="L1826" s="5">
        <f t="shared" si="525"/>
        <v>6</v>
      </c>
      <c r="M1826" s="5">
        <f t="shared" si="526"/>
        <v>2023</v>
      </c>
      <c r="N1826" s="6">
        <v>237</v>
      </c>
      <c r="O1826" s="6">
        <f t="shared" si="534"/>
        <v>-237</v>
      </c>
      <c r="P1826" s="6">
        <f t="shared" ref="P1826:P1836" si="537">SUM(N1826+O1826)</f>
        <v>0</v>
      </c>
      <c r="Q1826" s="7">
        <f t="shared" si="530"/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35"/>
        <v>6</v>
      </c>
      <c r="C1827" s="5">
        <f t="shared" si="53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13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24"/>
        <v>45103</v>
      </c>
      <c r="L1827" s="5">
        <f t="shared" si="525"/>
        <v>6</v>
      </c>
      <c r="M1827" s="5">
        <f t="shared" si="526"/>
        <v>2023</v>
      </c>
      <c r="N1827" s="6">
        <v>258</v>
      </c>
      <c r="O1827" s="6">
        <f t="shared" si="534"/>
        <v>-258</v>
      </c>
      <c r="P1827" s="6">
        <f t="shared" si="537"/>
        <v>0</v>
      </c>
      <c r="Q1827" s="7">
        <f t="shared" si="530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35"/>
        <v>6</v>
      </c>
      <c r="C1828" s="5">
        <f t="shared" si="53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13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24"/>
        <v>45103</v>
      </c>
      <c r="L1828" s="5">
        <f t="shared" si="525"/>
        <v>6</v>
      </c>
      <c r="M1828" s="5">
        <f t="shared" si="526"/>
        <v>2023</v>
      </c>
      <c r="N1828" s="6">
        <v>30</v>
      </c>
      <c r="O1828" s="6">
        <f t="shared" si="534"/>
        <v>-30</v>
      </c>
      <c r="P1828" s="6">
        <f t="shared" si="537"/>
        <v>0</v>
      </c>
      <c r="Q1828" s="7">
        <f t="shared" si="530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35"/>
        <v>6</v>
      </c>
      <c r="C1829" s="5">
        <f t="shared" si="53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13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24"/>
        <v>45103</v>
      </c>
      <c r="L1829" s="5">
        <f t="shared" si="525"/>
        <v>6</v>
      </c>
      <c r="M1829" s="5">
        <f t="shared" si="526"/>
        <v>2023</v>
      </c>
      <c r="N1829" s="6">
        <v>27.5</v>
      </c>
      <c r="O1829" s="6">
        <f t="shared" si="534"/>
        <v>-27.5</v>
      </c>
      <c r="P1829" s="6">
        <f t="shared" si="537"/>
        <v>0</v>
      </c>
      <c r="Q1829" s="7">
        <f t="shared" si="530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35"/>
        <v>6</v>
      </c>
      <c r="C1830" s="5">
        <f t="shared" si="53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13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24"/>
        <v>45103</v>
      </c>
      <c r="L1830" s="5">
        <f t="shared" si="525"/>
        <v>6</v>
      </c>
      <c r="M1830" s="5">
        <f t="shared" si="526"/>
        <v>2023</v>
      </c>
      <c r="N1830" s="6">
        <v>50</v>
      </c>
      <c r="O1830" s="6">
        <f t="shared" si="534"/>
        <v>-50</v>
      </c>
      <c r="P1830" s="6">
        <f t="shared" si="537"/>
        <v>0</v>
      </c>
      <c r="Q1830" s="7">
        <f t="shared" si="530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38">MONTH(A1831)</f>
        <v>6</v>
      </c>
      <c r="C1831" s="5">
        <f t="shared" ref="C1831:C1839" si="539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6" t="s">
        <v>1658</v>
      </c>
      <c r="H1831" s="13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24"/>
        <v>45103</v>
      </c>
      <c r="L1831" s="5">
        <f t="shared" si="525"/>
        <v>6</v>
      </c>
      <c r="M1831" s="5">
        <f t="shared" si="526"/>
        <v>2023</v>
      </c>
      <c r="N1831" s="6">
        <v>70</v>
      </c>
      <c r="O1831" s="6">
        <f t="shared" si="534"/>
        <v>-70</v>
      </c>
      <c r="P1831" s="6">
        <f t="shared" si="537"/>
        <v>0</v>
      </c>
      <c r="Q1831" s="7">
        <f t="shared" si="530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38"/>
        <v>6</v>
      </c>
      <c r="C1832" s="5">
        <f t="shared" si="539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8" t="s">
        <v>1659</v>
      </c>
      <c r="H1832" s="13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24"/>
        <v>45103</v>
      </c>
      <c r="L1832" s="5">
        <f t="shared" si="525"/>
        <v>6</v>
      </c>
      <c r="M1832" s="5">
        <f t="shared" si="526"/>
        <v>2023</v>
      </c>
      <c r="N1832" s="6">
        <v>74</v>
      </c>
      <c r="O1832" s="6">
        <f t="shared" si="534"/>
        <v>-74</v>
      </c>
      <c r="P1832" s="6">
        <f t="shared" si="537"/>
        <v>0</v>
      </c>
      <c r="Q1832" s="7">
        <f t="shared" si="530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38"/>
        <v>6</v>
      </c>
      <c r="C1833" s="5">
        <f t="shared" si="539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8" t="s">
        <v>1660</v>
      </c>
      <c r="H1833" s="13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24"/>
        <v>45103</v>
      </c>
      <c r="L1833" s="5">
        <f t="shared" si="525"/>
        <v>6</v>
      </c>
      <c r="M1833" s="5">
        <f t="shared" si="526"/>
        <v>2023</v>
      </c>
      <c r="N1833" s="6">
        <v>116</v>
      </c>
      <c r="O1833" s="6">
        <f t="shared" si="534"/>
        <v>-116</v>
      </c>
      <c r="P1833" s="6">
        <f t="shared" si="537"/>
        <v>0</v>
      </c>
      <c r="Q1833" s="7">
        <f t="shared" si="530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38"/>
        <v>6</v>
      </c>
      <c r="C1834" s="5">
        <f t="shared" si="539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13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24"/>
        <v>45104</v>
      </c>
      <c r="L1834" s="5">
        <f t="shared" si="525"/>
        <v>6</v>
      </c>
      <c r="M1834" s="5">
        <f t="shared" si="526"/>
        <v>2023</v>
      </c>
      <c r="N1834" s="6">
        <v>3740</v>
      </c>
      <c r="O1834" s="6">
        <f>-3000-740</f>
        <v>-3740</v>
      </c>
      <c r="P1834" s="6">
        <f t="shared" si="537"/>
        <v>0</v>
      </c>
      <c r="Q1834" s="7">
        <f t="shared" si="530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38"/>
        <v>6</v>
      </c>
      <c r="C1835" s="5">
        <f t="shared" si="539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13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24"/>
        <v>45104</v>
      </c>
      <c r="L1835" s="5">
        <f t="shared" si="525"/>
        <v>6</v>
      </c>
      <c r="M1835" s="5">
        <f t="shared" si="526"/>
        <v>2023</v>
      </c>
      <c r="N1835" s="6">
        <v>450</v>
      </c>
      <c r="O1835" s="6">
        <f>-393.5-56.5</f>
        <v>-450</v>
      </c>
      <c r="P1835" s="6">
        <f t="shared" si="537"/>
        <v>0</v>
      </c>
      <c r="Q1835" s="7">
        <f t="shared" si="530"/>
        <v>3294779.6500000013</v>
      </c>
      <c r="R1835" s="44" t="str">
        <f>VLOOKUP(F1835,'Set up'!$A$2:$E$55,5,FALSE)</f>
        <v>Trsf</v>
      </c>
      <c r="S1835" s="115" t="s">
        <v>1750</v>
      </c>
    </row>
    <row r="1836" spans="1:19" ht="15" customHeight="1" x14ac:dyDescent="0.3">
      <c r="A1836" s="4" t="s">
        <v>1664</v>
      </c>
      <c r="B1836" s="5">
        <f t="shared" si="538"/>
        <v>6</v>
      </c>
      <c r="C1836" s="5">
        <f t="shared" si="539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13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24"/>
        <v>45104</v>
      </c>
      <c r="L1836" s="5">
        <f t="shared" si="525"/>
        <v>6</v>
      </c>
      <c r="M1836" s="5">
        <f t="shared" si="526"/>
        <v>2023</v>
      </c>
      <c r="N1836" s="6">
        <v>225</v>
      </c>
      <c r="O1836" s="6">
        <f t="shared" ref="O1836:O1844" si="540">-N1836</f>
        <v>-225</v>
      </c>
      <c r="P1836" s="6">
        <f t="shared" si="537"/>
        <v>0</v>
      </c>
      <c r="Q1836" s="7">
        <f t="shared" si="530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38"/>
        <v>6</v>
      </c>
      <c r="C1837" s="5">
        <f t="shared" si="539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13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24"/>
        <v>45104</v>
      </c>
      <c r="L1837" s="5">
        <f t="shared" si="525"/>
        <v>6</v>
      </c>
      <c r="M1837" s="5">
        <f t="shared" si="526"/>
        <v>2023</v>
      </c>
      <c r="N1837" s="6">
        <v>236</v>
      </c>
      <c r="O1837" s="6">
        <f t="shared" si="540"/>
        <v>-236</v>
      </c>
      <c r="P1837" s="6">
        <f t="shared" ref="P1837:P1844" si="541">SUM(N1837+O1837)</f>
        <v>0</v>
      </c>
      <c r="Q1837" s="7">
        <f t="shared" si="530"/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38"/>
        <v>6</v>
      </c>
      <c r="C1838" s="5">
        <f t="shared" si="539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13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24"/>
        <v>45104</v>
      </c>
      <c r="L1838" s="5">
        <f t="shared" si="525"/>
        <v>6</v>
      </c>
      <c r="M1838" s="5">
        <f t="shared" si="526"/>
        <v>2023</v>
      </c>
      <c r="N1838" s="6">
        <v>95</v>
      </c>
      <c r="O1838" s="6">
        <f t="shared" si="540"/>
        <v>-95</v>
      </c>
      <c r="P1838" s="6">
        <f t="shared" si="541"/>
        <v>0</v>
      </c>
      <c r="Q1838" s="7">
        <f t="shared" si="530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38"/>
        <v>6</v>
      </c>
      <c r="C1839" s="5">
        <f t="shared" si="539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13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24"/>
        <v>45104</v>
      </c>
      <c r="L1839" s="5">
        <f t="shared" si="525"/>
        <v>6</v>
      </c>
      <c r="M1839" s="5">
        <f t="shared" si="526"/>
        <v>2023</v>
      </c>
      <c r="N1839" s="6">
        <v>62.5</v>
      </c>
      <c r="O1839" s="6">
        <f t="shared" si="540"/>
        <v>-62.5</v>
      </c>
      <c r="P1839" s="6">
        <f t="shared" si="541"/>
        <v>0</v>
      </c>
      <c r="Q1839" s="7">
        <f t="shared" si="530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42">MONTH(A1840)</f>
        <v>6</v>
      </c>
      <c r="C1840" s="5">
        <f t="shared" ref="C1840:C1844" si="543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13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24"/>
        <v>45104</v>
      </c>
      <c r="L1840" s="5">
        <f t="shared" si="525"/>
        <v>6</v>
      </c>
      <c r="M1840" s="5">
        <f t="shared" si="526"/>
        <v>2023</v>
      </c>
      <c r="N1840" s="6">
        <v>165</v>
      </c>
      <c r="O1840" s="6">
        <f t="shared" si="540"/>
        <v>-165</v>
      </c>
      <c r="P1840" s="6">
        <f t="shared" si="541"/>
        <v>0</v>
      </c>
      <c r="Q1840" s="7">
        <f t="shared" si="530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42"/>
        <v>6</v>
      </c>
      <c r="C1841" s="5">
        <f t="shared" si="543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13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24"/>
        <v>45104</v>
      </c>
      <c r="L1841" s="5">
        <f t="shared" si="525"/>
        <v>6</v>
      </c>
      <c r="M1841" s="5">
        <f t="shared" si="526"/>
        <v>2023</v>
      </c>
      <c r="N1841" s="6">
        <v>160</v>
      </c>
      <c r="O1841" s="6">
        <f t="shared" si="540"/>
        <v>-160</v>
      </c>
      <c r="P1841" s="6">
        <f t="shared" si="541"/>
        <v>0</v>
      </c>
      <c r="Q1841" s="7">
        <f t="shared" si="530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42"/>
        <v>6</v>
      </c>
      <c r="C1842" s="5">
        <f t="shared" si="543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32" t="s">
        <v>717</v>
      </c>
      <c r="H1842" s="13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24"/>
        <v>45105</v>
      </c>
      <c r="L1842" s="5">
        <f t="shared" si="525"/>
        <v>6</v>
      </c>
      <c r="M1842" s="5">
        <f t="shared" si="526"/>
        <v>2023</v>
      </c>
      <c r="N1842" s="6">
        <v>1870</v>
      </c>
      <c r="O1842" s="6">
        <f t="shared" si="540"/>
        <v>-1870</v>
      </c>
      <c r="P1842" s="6">
        <f t="shared" si="541"/>
        <v>0</v>
      </c>
      <c r="Q1842" s="7">
        <f t="shared" si="530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42"/>
        <v>6</v>
      </c>
      <c r="C1843" s="5">
        <f t="shared" si="543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8" t="s">
        <v>655</v>
      </c>
      <c r="H1843" s="13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24"/>
        <v>45105</v>
      </c>
      <c r="L1843" s="5">
        <f t="shared" si="525"/>
        <v>6</v>
      </c>
      <c r="M1843" s="5">
        <f t="shared" si="526"/>
        <v>2023</v>
      </c>
      <c r="N1843" s="6">
        <v>510</v>
      </c>
      <c r="O1843" s="6">
        <f t="shared" si="540"/>
        <v>-510</v>
      </c>
      <c r="P1843" s="6">
        <f t="shared" si="541"/>
        <v>0</v>
      </c>
      <c r="Q1843" s="7">
        <f t="shared" si="530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42"/>
        <v>6</v>
      </c>
      <c r="C1844" s="5">
        <f t="shared" si="543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8" t="s">
        <v>1062</v>
      </c>
      <c r="H1844" s="13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24"/>
        <v>45105</v>
      </c>
      <c r="L1844" s="5">
        <f t="shared" si="525"/>
        <v>6</v>
      </c>
      <c r="M1844" s="5">
        <f t="shared" si="526"/>
        <v>2023</v>
      </c>
      <c r="N1844" s="6">
        <v>95</v>
      </c>
      <c r="O1844" s="6">
        <f t="shared" si="540"/>
        <v>-95</v>
      </c>
      <c r="P1844" s="6">
        <f t="shared" si="541"/>
        <v>0</v>
      </c>
      <c r="Q1844" s="7">
        <f t="shared" si="530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44">MONTH(A1845)</f>
        <v>7</v>
      </c>
      <c r="C1845" s="5">
        <f t="shared" ref="C1845:C1908" si="545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13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24"/>
        <v>45168</v>
      </c>
      <c r="L1845" s="5">
        <f t="shared" si="525"/>
        <v>8</v>
      </c>
      <c r="M1845" s="5">
        <f t="shared" si="526"/>
        <v>2023</v>
      </c>
      <c r="N1845" s="6">
        <v>220</v>
      </c>
      <c r="O1845" s="6">
        <f t="shared" ref="O1845" si="546">-N1845</f>
        <v>-220</v>
      </c>
      <c r="P1845" s="6">
        <f t="shared" ref="P1845:P1908" si="547">SUM(N1845+O1845)</f>
        <v>0</v>
      </c>
      <c r="Q1845" s="7">
        <f t="shared" si="530"/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44"/>
        <v>7</v>
      </c>
      <c r="C1846" s="5">
        <f t="shared" si="545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8" t="s">
        <v>1111</v>
      </c>
      <c r="H1846" s="13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24"/>
        <v>45108</v>
      </c>
      <c r="L1846" s="5">
        <f t="shared" si="525"/>
        <v>7</v>
      </c>
      <c r="M1846" s="5">
        <f t="shared" si="526"/>
        <v>2023</v>
      </c>
      <c r="N1846" s="6">
        <v>62.5</v>
      </c>
      <c r="O1846" s="6">
        <f>-N1846</f>
        <v>-62.5</v>
      </c>
      <c r="P1846" s="6">
        <f t="shared" si="547"/>
        <v>0</v>
      </c>
      <c r="Q1846" s="7">
        <f t="shared" si="53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44"/>
        <v>7</v>
      </c>
      <c r="C1847" s="5">
        <f t="shared" si="545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8" t="s">
        <v>1713</v>
      </c>
      <c r="H1847" s="13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24"/>
        <v>45108</v>
      </c>
      <c r="L1847" s="5">
        <f t="shared" si="525"/>
        <v>7</v>
      </c>
      <c r="M1847" s="5">
        <f t="shared" si="526"/>
        <v>2023</v>
      </c>
      <c r="N1847" s="6">
        <v>50.4</v>
      </c>
      <c r="O1847" s="6">
        <f>-N1847</f>
        <v>-50.4</v>
      </c>
      <c r="P1847" s="6">
        <f t="shared" si="547"/>
        <v>0</v>
      </c>
      <c r="Q1847" s="7">
        <f t="shared" si="53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44"/>
        <v>7</v>
      </c>
      <c r="C1848" s="5">
        <f t="shared" si="545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8" t="s">
        <v>1357</v>
      </c>
      <c r="H1848" s="13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24"/>
        <v>45110</v>
      </c>
      <c r="L1848" s="5">
        <f t="shared" si="525"/>
        <v>7</v>
      </c>
      <c r="M1848" s="5">
        <f t="shared" si="526"/>
        <v>2023</v>
      </c>
      <c r="N1848" s="6">
        <v>3652</v>
      </c>
      <c r="O1848" s="6">
        <f t="shared" ref="O1848:O1854" si="548">-N1848</f>
        <v>-3652</v>
      </c>
      <c r="P1848" s="6">
        <f t="shared" si="547"/>
        <v>0</v>
      </c>
      <c r="Q1848" s="7">
        <f t="shared" si="53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44"/>
        <v>7</v>
      </c>
      <c r="C1849" s="5">
        <f t="shared" si="545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8" t="s">
        <v>1432</v>
      </c>
      <c r="H1849" s="13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24"/>
        <v>45110</v>
      </c>
      <c r="L1849" s="5">
        <f t="shared" si="525"/>
        <v>7</v>
      </c>
      <c r="M1849" s="5">
        <f t="shared" si="526"/>
        <v>2023</v>
      </c>
      <c r="N1849" s="6">
        <v>675</v>
      </c>
      <c r="O1849" s="6">
        <f t="shared" si="548"/>
        <v>-675</v>
      </c>
      <c r="P1849" s="6">
        <f t="shared" si="547"/>
        <v>0</v>
      </c>
      <c r="Q1849" s="7">
        <f t="shared" si="53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44"/>
        <v>7</v>
      </c>
      <c r="C1850" s="5">
        <f t="shared" si="545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8" t="s">
        <v>1625</v>
      </c>
      <c r="H1850" s="13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24"/>
        <v>45110</v>
      </c>
      <c r="L1850" s="5">
        <f t="shared" si="525"/>
        <v>7</v>
      </c>
      <c r="M1850" s="5">
        <f t="shared" si="526"/>
        <v>2023</v>
      </c>
      <c r="N1850" s="6">
        <v>236</v>
      </c>
      <c r="O1850" s="6">
        <f t="shared" si="548"/>
        <v>-236</v>
      </c>
      <c r="P1850" s="6">
        <f t="shared" si="547"/>
        <v>0</v>
      </c>
      <c r="Q1850" s="7">
        <f t="shared" si="53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44"/>
        <v>7</v>
      </c>
      <c r="C1851" s="5">
        <f t="shared" si="545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13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24"/>
        <v>45110</v>
      </c>
      <c r="L1851" s="5">
        <f t="shared" si="525"/>
        <v>7</v>
      </c>
      <c r="M1851" s="5">
        <f t="shared" si="526"/>
        <v>2023</v>
      </c>
      <c r="N1851" s="6">
        <v>95</v>
      </c>
      <c r="O1851" s="6">
        <f t="shared" si="548"/>
        <v>-95</v>
      </c>
      <c r="P1851" s="6">
        <f t="shared" si="547"/>
        <v>0</v>
      </c>
      <c r="Q1851" s="7">
        <f t="shared" si="53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44"/>
        <v>7</v>
      </c>
      <c r="C1852" s="5">
        <f t="shared" si="545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8" t="s">
        <v>1111</v>
      </c>
      <c r="H1852" s="13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24"/>
        <v>45110</v>
      </c>
      <c r="L1852" s="5">
        <f t="shared" si="525"/>
        <v>7</v>
      </c>
      <c r="M1852" s="5">
        <f t="shared" si="526"/>
        <v>2023</v>
      </c>
      <c r="N1852" s="95">
        <v>125</v>
      </c>
      <c r="O1852" s="6">
        <f t="shared" si="548"/>
        <v>-125</v>
      </c>
      <c r="P1852" s="6">
        <f t="shared" si="547"/>
        <v>0</v>
      </c>
      <c r="Q1852" s="7">
        <f t="shared" si="53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44"/>
        <v>7</v>
      </c>
      <c r="C1853" s="5">
        <f t="shared" si="545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13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24"/>
        <v>45110</v>
      </c>
      <c r="L1853" s="5">
        <f t="shared" si="525"/>
        <v>7</v>
      </c>
      <c r="M1853" s="5">
        <f t="shared" si="526"/>
        <v>2023</v>
      </c>
      <c r="N1853" s="6">
        <v>100</v>
      </c>
      <c r="O1853" s="6">
        <f t="shared" si="548"/>
        <v>-100</v>
      </c>
      <c r="P1853" s="6">
        <f t="shared" si="547"/>
        <v>0</v>
      </c>
      <c r="Q1853" s="7">
        <f t="shared" si="53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44"/>
        <v>7</v>
      </c>
      <c r="C1854" s="5">
        <f t="shared" si="545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2" t="s">
        <v>1714</v>
      </c>
      <c r="H1854" s="13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24"/>
        <v>45111</v>
      </c>
      <c r="L1854" s="5">
        <f t="shared" si="525"/>
        <v>7</v>
      </c>
      <c r="M1854" s="5">
        <f t="shared" si="526"/>
        <v>2023</v>
      </c>
      <c r="N1854" s="6">
        <v>100</v>
      </c>
      <c r="O1854" s="6">
        <f t="shared" si="548"/>
        <v>-100</v>
      </c>
      <c r="P1854" s="6">
        <f t="shared" si="547"/>
        <v>0</v>
      </c>
      <c r="Q1854" s="7">
        <f t="shared" si="53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44"/>
        <v>7</v>
      </c>
      <c r="C1855" s="5">
        <f t="shared" si="545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13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24"/>
        <v>45113</v>
      </c>
      <c r="L1855" s="5">
        <f t="shared" si="525"/>
        <v>7</v>
      </c>
      <c r="M1855" s="5">
        <f t="shared" si="526"/>
        <v>2023</v>
      </c>
      <c r="N1855" s="6">
        <v>1848</v>
      </c>
      <c r="P1855" s="6">
        <f t="shared" si="547"/>
        <v>1848</v>
      </c>
      <c r="Q1855" s="7">
        <f t="shared" si="530"/>
        <v>3305362.0500000012</v>
      </c>
      <c r="R1855" s="44" t="str">
        <f>VLOOKUP(F1855,'Set up'!$A$2:$E$55,5,FALSE)</f>
        <v>Trsf</v>
      </c>
    </row>
    <row r="1856" spans="1:19" ht="15" customHeight="1" x14ac:dyDescent="0.3">
      <c r="A1856" s="4">
        <v>45113</v>
      </c>
      <c r="B1856" s="5">
        <f t="shared" si="544"/>
        <v>7</v>
      </c>
      <c r="C1856" s="5">
        <f t="shared" si="545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13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24"/>
        <v>45113</v>
      </c>
      <c r="L1856" s="5">
        <f t="shared" si="525"/>
        <v>7</v>
      </c>
      <c r="M1856" s="5">
        <f t="shared" si="526"/>
        <v>2023</v>
      </c>
      <c r="N1856" s="6">
        <v>508</v>
      </c>
      <c r="P1856" s="6">
        <f t="shared" si="547"/>
        <v>508</v>
      </c>
      <c r="Q1856" s="7">
        <f t="shared" si="530"/>
        <v>3305870.0500000012</v>
      </c>
      <c r="R1856" s="44" t="str">
        <f>VLOOKUP(F1856,'Set up'!$A$2:$E$55,5,FALSE)</f>
        <v>Trsf</v>
      </c>
    </row>
    <row r="1857" spans="1:19" ht="15" customHeight="1" x14ac:dyDescent="0.3">
      <c r="A1857" s="4">
        <v>45113</v>
      </c>
      <c r="B1857" s="5">
        <f t="shared" si="544"/>
        <v>7</v>
      </c>
      <c r="C1857" s="5">
        <f t="shared" si="545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13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24"/>
        <v>45113</v>
      </c>
      <c r="L1857" s="5">
        <f t="shared" si="525"/>
        <v>7</v>
      </c>
      <c r="M1857" s="5">
        <f t="shared" si="526"/>
        <v>2023</v>
      </c>
      <c r="N1857" s="6">
        <v>160</v>
      </c>
      <c r="P1857" s="6">
        <f t="shared" si="547"/>
        <v>160</v>
      </c>
      <c r="Q1857" s="7">
        <f t="shared" si="530"/>
        <v>3306030.0500000012</v>
      </c>
      <c r="R1857" s="44" t="str">
        <f>VLOOKUP(F1857,'Set up'!$A$2:$E$55,5,FALSE)</f>
        <v>Trsf</v>
      </c>
    </row>
    <row r="1858" spans="1:19" ht="15" customHeight="1" x14ac:dyDescent="0.3">
      <c r="A1858" s="4">
        <v>45113</v>
      </c>
      <c r="B1858" s="5">
        <f t="shared" si="544"/>
        <v>7</v>
      </c>
      <c r="C1858" s="5">
        <f t="shared" si="545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134" t="s">
        <v>304</v>
      </c>
      <c r="H1858" s="13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24"/>
        <v>45113</v>
      </c>
      <c r="L1858" s="5">
        <f t="shared" si="525"/>
        <v>7</v>
      </c>
      <c r="M1858" s="5">
        <f t="shared" si="526"/>
        <v>2023</v>
      </c>
      <c r="N1858" s="6">
        <v>5280</v>
      </c>
      <c r="O1858" s="6">
        <f t="shared" ref="O1858:O1863" si="549">-N1858</f>
        <v>-5280</v>
      </c>
      <c r="P1858" s="6">
        <f t="shared" si="547"/>
        <v>0</v>
      </c>
      <c r="Q1858" s="7">
        <f t="shared" si="53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44"/>
        <v>7</v>
      </c>
      <c r="C1859" s="5">
        <f t="shared" si="545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13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50">A1859+J1859</f>
        <v>45113</v>
      </c>
      <c r="L1859" s="5">
        <f t="shared" ref="L1859:L1922" si="551">MONTH(K1859)</f>
        <v>7</v>
      </c>
      <c r="M1859" s="5">
        <f t="shared" ref="M1859:M1922" si="552">YEAR(K1859)</f>
        <v>2023</v>
      </c>
      <c r="N1859" s="6">
        <v>1185</v>
      </c>
      <c r="O1859" s="6">
        <f t="shared" si="549"/>
        <v>-1185</v>
      </c>
      <c r="P1859" s="6">
        <f t="shared" si="547"/>
        <v>0</v>
      </c>
      <c r="Q1859" s="7">
        <f t="shared" si="53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44"/>
        <v>7</v>
      </c>
      <c r="C1860" s="5">
        <f t="shared" si="545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8" t="s">
        <v>1062</v>
      </c>
      <c r="H1860" s="13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50"/>
        <v>45113</v>
      </c>
      <c r="L1860" s="5">
        <f t="shared" si="551"/>
        <v>7</v>
      </c>
      <c r="M1860" s="5">
        <f t="shared" si="552"/>
        <v>2023</v>
      </c>
      <c r="N1860" s="6">
        <v>190</v>
      </c>
      <c r="O1860" s="6">
        <f t="shared" si="549"/>
        <v>-190</v>
      </c>
      <c r="P1860" s="6">
        <f t="shared" si="547"/>
        <v>0</v>
      </c>
      <c r="Q1860" s="7">
        <f t="shared" si="53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44"/>
        <v>7</v>
      </c>
      <c r="C1861" s="5">
        <f t="shared" si="545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8" t="s">
        <v>1716</v>
      </c>
      <c r="H1861" s="13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50"/>
        <v>45113</v>
      </c>
      <c r="L1861" s="5">
        <f t="shared" si="551"/>
        <v>7</v>
      </c>
      <c r="M1861" s="5">
        <f t="shared" si="552"/>
        <v>2023</v>
      </c>
      <c r="N1861" s="6">
        <v>165</v>
      </c>
      <c r="O1861" s="6">
        <f t="shared" si="549"/>
        <v>-165</v>
      </c>
      <c r="P1861" s="6">
        <f t="shared" si="547"/>
        <v>0</v>
      </c>
      <c r="Q1861" s="7">
        <f t="shared" si="53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44"/>
        <v>7</v>
      </c>
      <c r="C1862" s="5">
        <f t="shared" si="545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8" t="s">
        <v>866</v>
      </c>
      <c r="H1862" s="13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50"/>
        <v>45113</v>
      </c>
      <c r="L1862" s="5">
        <f t="shared" si="551"/>
        <v>7</v>
      </c>
      <c r="M1862" s="5">
        <f t="shared" si="552"/>
        <v>2023</v>
      </c>
      <c r="N1862" s="6">
        <v>516</v>
      </c>
      <c r="O1862" s="6">
        <f t="shared" si="549"/>
        <v>-516</v>
      </c>
      <c r="P1862" s="6">
        <f t="shared" si="547"/>
        <v>0</v>
      </c>
      <c r="Q1862" s="7">
        <f t="shared" si="53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44"/>
        <v>7</v>
      </c>
      <c r="C1863" s="5">
        <f t="shared" si="545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8" t="s">
        <v>950</v>
      </c>
      <c r="H1863" s="13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50"/>
        <v>45113</v>
      </c>
      <c r="L1863" s="5">
        <f t="shared" si="551"/>
        <v>7</v>
      </c>
      <c r="M1863" s="5">
        <f t="shared" si="552"/>
        <v>2023</v>
      </c>
      <c r="N1863" s="6">
        <v>200</v>
      </c>
      <c r="O1863" s="6">
        <f t="shared" si="549"/>
        <v>-200</v>
      </c>
      <c r="P1863" s="6">
        <f t="shared" si="547"/>
        <v>0</v>
      </c>
      <c r="Q1863" s="7">
        <f t="shared" si="53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44"/>
        <v>7</v>
      </c>
      <c r="C1864" s="5">
        <f t="shared" si="545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134" t="s">
        <v>1403</v>
      </c>
      <c r="H1864" s="13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50"/>
        <v>45237</v>
      </c>
      <c r="L1864" s="5">
        <f t="shared" si="551"/>
        <v>11</v>
      </c>
      <c r="M1864" s="5">
        <f t="shared" si="552"/>
        <v>2023</v>
      </c>
      <c r="N1864" s="6">
        <v>9636</v>
      </c>
      <c r="O1864" s="6">
        <f t="shared" ref="O1864:O1869" si="553">-N1864</f>
        <v>-9636</v>
      </c>
      <c r="P1864" s="6">
        <f t="shared" si="547"/>
        <v>0</v>
      </c>
      <c r="Q1864" s="7">
        <f t="shared" si="53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44"/>
        <v>7</v>
      </c>
      <c r="C1865" s="5">
        <f t="shared" si="545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13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50"/>
        <v>45237</v>
      </c>
      <c r="L1865" s="5">
        <f t="shared" si="551"/>
        <v>11</v>
      </c>
      <c r="M1865" s="5">
        <f t="shared" si="552"/>
        <v>2023</v>
      </c>
      <c r="N1865" s="6">
        <v>1800</v>
      </c>
      <c r="O1865" s="6">
        <f t="shared" si="553"/>
        <v>-1800</v>
      </c>
      <c r="P1865" s="6">
        <f t="shared" si="547"/>
        <v>0</v>
      </c>
      <c r="Q1865" s="7">
        <f t="shared" si="53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44"/>
        <v>7</v>
      </c>
      <c r="C1866" s="5">
        <f t="shared" si="545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13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50"/>
        <v>45237</v>
      </c>
      <c r="L1866" s="5">
        <f t="shared" si="551"/>
        <v>11</v>
      </c>
      <c r="M1866" s="5">
        <f t="shared" si="552"/>
        <v>2023</v>
      </c>
      <c r="N1866" s="6">
        <v>575</v>
      </c>
      <c r="O1866" s="6">
        <f t="shared" si="553"/>
        <v>-575</v>
      </c>
      <c r="P1866" s="6">
        <f t="shared" si="547"/>
        <v>0</v>
      </c>
      <c r="Q1866" s="7">
        <f t="shared" si="53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44"/>
        <v>7</v>
      </c>
      <c r="C1867" s="5">
        <f t="shared" si="545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13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50"/>
        <v>45237</v>
      </c>
      <c r="L1867" s="5">
        <f t="shared" si="551"/>
        <v>11</v>
      </c>
      <c r="M1867" s="5">
        <f t="shared" si="552"/>
        <v>2023</v>
      </c>
      <c r="N1867" s="6">
        <v>840</v>
      </c>
      <c r="O1867" s="6">
        <f t="shared" si="553"/>
        <v>-840</v>
      </c>
      <c r="P1867" s="6">
        <f t="shared" si="547"/>
        <v>0</v>
      </c>
      <c r="Q1867" s="7">
        <f t="shared" si="53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44"/>
        <v>7</v>
      </c>
      <c r="C1868" s="5">
        <f t="shared" si="545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13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50"/>
        <v>45237</v>
      </c>
      <c r="L1868" s="5">
        <f t="shared" si="551"/>
        <v>11</v>
      </c>
      <c r="M1868" s="5">
        <f t="shared" si="552"/>
        <v>2023</v>
      </c>
      <c r="N1868" s="6">
        <v>420</v>
      </c>
      <c r="O1868" s="6">
        <f t="shared" si="553"/>
        <v>-420</v>
      </c>
      <c r="P1868" s="6">
        <f t="shared" si="547"/>
        <v>0</v>
      </c>
      <c r="Q1868" s="7">
        <f t="shared" si="53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44"/>
        <v>7</v>
      </c>
      <c r="C1869" s="5">
        <f t="shared" si="545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13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50"/>
        <v>45237</v>
      </c>
      <c r="L1869" s="5">
        <f t="shared" si="551"/>
        <v>11</v>
      </c>
      <c r="M1869" s="5">
        <f t="shared" si="552"/>
        <v>2023</v>
      </c>
      <c r="N1869" s="6">
        <v>395</v>
      </c>
      <c r="O1869" s="6">
        <f t="shared" si="553"/>
        <v>-395</v>
      </c>
      <c r="P1869" s="6">
        <f t="shared" si="547"/>
        <v>0</v>
      </c>
      <c r="Q1869" s="7">
        <f t="shared" si="53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44"/>
        <v>7</v>
      </c>
      <c r="C1870" s="5">
        <f t="shared" si="545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13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50"/>
        <v>45117</v>
      </c>
      <c r="L1870" s="5">
        <f t="shared" si="551"/>
        <v>7</v>
      </c>
      <c r="M1870" s="5">
        <f t="shared" si="552"/>
        <v>2023</v>
      </c>
      <c r="N1870" s="6">
        <v>1390</v>
      </c>
      <c r="O1870" s="6">
        <f t="shared" ref="O1870:O1873" si="554">-N1870</f>
        <v>-1390</v>
      </c>
      <c r="P1870" s="91">
        <f t="shared" si="547"/>
        <v>0</v>
      </c>
      <c r="Q1870" s="7">
        <f t="shared" si="530"/>
        <v>3328622.0500000012</v>
      </c>
      <c r="R1870" s="44" t="str">
        <f>VLOOKUP(F1870,'Set up'!$A$2:$E$55,5,FALSE)</f>
        <v>Trsf</v>
      </c>
      <c r="S1870" s="114" t="s">
        <v>1847</v>
      </c>
    </row>
    <row r="1871" spans="1:19" ht="15" customHeight="1" x14ac:dyDescent="0.3">
      <c r="A1871" s="4">
        <v>45118</v>
      </c>
      <c r="B1871" s="5">
        <f t="shared" si="544"/>
        <v>7</v>
      </c>
      <c r="C1871" s="5">
        <f t="shared" si="545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32" t="s">
        <v>717</v>
      </c>
      <c r="H1871" s="13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50"/>
        <v>45118</v>
      </c>
      <c r="L1871" s="5">
        <f t="shared" si="551"/>
        <v>7</v>
      </c>
      <c r="M1871" s="5">
        <f t="shared" si="552"/>
        <v>2023</v>
      </c>
      <c r="N1871" s="6">
        <v>1826</v>
      </c>
      <c r="O1871" s="6">
        <f t="shared" si="554"/>
        <v>-1826</v>
      </c>
      <c r="P1871" s="6">
        <f t="shared" si="547"/>
        <v>0</v>
      </c>
      <c r="Q1871" s="7">
        <f t="shared" si="53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44"/>
        <v>7</v>
      </c>
      <c r="C1872" s="5">
        <f t="shared" si="545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8" t="s">
        <v>655</v>
      </c>
      <c r="H1872" s="13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50"/>
        <v>45118</v>
      </c>
      <c r="L1872" s="5">
        <f t="shared" si="551"/>
        <v>7</v>
      </c>
      <c r="M1872" s="5">
        <f t="shared" si="552"/>
        <v>2023</v>
      </c>
      <c r="N1872" s="6">
        <v>747</v>
      </c>
      <c r="O1872" s="6">
        <f t="shared" si="554"/>
        <v>-747</v>
      </c>
      <c r="P1872" s="6">
        <f t="shared" si="547"/>
        <v>0</v>
      </c>
      <c r="Q1872" s="7">
        <f t="shared" si="53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44"/>
        <v>7</v>
      </c>
      <c r="C1873" s="5">
        <f t="shared" si="545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8" t="s">
        <v>1062</v>
      </c>
      <c r="H1873" s="13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50"/>
        <v>45118</v>
      </c>
      <c r="L1873" s="5">
        <f t="shared" si="551"/>
        <v>7</v>
      </c>
      <c r="M1873" s="5">
        <f t="shared" si="552"/>
        <v>2023</v>
      </c>
      <c r="N1873" s="6">
        <v>95</v>
      </c>
      <c r="O1873" s="6">
        <f t="shared" si="554"/>
        <v>-95</v>
      </c>
      <c r="P1873" s="6">
        <f t="shared" si="547"/>
        <v>0</v>
      </c>
      <c r="Q1873" s="7">
        <f t="shared" si="53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44"/>
        <v>7</v>
      </c>
      <c r="C1874" s="5">
        <f t="shared" si="545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13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50"/>
        <v>45148</v>
      </c>
      <c r="L1874" s="5">
        <f t="shared" si="551"/>
        <v>8</v>
      </c>
      <c r="M1874" s="5">
        <f t="shared" si="552"/>
        <v>2023</v>
      </c>
      <c r="N1874" s="6">
        <v>144</v>
      </c>
      <c r="O1874" s="6">
        <f t="shared" ref="O1874" si="555">-N1874</f>
        <v>-144</v>
      </c>
      <c r="P1874" s="6">
        <f t="shared" si="547"/>
        <v>0</v>
      </c>
      <c r="Q1874" s="7">
        <f t="shared" ref="Q1874:Q1937" si="556">SUM(Q1873+N1874)</f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44"/>
        <v>7</v>
      </c>
      <c r="C1875" s="5">
        <f t="shared" si="545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8" t="s">
        <v>1357</v>
      </c>
      <c r="H1875" s="13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50"/>
        <v>45122</v>
      </c>
      <c r="L1875" s="5">
        <f t="shared" si="551"/>
        <v>7</v>
      </c>
      <c r="M1875" s="5">
        <f t="shared" si="552"/>
        <v>2023</v>
      </c>
      <c r="N1875" s="6">
        <v>3652</v>
      </c>
      <c r="O1875" s="6">
        <f t="shared" ref="O1875:O1884" si="557">-N1875</f>
        <v>-3652</v>
      </c>
      <c r="P1875" s="6">
        <f t="shared" si="547"/>
        <v>0</v>
      </c>
      <c r="Q1875" s="7">
        <f t="shared" si="556"/>
        <v>3335086.0500000012</v>
      </c>
      <c r="R1875" s="44" t="str">
        <f>VLOOKUP(F1875,'Set up'!$A$2:$E$55,5,FALSE)</f>
        <v>Trsf</v>
      </c>
      <c r="S1875" s="114" t="s">
        <v>1848</v>
      </c>
    </row>
    <row r="1876" spans="1:19" ht="15" customHeight="1" x14ac:dyDescent="0.3">
      <c r="A1876" s="4" t="s">
        <v>1722</v>
      </c>
      <c r="B1876" s="5">
        <f t="shared" si="544"/>
        <v>7</v>
      </c>
      <c r="C1876" s="5">
        <f t="shared" si="545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8" t="s">
        <v>1432</v>
      </c>
      <c r="H1876" s="13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50"/>
        <v>45122</v>
      </c>
      <c r="L1876" s="5">
        <f t="shared" si="551"/>
        <v>7</v>
      </c>
      <c r="M1876" s="5">
        <f t="shared" si="552"/>
        <v>2023</v>
      </c>
      <c r="N1876" s="6">
        <v>675</v>
      </c>
      <c r="O1876" s="6">
        <f t="shared" si="557"/>
        <v>-675</v>
      </c>
      <c r="P1876" s="6">
        <f t="shared" si="547"/>
        <v>0</v>
      </c>
      <c r="Q1876" s="7">
        <f t="shared" si="556"/>
        <v>3335761.0500000012</v>
      </c>
      <c r="R1876" s="44" t="str">
        <f>VLOOKUP(F1876,'Set up'!$A$2:$E$55,5,FALSE)</f>
        <v>Trsf</v>
      </c>
      <c r="S1876" s="114" t="s">
        <v>1848</v>
      </c>
    </row>
    <row r="1877" spans="1:19" ht="15" customHeight="1" x14ac:dyDescent="0.3">
      <c r="A1877" s="4" t="s">
        <v>1722</v>
      </c>
      <c r="B1877" s="5">
        <f t="shared" si="544"/>
        <v>7</v>
      </c>
      <c r="C1877" s="5">
        <f t="shared" si="545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8" t="s">
        <v>1625</v>
      </c>
      <c r="H1877" s="13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50"/>
        <v>45122</v>
      </c>
      <c r="L1877" s="5">
        <f t="shared" si="551"/>
        <v>7</v>
      </c>
      <c r="M1877" s="5">
        <f t="shared" si="552"/>
        <v>2023</v>
      </c>
      <c r="N1877" s="6">
        <v>236</v>
      </c>
      <c r="O1877" s="6">
        <f t="shared" si="557"/>
        <v>-236</v>
      </c>
      <c r="P1877" s="6">
        <f t="shared" si="547"/>
        <v>0</v>
      </c>
      <c r="Q1877" s="7">
        <f t="shared" si="556"/>
        <v>3335997.0500000012</v>
      </c>
      <c r="R1877" s="44" t="str">
        <f>VLOOKUP(F1877,'Set up'!$A$2:$E$55,5,FALSE)</f>
        <v>Trsf</v>
      </c>
      <c r="S1877" s="114" t="s">
        <v>1848</v>
      </c>
    </row>
    <row r="1878" spans="1:19" ht="15" customHeight="1" x14ac:dyDescent="0.3">
      <c r="A1878" s="4" t="s">
        <v>1722</v>
      </c>
      <c r="B1878" s="5">
        <f t="shared" si="544"/>
        <v>7</v>
      </c>
      <c r="C1878" s="5">
        <f t="shared" si="545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8" t="s">
        <v>1062</v>
      </c>
      <c r="H1878" s="13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50"/>
        <v>45122</v>
      </c>
      <c r="L1878" s="5">
        <f t="shared" si="551"/>
        <v>7</v>
      </c>
      <c r="M1878" s="5">
        <f t="shared" si="552"/>
        <v>2023</v>
      </c>
      <c r="N1878" s="6">
        <v>190</v>
      </c>
      <c r="O1878" s="6">
        <f t="shared" si="557"/>
        <v>-190</v>
      </c>
      <c r="P1878" s="6">
        <f t="shared" si="547"/>
        <v>0</v>
      </c>
      <c r="Q1878" s="7">
        <f t="shared" si="556"/>
        <v>3336187.0500000012</v>
      </c>
      <c r="R1878" s="44" t="str">
        <f>VLOOKUP(F1878,'Set up'!$A$2:$E$55,5,FALSE)</f>
        <v>Trsf</v>
      </c>
      <c r="S1878" s="114" t="s">
        <v>1848</v>
      </c>
    </row>
    <row r="1879" spans="1:19" ht="15" customHeight="1" x14ac:dyDescent="0.3">
      <c r="A1879" s="4" t="s">
        <v>1722</v>
      </c>
      <c r="B1879" s="5">
        <f t="shared" si="544"/>
        <v>7</v>
      </c>
      <c r="C1879" s="5">
        <f t="shared" si="545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8" t="s">
        <v>1111</v>
      </c>
      <c r="H1879" s="13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50"/>
        <v>45122</v>
      </c>
      <c r="L1879" s="5">
        <f t="shared" si="551"/>
        <v>7</v>
      </c>
      <c r="M1879" s="5">
        <f t="shared" si="552"/>
        <v>2023</v>
      </c>
      <c r="N1879" s="6">
        <v>125</v>
      </c>
      <c r="O1879" s="6">
        <f t="shared" si="557"/>
        <v>-125</v>
      </c>
      <c r="P1879" s="6">
        <f t="shared" si="547"/>
        <v>0</v>
      </c>
      <c r="Q1879" s="7">
        <f t="shared" si="556"/>
        <v>3336312.0500000012</v>
      </c>
      <c r="R1879" s="44" t="str">
        <f>VLOOKUP(F1879,'Set up'!$A$2:$E$55,5,FALSE)</f>
        <v>Trsf</v>
      </c>
      <c r="S1879" s="114" t="s">
        <v>1848</v>
      </c>
    </row>
    <row r="1880" spans="1:19" ht="15" customHeight="1" x14ac:dyDescent="0.3">
      <c r="A1880" s="4" t="s">
        <v>1722</v>
      </c>
      <c r="B1880" s="5">
        <f t="shared" si="544"/>
        <v>7</v>
      </c>
      <c r="C1880" s="5">
        <f t="shared" si="545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8" t="s">
        <v>1352</v>
      </c>
      <c r="H1880" s="13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50"/>
        <v>45122</v>
      </c>
      <c r="L1880" s="5">
        <f t="shared" si="551"/>
        <v>7</v>
      </c>
      <c r="M1880" s="5">
        <f t="shared" si="552"/>
        <v>2023</v>
      </c>
      <c r="N1880" s="6">
        <v>695</v>
      </c>
      <c r="O1880" s="6">
        <f t="shared" si="557"/>
        <v>-695</v>
      </c>
      <c r="P1880" s="91">
        <f t="shared" si="547"/>
        <v>0</v>
      </c>
      <c r="Q1880" s="7">
        <f t="shared" si="556"/>
        <v>3337007.0500000012</v>
      </c>
      <c r="R1880" s="44" t="str">
        <f>VLOOKUP(F1880,'Set up'!$A$2:$E$55,5,FALSE)</f>
        <v>Trsf</v>
      </c>
      <c r="S1880" s="114" t="s">
        <v>1848</v>
      </c>
    </row>
    <row r="1881" spans="1:19" ht="15" customHeight="1" x14ac:dyDescent="0.3">
      <c r="A1881" s="4">
        <v>45124</v>
      </c>
      <c r="B1881" s="5">
        <f t="shared" si="544"/>
        <v>7</v>
      </c>
      <c r="C1881" s="5">
        <f t="shared" si="545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8" t="s">
        <v>717</v>
      </c>
      <c r="H1881" s="13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50"/>
        <v>45124</v>
      </c>
      <c r="L1881" s="5">
        <f t="shared" si="551"/>
        <v>7</v>
      </c>
      <c r="M1881" s="5">
        <f t="shared" si="552"/>
        <v>2023</v>
      </c>
      <c r="N1881" s="6">
        <v>1826</v>
      </c>
      <c r="O1881" s="6">
        <f t="shared" si="557"/>
        <v>-1826</v>
      </c>
      <c r="P1881" s="6">
        <f t="shared" si="547"/>
        <v>0</v>
      </c>
      <c r="Q1881" s="7">
        <f t="shared" si="556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44"/>
        <v>7</v>
      </c>
      <c r="C1882" s="5">
        <f t="shared" si="545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8" t="s">
        <v>655</v>
      </c>
      <c r="H1882" s="13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50"/>
        <v>45124</v>
      </c>
      <c r="L1882" s="5">
        <f t="shared" si="551"/>
        <v>7</v>
      </c>
      <c r="M1882" s="5">
        <f t="shared" si="552"/>
        <v>2023</v>
      </c>
      <c r="N1882" s="6">
        <v>498</v>
      </c>
      <c r="O1882" s="6">
        <f t="shared" si="557"/>
        <v>-498</v>
      </c>
      <c r="P1882" s="6">
        <f t="shared" si="547"/>
        <v>0</v>
      </c>
      <c r="Q1882" s="7">
        <f t="shared" si="556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44"/>
        <v>7</v>
      </c>
      <c r="C1883" s="5">
        <f t="shared" si="545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8" t="s">
        <v>1062</v>
      </c>
      <c r="H1883" s="13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50"/>
        <v>45124</v>
      </c>
      <c r="L1883" s="5">
        <f t="shared" si="551"/>
        <v>7</v>
      </c>
      <c r="M1883" s="5">
        <f t="shared" si="552"/>
        <v>2023</v>
      </c>
      <c r="N1883" s="6">
        <v>95</v>
      </c>
      <c r="O1883" s="6">
        <f t="shared" si="557"/>
        <v>-95</v>
      </c>
      <c r="P1883" s="6">
        <f t="shared" si="547"/>
        <v>0</v>
      </c>
      <c r="Q1883" s="7">
        <f t="shared" si="556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44"/>
        <v>7</v>
      </c>
      <c r="C1884" s="5">
        <f t="shared" si="545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8" t="s">
        <v>1111</v>
      </c>
      <c r="H1884" s="13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50"/>
        <v>45124</v>
      </c>
      <c r="L1884" s="5">
        <f t="shared" si="551"/>
        <v>7</v>
      </c>
      <c r="M1884" s="5">
        <f t="shared" si="552"/>
        <v>2023</v>
      </c>
      <c r="N1884" s="6">
        <v>312.5</v>
      </c>
      <c r="O1884" s="6">
        <f t="shared" si="557"/>
        <v>-312.5</v>
      </c>
      <c r="P1884" s="6">
        <f t="shared" si="547"/>
        <v>0</v>
      </c>
      <c r="Q1884" s="7">
        <f t="shared" si="556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44"/>
        <v>7</v>
      </c>
      <c r="C1885" s="5">
        <f t="shared" si="545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8" t="s">
        <v>720</v>
      </c>
      <c r="H1885" s="13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50"/>
        <v>45125</v>
      </c>
      <c r="L1885" s="5">
        <f t="shared" si="551"/>
        <v>7</v>
      </c>
      <c r="M1885" s="5">
        <f t="shared" si="552"/>
        <v>2023</v>
      </c>
      <c r="N1885" s="6">
        <v>3564</v>
      </c>
      <c r="O1885" s="6">
        <f>-1658.2-1000-905.8</f>
        <v>-3564</v>
      </c>
      <c r="P1885" s="6">
        <f t="shared" si="547"/>
        <v>0</v>
      </c>
      <c r="Q1885" s="7">
        <f t="shared" si="556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44"/>
        <v>7</v>
      </c>
      <c r="C1886" s="5">
        <f t="shared" si="545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8" t="s">
        <v>1412</v>
      </c>
      <c r="H1886" s="13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50"/>
        <v>45125</v>
      </c>
      <c r="L1886" s="5">
        <f t="shared" si="551"/>
        <v>7</v>
      </c>
      <c r="M1886" s="5">
        <f t="shared" si="552"/>
        <v>2023</v>
      </c>
      <c r="N1886" s="6">
        <v>842.4</v>
      </c>
      <c r="O1886" s="6">
        <f>-94.2-748.2</f>
        <v>-842.40000000000009</v>
      </c>
      <c r="P1886" s="6">
        <f t="shared" si="547"/>
        <v>-1.1368683772161603E-13</v>
      </c>
      <c r="Q1886" s="7">
        <f t="shared" si="556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44"/>
        <v>7</v>
      </c>
      <c r="C1887" s="5">
        <f t="shared" si="545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8" t="s">
        <v>792</v>
      </c>
      <c r="H1887" s="13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50"/>
        <v>45125</v>
      </c>
      <c r="L1887" s="5">
        <f t="shared" si="551"/>
        <v>7</v>
      </c>
      <c r="M1887" s="5">
        <f t="shared" si="552"/>
        <v>2023</v>
      </c>
      <c r="N1887" s="6">
        <v>187.5</v>
      </c>
      <c r="O1887" s="6">
        <f t="shared" ref="O1887:O1889" si="558">-N1887</f>
        <v>-187.5</v>
      </c>
      <c r="P1887" s="6">
        <f t="shared" si="547"/>
        <v>0</v>
      </c>
      <c r="Q1887" s="7">
        <f t="shared" si="556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44"/>
        <v>7</v>
      </c>
      <c r="C1888" s="5">
        <f t="shared" si="545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8" t="s">
        <v>1470</v>
      </c>
      <c r="H1888" s="13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50"/>
        <v>45125</v>
      </c>
      <c r="L1888" s="5">
        <f t="shared" si="551"/>
        <v>7</v>
      </c>
      <c r="M1888" s="5">
        <f t="shared" si="552"/>
        <v>2023</v>
      </c>
      <c r="N1888" s="6">
        <v>390</v>
      </c>
      <c r="O1888" s="6">
        <f t="shared" si="558"/>
        <v>-390</v>
      </c>
      <c r="P1888" s="6">
        <f t="shared" si="547"/>
        <v>0</v>
      </c>
      <c r="Q1888" s="7">
        <f t="shared" si="556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44"/>
        <v>7</v>
      </c>
      <c r="C1889" s="5">
        <f t="shared" si="545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8" t="s">
        <v>46</v>
      </c>
      <c r="H1889" s="13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50"/>
        <v>45125</v>
      </c>
      <c r="L1889" s="5">
        <f t="shared" si="551"/>
        <v>7</v>
      </c>
      <c r="M1889" s="5">
        <f t="shared" si="552"/>
        <v>2023</v>
      </c>
      <c r="N1889" s="6">
        <v>105</v>
      </c>
      <c r="O1889" s="6">
        <f t="shared" si="558"/>
        <v>-105</v>
      </c>
      <c r="P1889" s="6">
        <f t="shared" si="547"/>
        <v>0</v>
      </c>
      <c r="Q1889" s="7">
        <f t="shared" si="556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44"/>
        <v>7</v>
      </c>
      <c r="C1890" s="5">
        <f t="shared" si="545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8" t="s">
        <v>950</v>
      </c>
      <c r="H1890" s="13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50"/>
        <v>45125</v>
      </c>
      <c r="L1890" s="5">
        <f t="shared" si="551"/>
        <v>7</v>
      </c>
      <c r="M1890" s="5">
        <f t="shared" si="552"/>
        <v>2023</v>
      </c>
      <c r="N1890" s="6">
        <v>150</v>
      </c>
      <c r="O1890" s="6">
        <f>-69.3-80.7</f>
        <v>-150</v>
      </c>
      <c r="P1890" s="6">
        <f t="shared" si="547"/>
        <v>0</v>
      </c>
      <c r="Q1890" s="7">
        <f t="shared" si="556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44"/>
        <v>7</v>
      </c>
      <c r="C1891" s="5">
        <f t="shared" si="545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2" t="s">
        <v>1111</v>
      </c>
      <c r="H1891" s="13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50"/>
        <v>45133</v>
      </c>
      <c r="L1891" s="5">
        <f t="shared" si="551"/>
        <v>7</v>
      </c>
      <c r="M1891" s="5">
        <f t="shared" si="552"/>
        <v>2023</v>
      </c>
      <c r="N1891" s="6">
        <v>62.5</v>
      </c>
      <c r="O1891" s="6">
        <f>-N1891</f>
        <v>-62.5</v>
      </c>
      <c r="P1891" s="6">
        <f t="shared" si="547"/>
        <v>0</v>
      </c>
      <c r="Q1891" s="7">
        <f t="shared" si="556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44"/>
        <v>7</v>
      </c>
      <c r="C1892" s="5">
        <f t="shared" si="545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13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50"/>
        <v>45127</v>
      </c>
      <c r="L1892" s="5">
        <f t="shared" si="551"/>
        <v>7</v>
      </c>
      <c r="M1892" s="5">
        <f t="shared" si="552"/>
        <v>2023</v>
      </c>
      <c r="N1892" s="6">
        <v>420</v>
      </c>
      <c r="O1892" s="6">
        <f t="shared" ref="O1892" si="559">-N1892</f>
        <v>-420</v>
      </c>
      <c r="P1892" s="6">
        <f t="shared" si="547"/>
        <v>0</v>
      </c>
      <c r="Q1892" s="7">
        <f t="shared" si="556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44"/>
        <v>7</v>
      </c>
      <c r="C1893" s="5">
        <f t="shared" si="545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134" t="s">
        <v>1403</v>
      </c>
      <c r="H1893" s="13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50"/>
        <v>45248</v>
      </c>
      <c r="L1893" s="5">
        <f t="shared" si="551"/>
        <v>11</v>
      </c>
      <c r="M1893" s="5">
        <f t="shared" si="552"/>
        <v>2023</v>
      </c>
      <c r="N1893" s="6">
        <v>9636</v>
      </c>
      <c r="O1893" s="6">
        <f>-N1893</f>
        <v>-9636</v>
      </c>
      <c r="P1893" s="6">
        <f t="shared" si="547"/>
        <v>0</v>
      </c>
      <c r="Q1893" s="7">
        <f t="shared" si="556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44"/>
        <v>7</v>
      </c>
      <c r="C1894" s="5">
        <f t="shared" si="545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13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50"/>
        <v>45248</v>
      </c>
      <c r="L1894" s="5">
        <f t="shared" si="551"/>
        <v>11</v>
      </c>
      <c r="M1894" s="5">
        <f t="shared" si="552"/>
        <v>2023</v>
      </c>
      <c r="N1894" s="6">
        <v>900</v>
      </c>
      <c r="O1894" s="6">
        <f>-N1894</f>
        <v>-900</v>
      </c>
      <c r="P1894" s="6">
        <f t="shared" si="547"/>
        <v>0</v>
      </c>
      <c r="Q1894" s="7">
        <f t="shared" si="556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44"/>
        <v>7</v>
      </c>
      <c r="C1895" s="5">
        <f t="shared" si="545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13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50"/>
        <v>45248</v>
      </c>
      <c r="L1895" s="5">
        <f t="shared" si="551"/>
        <v>11</v>
      </c>
      <c r="M1895" s="5">
        <f t="shared" si="552"/>
        <v>2023</v>
      </c>
      <c r="N1895" s="6">
        <v>862.5</v>
      </c>
      <c r="O1895" s="6">
        <f>-N1895</f>
        <v>-862.5</v>
      </c>
      <c r="P1895" s="6">
        <f t="shared" si="547"/>
        <v>0</v>
      </c>
      <c r="Q1895" s="7">
        <f t="shared" si="556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44"/>
        <v>7</v>
      </c>
      <c r="C1896" s="5">
        <f t="shared" si="545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13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50"/>
        <v>45158</v>
      </c>
      <c r="L1896" s="5">
        <f t="shared" si="551"/>
        <v>8</v>
      </c>
      <c r="M1896" s="5">
        <f t="shared" si="552"/>
        <v>2023</v>
      </c>
      <c r="N1896" s="6">
        <v>7304</v>
      </c>
      <c r="O1896" s="6">
        <f t="shared" ref="O1896:O1902" si="560">-N1896</f>
        <v>-7304</v>
      </c>
      <c r="P1896" s="6">
        <f t="shared" si="547"/>
        <v>0</v>
      </c>
      <c r="Q1896" s="7">
        <f t="shared" si="556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44"/>
        <v>7</v>
      </c>
      <c r="C1897" s="5">
        <f t="shared" si="545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13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50"/>
        <v>45158</v>
      </c>
      <c r="L1897" s="5">
        <f t="shared" si="551"/>
        <v>8</v>
      </c>
      <c r="M1897" s="5">
        <f t="shared" si="552"/>
        <v>2023</v>
      </c>
      <c r="N1897" s="6">
        <v>2106</v>
      </c>
      <c r="O1897" s="6">
        <f t="shared" si="560"/>
        <v>-2106</v>
      </c>
      <c r="P1897" s="6">
        <f t="shared" si="547"/>
        <v>0</v>
      </c>
      <c r="Q1897" s="7">
        <f t="shared" si="556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44"/>
        <v>7</v>
      </c>
      <c r="C1898" s="5">
        <f t="shared" si="545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13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50"/>
        <v>45158</v>
      </c>
      <c r="L1898" s="5">
        <f t="shared" si="551"/>
        <v>8</v>
      </c>
      <c r="M1898" s="5">
        <f t="shared" si="552"/>
        <v>2023</v>
      </c>
      <c r="N1898" s="6">
        <v>240</v>
      </c>
      <c r="O1898" s="6">
        <f t="shared" si="560"/>
        <v>-240</v>
      </c>
      <c r="P1898" s="6">
        <f t="shared" si="547"/>
        <v>0</v>
      </c>
      <c r="Q1898" s="7">
        <f t="shared" si="556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44"/>
        <v>7</v>
      </c>
      <c r="C1899" s="5">
        <f t="shared" si="545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13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50"/>
        <v>45158</v>
      </c>
      <c r="L1899" s="5">
        <f t="shared" si="551"/>
        <v>8</v>
      </c>
      <c r="M1899" s="5">
        <f t="shared" si="552"/>
        <v>2023</v>
      </c>
      <c r="N1899" s="6">
        <v>190</v>
      </c>
      <c r="O1899" s="6">
        <f t="shared" si="560"/>
        <v>-190</v>
      </c>
      <c r="P1899" s="6">
        <f t="shared" si="547"/>
        <v>0</v>
      </c>
      <c r="Q1899" s="7">
        <f t="shared" si="556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44"/>
        <v>7</v>
      </c>
      <c r="C1900" s="5">
        <f t="shared" si="545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8" t="s">
        <v>1111</v>
      </c>
      <c r="H1900" s="13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50"/>
        <v>45158</v>
      </c>
      <c r="L1900" s="5">
        <f t="shared" si="551"/>
        <v>8</v>
      </c>
      <c r="M1900" s="5">
        <f t="shared" si="552"/>
        <v>2023</v>
      </c>
      <c r="N1900" s="6">
        <v>312.5</v>
      </c>
      <c r="O1900" s="6">
        <f t="shared" si="560"/>
        <v>-312.5</v>
      </c>
      <c r="P1900" s="6">
        <f t="shared" si="547"/>
        <v>0</v>
      </c>
      <c r="Q1900" s="7">
        <f t="shared" si="556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44"/>
        <v>7</v>
      </c>
      <c r="C1901" s="5">
        <f t="shared" si="545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8" t="s">
        <v>866</v>
      </c>
      <c r="H1901" s="13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50"/>
        <v>45158</v>
      </c>
      <c r="L1901" s="5">
        <f t="shared" si="551"/>
        <v>8</v>
      </c>
      <c r="M1901" s="5">
        <f t="shared" si="552"/>
        <v>2023</v>
      </c>
      <c r="N1901" s="6">
        <v>260</v>
      </c>
      <c r="O1901" s="6">
        <f t="shared" si="560"/>
        <v>-260</v>
      </c>
      <c r="P1901" s="6">
        <f t="shared" si="547"/>
        <v>0</v>
      </c>
      <c r="Q1901" s="7">
        <f t="shared" si="556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44"/>
        <v>7</v>
      </c>
      <c r="C1902" s="5">
        <f t="shared" si="545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8" t="s">
        <v>1547</v>
      </c>
      <c r="H1902" s="13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50"/>
        <v>45158</v>
      </c>
      <c r="L1902" s="5">
        <f t="shared" si="551"/>
        <v>8</v>
      </c>
      <c r="M1902" s="5">
        <f t="shared" si="552"/>
        <v>2023</v>
      </c>
      <c r="N1902" s="6">
        <v>930</v>
      </c>
      <c r="O1902" s="6">
        <f t="shared" si="560"/>
        <v>-930</v>
      </c>
      <c r="P1902" s="6">
        <f t="shared" si="547"/>
        <v>0</v>
      </c>
      <c r="Q1902" s="7">
        <f t="shared" si="556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44"/>
        <v>7</v>
      </c>
      <c r="C1903" s="5">
        <f t="shared" si="545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8" t="s">
        <v>1357</v>
      </c>
      <c r="H1903" s="13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50"/>
        <v>45131</v>
      </c>
      <c r="L1903" s="5">
        <f t="shared" si="551"/>
        <v>7</v>
      </c>
      <c r="M1903" s="5">
        <f t="shared" si="552"/>
        <v>2023</v>
      </c>
      <c r="N1903" s="6">
        <v>3652</v>
      </c>
      <c r="O1903" s="6">
        <f t="shared" ref="O1903:O1909" si="561">-N1903</f>
        <v>-3652</v>
      </c>
      <c r="P1903" s="6">
        <f t="shared" si="547"/>
        <v>0</v>
      </c>
      <c r="Q1903" s="7">
        <f t="shared" si="556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44"/>
        <v>7</v>
      </c>
      <c r="C1904" s="5">
        <f t="shared" si="545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8" t="s">
        <v>1432</v>
      </c>
      <c r="H1904" s="13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50"/>
        <v>45131</v>
      </c>
      <c r="L1904" s="5">
        <f t="shared" si="551"/>
        <v>7</v>
      </c>
      <c r="M1904" s="5">
        <f t="shared" si="552"/>
        <v>2023</v>
      </c>
      <c r="N1904" s="6">
        <v>675</v>
      </c>
      <c r="O1904" s="6">
        <f t="shared" si="561"/>
        <v>-675</v>
      </c>
      <c r="P1904" s="6">
        <f t="shared" si="547"/>
        <v>0</v>
      </c>
      <c r="Q1904" s="7">
        <f t="shared" si="556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44"/>
        <v>7</v>
      </c>
      <c r="C1905" s="5">
        <f t="shared" si="545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8" t="s">
        <v>1625</v>
      </c>
      <c r="H1905" s="13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50"/>
        <v>45131</v>
      </c>
      <c r="L1905" s="5">
        <f t="shared" si="551"/>
        <v>7</v>
      </c>
      <c r="M1905" s="5">
        <f t="shared" si="552"/>
        <v>2023</v>
      </c>
      <c r="N1905" s="6">
        <v>236</v>
      </c>
      <c r="O1905" s="6">
        <f t="shared" si="561"/>
        <v>-236</v>
      </c>
      <c r="P1905" s="6">
        <f t="shared" si="547"/>
        <v>0</v>
      </c>
      <c r="Q1905" s="7">
        <f t="shared" si="556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44"/>
        <v>7</v>
      </c>
      <c r="C1906" s="5">
        <f t="shared" si="545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8" t="s">
        <v>1062</v>
      </c>
      <c r="H1906" s="13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50"/>
        <v>45131</v>
      </c>
      <c r="L1906" s="5">
        <f t="shared" si="551"/>
        <v>7</v>
      </c>
      <c r="M1906" s="5">
        <f t="shared" si="552"/>
        <v>2023</v>
      </c>
      <c r="N1906" s="6">
        <v>190</v>
      </c>
      <c r="O1906" s="6">
        <f t="shared" si="561"/>
        <v>-190</v>
      </c>
      <c r="P1906" s="6">
        <f t="shared" si="547"/>
        <v>0</v>
      </c>
      <c r="Q1906" s="7">
        <f t="shared" si="556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44"/>
        <v>7</v>
      </c>
      <c r="C1907" s="5">
        <f t="shared" si="545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8" t="s">
        <v>1111</v>
      </c>
      <c r="H1907" s="13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50"/>
        <v>45131</v>
      </c>
      <c r="L1907" s="5">
        <f t="shared" si="551"/>
        <v>7</v>
      </c>
      <c r="M1907" s="5">
        <f t="shared" si="552"/>
        <v>2023</v>
      </c>
      <c r="N1907" s="6">
        <v>187.5</v>
      </c>
      <c r="O1907" s="6">
        <f>-187-0.5</f>
        <v>-187.5</v>
      </c>
      <c r="P1907" s="6">
        <f t="shared" si="547"/>
        <v>0</v>
      </c>
      <c r="Q1907" s="7">
        <f t="shared" si="556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44"/>
        <v>7</v>
      </c>
      <c r="C1908" s="5">
        <f t="shared" si="545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2" t="s">
        <v>1631</v>
      </c>
      <c r="H1908" s="13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50"/>
        <v>45132</v>
      </c>
      <c r="L1908" s="5">
        <f t="shared" si="551"/>
        <v>7</v>
      </c>
      <c r="M1908" s="5">
        <f t="shared" si="552"/>
        <v>2023</v>
      </c>
      <c r="N1908" s="6">
        <v>350</v>
      </c>
      <c r="O1908" s="6">
        <f t="shared" si="561"/>
        <v>-350</v>
      </c>
      <c r="P1908" s="6">
        <f t="shared" si="547"/>
        <v>0</v>
      </c>
      <c r="Q1908" s="7">
        <f t="shared" si="556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62">MONTH(A1909)</f>
        <v>7</v>
      </c>
      <c r="C1909" s="5">
        <f t="shared" ref="C1909:C1935" si="563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13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50"/>
        <v>45132</v>
      </c>
      <c r="L1909" s="5">
        <f t="shared" si="551"/>
        <v>7</v>
      </c>
      <c r="M1909" s="5">
        <f t="shared" si="552"/>
        <v>2023</v>
      </c>
      <c r="N1909" s="6">
        <v>55</v>
      </c>
      <c r="O1909" s="6">
        <f t="shared" si="561"/>
        <v>-55</v>
      </c>
      <c r="P1909" s="6">
        <f t="shared" ref="P1909:P1935" si="564">SUM(N1909+O1909)</f>
        <v>0</v>
      </c>
      <c r="Q1909" s="7">
        <f t="shared" si="556"/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62"/>
        <v>7</v>
      </c>
      <c r="C1910" s="5">
        <f t="shared" si="563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8" t="s">
        <v>1734</v>
      </c>
      <c r="H1910" s="13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50"/>
        <v>45133</v>
      </c>
      <c r="L1910" s="5">
        <f t="shared" si="551"/>
        <v>7</v>
      </c>
      <c r="M1910" s="5">
        <f t="shared" si="552"/>
        <v>2023</v>
      </c>
      <c r="N1910" s="6">
        <v>3080</v>
      </c>
      <c r="O1910" s="6">
        <f>-N1910</f>
        <v>-3080</v>
      </c>
      <c r="P1910" s="6">
        <f t="shared" si="564"/>
        <v>0</v>
      </c>
      <c r="Q1910" s="7">
        <f t="shared" si="556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62"/>
        <v>7</v>
      </c>
      <c r="C1911" s="5">
        <f t="shared" si="563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8" t="s">
        <v>914</v>
      </c>
      <c r="H1911" s="13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50"/>
        <v>45133</v>
      </c>
      <c r="L1911" s="5">
        <f t="shared" si="551"/>
        <v>7</v>
      </c>
      <c r="M1911" s="5">
        <f t="shared" si="552"/>
        <v>2023</v>
      </c>
      <c r="N1911" s="6">
        <v>1134</v>
      </c>
      <c r="O1911" s="6">
        <f>-N1911</f>
        <v>-1134</v>
      </c>
      <c r="P1911" s="6">
        <f t="shared" si="564"/>
        <v>0</v>
      </c>
      <c r="Q1911" s="7">
        <f t="shared" si="556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62"/>
        <v>7</v>
      </c>
      <c r="C1912" s="5">
        <f t="shared" si="563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8" t="s">
        <v>779</v>
      </c>
      <c r="H1912" s="13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50"/>
        <v>45133</v>
      </c>
      <c r="L1912" s="5">
        <f t="shared" si="551"/>
        <v>7</v>
      </c>
      <c r="M1912" s="5">
        <f t="shared" si="552"/>
        <v>2023</v>
      </c>
      <c r="N1912" s="6">
        <v>600</v>
      </c>
      <c r="O1912" s="6">
        <f>-N1912</f>
        <v>-600</v>
      </c>
      <c r="P1912" s="6">
        <f t="shared" si="564"/>
        <v>0</v>
      </c>
      <c r="Q1912" s="7">
        <f t="shared" si="556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62"/>
        <v>7</v>
      </c>
      <c r="C1913" s="5">
        <f t="shared" si="563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8" t="s">
        <v>1062</v>
      </c>
      <c r="H1913" s="13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50"/>
        <v>45133</v>
      </c>
      <c r="L1913" s="5">
        <f t="shared" si="551"/>
        <v>7</v>
      </c>
      <c r="M1913" s="5">
        <f t="shared" si="552"/>
        <v>2023</v>
      </c>
      <c r="N1913" s="6">
        <v>380</v>
      </c>
      <c r="O1913" s="6">
        <f>-N1913</f>
        <v>-380</v>
      </c>
      <c r="P1913" s="6">
        <f t="shared" si="564"/>
        <v>0</v>
      </c>
      <c r="Q1913" s="7">
        <f t="shared" si="556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62"/>
        <v>7</v>
      </c>
      <c r="C1914" s="5">
        <f t="shared" si="563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8" t="s">
        <v>1074</v>
      </c>
      <c r="H1914" s="13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50"/>
        <v>45133</v>
      </c>
      <c r="L1914" s="5">
        <f t="shared" si="551"/>
        <v>7</v>
      </c>
      <c r="M1914" s="5">
        <f t="shared" si="552"/>
        <v>2023</v>
      </c>
      <c r="N1914" s="6">
        <v>1000</v>
      </c>
      <c r="O1914" s="6">
        <f>-N1914</f>
        <v>-1000</v>
      </c>
      <c r="P1914" s="6">
        <f t="shared" si="564"/>
        <v>0</v>
      </c>
      <c r="Q1914" s="7">
        <f t="shared" si="556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62"/>
        <v>7</v>
      </c>
      <c r="C1915" s="5">
        <f t="shared" si="563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8" t="s">
        <v>717</v>
      </c>
      <c r="H1915" s="13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50"/>
        <v>45134</v>
      </c>
      <c r="L1915" s="5">
        <f t="shared" si="551"/>
        <v>7</v>
      </c>
      <c r="M1915" s="5">
        <f t="shared" si="552"/>
        <v>2023</v>
      </c>
      <c r="N1915" s="6">
        <v>1826</v>
      </c>
      <c r="O1915" s="6">
        <f t="shared" ref="O1915:O1918" si="565">-N1915</f>
        <v>-1826</v>
      </c>
      <c r="P1915" s="6">
        <f t="shared" si="564"/>
        <v>0</v>
      </c>
      <c r="Q1915" s="7">
        <f t="shared" si="556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62"/>
        <v>7</v>
      </c>
      <c r="C1916" s="5">
        <f t="shared" si="563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8" t="s">
        <v>655</v>
      </c>
      <c r="H1916" s="13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50"/>
        <v>45134</v>
      </c>
      <c r="L1916" s="5">
        <f t="shared" si="551"/>
        <v>7</v>
      </c>
      <c r="M1916" s="5">
        <f t="shared" si="552"/>
        <v>2023</v>
      </c>
      <c r="N1916" s="6">
        <v>498</v>
      </c>
      <c r="O1916" s="6">
        <f t="shared" si="565"/>
        <v>-498</v>
      </c>
      <c r="P1916" s="6">
        <f t="shared" si="564"/>
        <v>0</v>
      </c>
      <c r="Q1916" s="7">
        <f t="shared" si="556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62"/>
        <v>7</v>
      </c>
      <c r="C1917" s="5">
        <f t="shared" si="563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8" t="s">
        <v>1062</v>
      </c>
      <c r="H1917" s="13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50"/>
        <v>45134</v>
      </c>
      <c r="L1917" s="5">
        <f t="shared" si="551"/>
        <v>7</v>
      </c>
      <c r="M1917" s="5">
        <f t="shared" si="552"/>
        <v>2023</v>
      </c>
      <c r="N1917" s="6">
        <v>95</v>
      </c>
      <c r="O1917" s="6">
        <f t="shared" si="565"/>
        <v>-95</v>
      </c>
      <c r="P1917" s="6">
        <f t="shared" si="564"/>
        <v>0</v>
      </c>
      <c r="Q1917" s="7">
        <f t="shared" si="556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62"/>
        <v>7</v>
      </c>
      <c r="C1918" s="5">
        <f t="shared" si="563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8" t="s">
        <v>801</v>
      </c>
      <c r="H1918" s="13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50"/>
        <v>45134</v>
      </c>
      <c r="L1918" s="5">
        <f t="shared" si="551"/>
        <v>7</v>
      </c>
      <c r="M1918" s="5">
        <f t="shared" si="552"/>
        <v>2023</v>
      </c>
      <c r="N1918" s="6">
        <v>225</v>
      </c>
      <c r="O1918" s="6">
        <f t="shared" si="565"/>
        <v>-225</v>
      </c>
      <c r="P1918" s="6">
        <f t="shared" si="564"/>
        <v>0</v>
      </c>
      <c r="Q1918" s="7">
        <f t="shared" si="556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62"/>
        <v>7</v>
      </c>
      <c r="C1919" s="5">
        <f t="shared" si="563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8" t="s">
        <v>1111</v>
      </c>
      <c r="H1919" s="13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50"/>
        <v>45134</v>
      </c>
      <c r="L1919" s="5">
        <f t="shared" si="551"/>
        <v>7</v>
      </c>
      <c r="M1919" s="5">
        <f t="shared" si="552"/>
        <v>2023</v>
      </c>
      <c r="N1919" s="6">
        <v>187.5</v>
      </c>
      <c r="O1919" s="6">
        <f t="shared" ref="O1919:O1924" si="566">-N1919</f>
        <v>-187.5</v>
      </c>
      <c r="P1919" s="6">
        <f t="shared" si="564"/>
        <v>0</v>
      </c>
      <c r="Q1919" s="7">
        <f t="shared" si="556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62"/>
        <v>7</v>
      </c>
      <c r="C1920" s="5">
        <f t="shared" si="563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2" t="s">
        <v>1734</v>
      </c>
      <c r="H1920" s="13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50"/>
        <v>45134</v>
      </c>
      <c r="L1920" s="5">
        <f t="shared" si="551"/>
        <v>7</v>
      </c>
      <c r="M1920" s="5">
        <f t="shared" si="552"/>
        <v>2023</v>
      </c>
      <c r="N1920" s="6">
        <v>4620</v>
      </c>
      <c r="O1920" s="6">
        <f t="shared" si="566"/>
        <v>-4620</v>
      </c>
      <c r="P1920" s="6">
        <f t="shared" si="564"/>
        <v>0</v>
      </c>
      <c r="Q1920" s="7">
        <f t="shared" si="556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62"/>
        <v>7</v>
      </c>
      <c r="C1921" s="5">
        <f t="shared" si="563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13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50"/>
        <v>45134</v>
      </c>
      <c r="L1921" s="5">
        <f t="shared" si="551"/>
        <v>7</v>
      </c>
      <c r="M1921" s="5">
        <f t="shared" si="552"/>
        <v>2023</v>
      </c>
      <c r="N1921" s="6">
        <v>1701</v>
      </c>
      <c r="O1921" s="6">
        <f t="shared" si="566"/>
        <v>-1701</v>
      </c>
      <c r="P1921" s="6">
        <f t="shared" si="564"/>
        <v>0</v>
      </c>
      <c r="Q1921" s="7">
        <f t="shared" si="556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62"/>
        <v>7</v>
      </c>
      <c r="C1922" s="5">
        <f t="shared" si="563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13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50"/>
        <v>45134</v>
      </c>
      <c r="L1922" s="5">
        <f t="shared" si="551"/>
        <v>7</v>
      </c>
      <c r="M1922" s="5">
        <f t="shared" si="552"/>
        <v>2023</v>
      </c>
      <c r="N1922" s="6">
        <v>800</v>
      </c>
      <c r="O1922" s="6">
        <f t="shared" si="566"/>
        <v>-800</v>
      </c>
      <c r="P1922" s="6">
        <f t="shared" si="564"/>
        <v>0</v>
      </c>
      <c r="Q1922" s="7">
        <f t="shared" si="556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62"/>
        <v>7</v>
      </c>
      <c r="C1923" s="5">
        <f t="shared" si="563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2" t="s">
        <v>67</v>
      </c>
      <c r="H1923" s="13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67">A1923+J1923</f>
        <v>45179</v>
      </c>
      <c r="L1923" s="5">
        <f t="shared" ref="L1923:L1986" si="568">MONTH(K1923)</f>
        <v>9</v>
      </c>
      <c r="M1923" s="5">
        <f t="shared" ref="M1923:M1986" si="569">YEAR(K1923)</f>
        <v>2023</v>
      </c>
      <c r="N1923" s="6">
        <v>3740</v>
      </c>
      <c r="O1923" s="6">
        <f t="shared" si="566"/>
        <v>-3740</v>
      </c>
      <c r="P1923" s="6">
        <f t="shared" si="564"/>
        <v>0</v>
      </c>
      <c r="Q1923" s="7">
        <f t="shared" si="556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62"/>
        <v>7</v>
      </c>
      <c r="C1924" s="5">
        <f t="shared" si="563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13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67"/>
        <v>45180</v>
      </c>
      <c r="L1924" s="5">
        <f t="shared" si="568"/>
        <v>9</v>
      </c>
      <c r="M1924" s="5">
        <f t="shared" si="569"/>
        <v>2023</v>
      </c>
      <c r="N1924" s="6">
        <v>220</v>
      </c>
      <c r="O1924" s="6">
        <f t="shared" si="566"/>
        <v>-220</v>
      </c>
      <c r="P1924" s="6">
        <f t="shared" si="564"/>
        <v>0</v>
      </c>
      <c r="Q1924" s="7">
        <f t="shared" si="556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62"/>
        <v>7</v>
      </c>
      <c r="C1925" s="5">
        <f t="shared" si="563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13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67"/>
        <v>45138</v>
      </c>
      <c r="L1925" s="5">
        <f t="shared" si="568"/>
        <v>7</v>
      </c>
      <c r="M1925" s="5">
        <f t="shared" si="569"/>
        <v>2023</v>
      </c>
      <c r="N1925" s="95">
        <v>7304</v>
      </c>
      <c r="O1925" s="6">
        <f t="shared" ref="O1925:O1935" si="570">-N1925</f>
        <v>-7304</v>
      </c>
      <c r="P1925" s="6">
        <f t="shared" si="564"/>
        <v>0</v>
      </c>
      <c r="Q1925" s="7">
        <f t="shared" si="556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62"/>
        <v>7</v>
      </c>
      <c r="C1926" s="5">
        <f t="shared" si="563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13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67"/>
        <v>45138</v>
      </c>
      <c r="L1926" s="5">
        <f t="shared" si="568"/>
        <v>7</v>
      </c>
      <c r="M1926" s="5">
        <f t="shared" si="569"/>
        <v>2023</v>
      </c>
      <c r="N1926" s="95">
        <v>2133</v>
      </c>
      <c r="O1926" s="6">
        <f t="shared" si="570"/>
        <v>-2133</v>
      </c>
      <c r="P1926" s="6">
        <f t="shared" si="564"/>
        <v>0</v>
      </c>
      <c r="Q1926" s="7">
        <f t="shared" si="556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62"/>
        <v>7</v>
      </c>
      <c r="C1927" s="5">
        <f t="shared" si="563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13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67"/>
        <v>45138</v>
      </c>
      <c r="L1927" s="5">
        <f t="shared" si="568"/>
        <v>7</v>
      </c>
      <c r="M1927" s="5">
        <f t="shared" si="569"/>
        <v>2023</v>
      </c>
      <c r="N1927" s="95">
        <v>1279.8000000000002</v>
      </c>
      <c r="O1927" s="6">
        <f t="shared" si="570"/>
        <v>-1279.8000000000002</v>
      </c>
      <c r="P1927" s="6">
        <f t="shared" si="564"/>
        <v>0</v>
      </c>
      <c r="Q1927" s="7">
        <f t="shared" si="556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62"/>
        <v>7</v>
      </c>
      <c r="C1928" s="5">
        <f t="shared" si="563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13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67"/>
        <v>45138</v>
      </c>
      <c r="L1928" s="5">
        <f t="shared" si="568"/>
        <v>7</v>
      </c>
      <c r="M1928" s="5">
        <f t="shared" si="569"/>
        <v>2023</v>
      </c>
      <c r="N1928" s="95">
        <v>4128</v>
      </c>
      <c r="O1928" s="6">
        <f t="shared" si="570"/>
        <v>-4128</v>
      </c>
      <c r="P1928" s="6">
        <f t="shared" si="564"/>
        <v>0</v>
      </c>
      <c r="Q1928" s="7">
        <f t="shared" si="556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62"/>
        <v>7</v>
      </c>
      <c r="C1929" s="5">
        <f t="shared" si="563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13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67"/>
        <v>45138</v>
      </c>
      <c r="L1929" s="5">
        <f t="shared" si="568"/>
        <v>7</v>
      </c>
      <c r="M1929" s="5">
        <f t="shared" si="569"/>
        <v>2023</v>
      </c>
      <c r="N1929" s="95">
        <v>2625</v>
      </c>
      <c r="O1929" s="6">
        <f t="shared" si="570"/>
        <v>-2625</v>
      </c>
      <c r="P1929" s="6">
        <f t="shared" si="564"/>
        <v>0</v>
      </c>
      <c r="Q1929" s="7">
        <f t="shared" si="556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62"/>
        <v>7</v>
      </c>
      <c r="C1930" s="5">
        <f t="shared" si="563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13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67"/>
        <v>45138</v>
      </c>
      <c r="L1930" s="5">
        <f t="shared" si="568"/>
        <v>7</v>
      </c>
      <c r="M1930" s="5">
        <f t="shared" si="569"/>
        <v>2023</v>
      </c>
      <c r="N1930" s="95">
        <v>1290</v>
      </c>
      <c r="O1930" s="6">
        <f t="shared" si="570"/>
        <v>-1290</v>
      </c>
      <c r="P1930" s="6">
        <f t="shared" si="564"/>
        <v>0</v>
      </c>
      <c r="Q1930" s="7">
        <f t="shared" si="556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62"/>
        <v>7</v>
      </c>
      <c r="C1931" s="5">
        <f t="shared" si="563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6" t="s">
        <v>1743</v>
      </c>
      <c r="H1931" s="13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67"/>
        <v>45138</v>
      </c>
      <c r="L1931" s="5">
        <f t="shared" si="568"/>
        <v>7</v>
      </c>
      <c r="M1931" s="5">
        <f t="shared" si="569"/>
        <v>2023</v>
      </c>
      <c r="N1931" s="95">
        <v>120</v>
      </c>
      <c r="O1931" s="6">
        <f t="shared" si="570"/>
        <v>-120</v>
      </c>
      <c r="P1931" s="6">
        <f t="shared" si="564"/>
        <v>0</v>
      </c>
      <c r="Q1931" s="7">
        <f t="shared" si="556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62"/>
        <v>7</v>
      </c>
      <c r="C1932" s="5">
        <f t="shared" si="563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8" t="s">
        <v>1744</v>
      </c>
      <c r="H1932" s="13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67"/>
        <v>45138</v>
      </c>
      <c r="L1932" s="5">
        <f t="shared" si="568"/>
        <v>7</v>
      </c>
      <c r="M1932" s="5">
        <f t="shared" si="569"/>
        <v>2023</v>
      </c>
      <c r="N1932" s="95">
        <v>55.2</v>
      </c>
      <c r="O1932" s="6">
        <f t="shared" si="570"/>
        <v>-55.2</v>
      </c>
      <c r="P1932" s="6">
        <f t="shared" si="564"/>
        <v>0</v>
      </c>
      <c r="Q1932" s="7">
        <f t="shared" si="556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62"/>
        <v>7</v>
      </c>
      <c r="C1933" s="5">
        <f t="shared" si="563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8" t="s">
        <v>1745</v>
      </c>
      <c r="H1933" s="13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67"/>
        <v>45138</v>
      </c>
      <c r="L1933" s="5">
        <f t="shared" si="568"/>
        <v>7</v>
      </c>
      <c r="M1933" s="5">
        <f t="shared" si="569"/>
        <v>2023</v>
      </c>
      <c r="N1933" s="95">
        <v>1108.4000000000001</v>
      </c>
      <c r="O1933" s="6">
        <f t="shared" si="570"/>
        <v>-1108.4000000000001</v>
      </c>
      <c r="P1933" s="6">
        <f t="shared" si="564"/>
        <v>0</v>
      </c>
      <c r="Q1933" s="7">
        <f t="shared" si="556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62"/>
        <v>7</v>
      </c>
      <c r="C1934" s="5">
        <f t="shared" si="563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8" t="s">
        <v>1746</v>
      </c>
      <c r="H1934" s="13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67"/>
        <v>45138</v>
      </c>
      <c r="L1934" s="5">
        <f t="shared" si="568"/>
        <v>7</v>
      </c>
      <c r="M1934" s="5">
        <f t="shared" si="569"/>
        <v>2023</v>
      </c>
      <c r="N1934" s="95">
        <v>280</v>
      </c>
      <c r="O1934" s="6">
        <f t="shared" si="570"/>
        <v>-280</v>
      </c>
      <c r="P1934" s="6">
        <f t="shared" si="564"/>
        <v>0</v>
      </c>
      <c r="Q1934" s="7">
        <f t="shared" si="556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62"/>
        <v>7</v>
      </c>
      <c r="C1935" s="5">
        <f t="shared" si="563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8" t="s">
        <v>1747</v>
      </c>
      <c r="H1935" s="13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67"/>
        <v>45138</v>
      </c>
      <c r="L1935" s="5">
        <f t="shared" si="568"/>
        <v>7</v>
      </c>
      <c r="M1935" s="5">
        <f t="shared" si="569"/>
        <v>2023</v>
      </c>
      <c r="N1935" s="95">
        <v>260</v>
      </c>
      <c r="O1935" s="6">
        <f t="shared" si="570"/>
        <v>-260</v>
      </c>
      <c r="P1935" s="6">
        <f t="shared" si="564"/>
        <v>0</v>
      </c>
      <c r="Q1935" s="7">
        <f t="shared" si="556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71">MONTH(A1936)</f>
        <v>8</v>
      </c>
      <c r="C1936" s="5">
        <f t="shared" ref="C1936:C1999" si="572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13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67"/>
        <v>45139</v>
      </c>
      <c r="L1936" s="5">
        <f t="shared" si="568"/>
        <v>8</v>
      </c>
      <c r="M1936" s="5">
        <f t="shared" si="569"/>
        <v>2023</v>
      </c>
      <c r="N1936" s="95">
        <v>420</v>
      </c>
      <c r="O1936" s="6">
        <f>-0.2-10-100-309.8</f>
        <v>-420</v>
      </c>
      <c r="P1936" s="6">
        <f t="shared" ref="P1936:P1999" si="573">SUM(N1936+O1936)</f>
        <v>0</v>
      </c>
      <c r="Q1936" s="7">
        <f t="shared" si="556"/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71"/>
        <v>8</v>
      </c>
      <c r="C1937" s="5">
        <f t="shared" si="572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13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67"/>
        <v>45139</v>
      </c>
      <c r="L1937" s="5">
        <f t="shared" si="568"/>
        <v>8</v>
      </c>
      <c r="M1937" s="5">
        <f t="shared" si="569"/>
        <v>2023</v>
      </c>
      <c r="N1937" s="95">
        <v>225</v>
      </c>
      <c r="O1937" s="6">
        <f t="shared" ref="O1937:O1939" si="574">-N1937</f>
        <v>-225</v>
      </c>
      <c r="P1937" s="6">
        <f t="shared" si="573"/>
        <v>0</v>
      </c>
      <c r="Q1937" s="7">
        <f t="shared" si="556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71"/>
        <v>8</v>
      </c>
      <c r="C1938" s="5">
        <f t="shared" si="572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13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67"/>
        <v>45139</v>
      </c>
      <c r="L1938" s="5">
        <f t="shared" si="568"/>
        <v>8</v>
      </c>
      <c r="M1938" s="5">
        <f t="shared" si="569"/>
        <v>2023</v>
      </c>
      <c r="N1938" s="95">
        <v>160</v>
      </c>
      <c r="O1938" s="6">
        <f t="shared" si="574"/>
        <v>-160</v>
      </c>
      <c r="P1938" s="6">
        <f t="shared" si="573"/>
        <v>0</v>
      </c>
      <c r="Q1938" s="7">
        <f t="shared" ref="Q1938:Q2001" si="575">SUM(Q1937+N1938)</f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71"/>
        <v>8</v>
      </c>
      <c r="C1939" s="5">
        <f t="shared" si="572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13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67"/>
        <v>45199</v>
      </c>
      <c r="L1939" s="5">
        <f t="shared" si="568"/>
        <v>9</v>
      </c>
      <c r="M1939" s="5">
        <f t="shared" si="569"/>
        <v>2023</v>
      </c>
      <c r="N1939" s="97">
        <v>3124</v>
      </c>
      <c r="O1939" s="6">
        <f t="shared" si="574"/>
        <v>-3124</v>
      </c>
      <c r="P1939" s="6">
        <f t="shared" si="573"/>
        <v>0</v>
      </c>
      <c r="Q1939" s="7">
        <f t="shared" si="575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71"/>
        <v>8</v>
      </c>
      <c r="C1940" s="5">
        <f t="shared" si="572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134" t="s">
        <v>304</v>
      </c>
      <c r="H1940" s="13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67"/>
        <v>45139</v>
      </c>
      <c r="L1940" s="5">
        <f t="shared" si="568"/>
        <v>8</v>
      </c>
      <c r="M1940" s="5">
        <f t="shared" si="569"/>
        <v>2023</v>
      </c>
      <c r="N1940" s="95">
        <v>3388</v>
      </c>
      <c r="O1940" s="6">
        <f t="shared" ref="O1940:O1942" si="576">-N1940</f>
        <v>-3388</v>
      </c>
      <c r="P1940" s="6">
        <f t="shared" si="573"/>
        <v>0</v>
      </c>
      <c r="Q1940" s="7">
        <f t="shared" si="575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71"/>
        <v>8</v>
      </c>
      <c r="C1941" s="5">
        <f t="shared" si="572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13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67"/>
        <v>45139</v>
      </c>
      <c r="L1941" s="5">
        <f t="shared" si="568"/>
        <v>8</v>
      </c>
      <c r="M1941" s="5">
        <f t="shared" si="569"/>
        <v>2023</v>
      </c>
      <c r="N1941" s="95">
        <v>936</v>
      </c>
      <c r="O1941" s="6">
        <f t="shared" si="576"/>
        <v>-936</v>
      </c>
      <c r="P1941" s="6">
        <f t="shared" si="573"/>
        <v>0</v>
      </c>
      <c r="Q1941" s="7">
        <f t="shared" si="575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71"/>
        <v>8</v>
      </c>
      <c r="C1942" s="5">
        <f t="shared" si="572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8" t="s">
        <v>1111</v>
      </c>
      <c r="H1942" s="13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67"/>
        <v>45139</v>
      </c>
      <c r="L1942" s="5">
        <f t="shared" si="568"/>
        <v>8</v>
      </c>
      <c r="M1942" s="5">
        <f t="shared" si="569"/>
        <v>2023</v>
      </c>
      <c r="N1942" s="95">
        <v>62.5</v>
      </c>
      <c r="O1942" s="6">
        <f t="shared" si="576"/>
        <v>-62.5</v>
      </c>
      <c r="P1942" s="6">
        <f t="shared" si="573"/>
        <v>0</v>
      </c>
      <c r="Q1942" s="7">
        <f t="shared" si="575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71"/>
        <v>8</v>
      </c>
      <c r="C1943" s="5">
        <f t="shared" si="572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134" t="s">
        <v>1179</v>
      </c>
      <c r="H1943" s="13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67"/>
        <v>45260</v>
      </c>
      <c r="L1943" s="5">
        <f t="shared" si="568"/>
        <v>11</v>
      </c>
      <c r="M1943" s="5">
        <f t="shared" si="569"/>
        <v>2023</v>
      </c>
      <c r="N1943" s="95">
        <v>9636</v>
      </c>
      <c r="O1943" s="6">
        <f t="shared" ref="O1943:O1958" si="577">-N1943</f>
        <v>-9636</v>
      </c>
      <c r="P1943" s="6">
        <f t="shared" si="573"/>
        <v>0</v>
      </c>
      <c r="Q1943" s="7">
        <f t="shared" si="575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71"/>
        <v>8</v>
      </c>
      <c r="C1944" s="5">
        <f t="shared" si="572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13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67"/>
        <v>45260</v>
      </c>
      <c r="L1944" s="5">
        <f t="shared" si="568"/>
        <v>11</v>
      </c>
      <c r="M1944" s="5">
        <f t="shared" si="569"/>
        <v>2023</v>
      </c>
      <c r="N1944" s="95">
        <v>1800</v>
      </c>
      <c r="O1944" s="6">
        <f t="shared" si="577"/>
        <v>-1800</v>
      </c>
      <c r="P1944" s="6">
        <f t="shared" si="573"/>
        <v>0</v>
      </c>
      <c r="Q1944" s="7">
        <f t="shared" si="575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71"/>
        <v>8</v>
      </c>
      <c r="C1945" s="5">
        <f t="shared" si="572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13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67"/>
        <v>45260</v>
      </c>
      <c r="L1945" s="5">
        <f t="shared" si="568"/>
        <v>11</v>
      </c>
      <c r="M1945" s="5">
        <f t="shared" si="569"/>
        <v>2023</v>
      </c>
      <c r="N1945" s="95">
        <v>862.5</v>
      </c>
      <c r="O1945" s="6">
        <f t="shared" si="577"/>
        <v>-862.5</v>
      </c>
      <c r="P1945" s="6">
        <f t="shared" si="573"/>
        <v>0</v>
      </c>
      <c r="Q1945" s="7">
        <f t="shared" si="575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71"/>
        <v>8</v>
      </c>
      <c r="C1946" s="5">
        <f t="shared" si="572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13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67"/>
        <v>45260</v>
      </c>
      <c r="L1946" s="5">
        <f t="shared" si="568"/>
        <v>11</v>
      </c>
      <c r="M1946" s="5">
        <f t="shared" si="569"/>
        <v>2023</v>
      </c>
      <c r="N1946" s="95">
        <v>420</v>
      </c>
      <c r="O1946" s="6">
        <f t="shared" si="577"/>
        <v>-420</v>
      </c>
      <c r="P1946" s="6">
        <f t="shared" si="573"/>
        <v>0</v>
      </c>
      <c r="Q1946" s="7">
        <f t="shared" si="575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71"/>
        <v>8</v>
      </c>
      <c r="C1947" s="5">
        <f t="shared" si="572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13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67"/>
        <v>45260</v>
      </c>
      <c r="L1947" s="5">
        <f t="shared" si="568"/>
        <v>11</v>
      </c>
      <c r="M1947" s="5">
        <f t="shared" si="569"/>
        <v>2023</v>
      </c>
      <c r="N1947" s="95">
        <v>420</v>
      </c>
      <c r="O1947" s="6">
        <f t="shared" si="577"/>
        <v>-420</v>
      </c>
      <c r="P1947" s="6">
        <f t="shared" si="573"/>
        <v>0</v>
      </c>
      <c r="Q1947" s="7">
        <f t="shared" si="575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71"/>
        <v>8</v>
      </c>
      <c r="C1948" s="5">
        <f t="shared" si="572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13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67"/>
        <v>45260</v>
      </c>
      <c r="L1948" s="5">
        <f t="shared" si="568"/>
        <v>11</v>
      </c>
      <c r="M1948" s="5">
        <f t="shared" si="569"/>
        <v>2023</v>
      </c>
      <c r="N1948" s="95">
        <v>395</v>
      </c>
      <c r="O1948" s="6">
        <f t="shared" si="577"/>
        <v>-395</v>
      </c>
      <c r="P1948" s="6">
        <f t="shared" si="573"/>
        <v>0</v>
      </c>
      <c r="Q1948" s="7">
        <f t="shared" si="575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71"/>
        <v>8</v>
      </c>
      <c r="C1949" s="5">
        <f t="shared" si="572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8" t="s">
        <v>95</v>
      </c>
      <c r="H1949" s="13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67"/>
        <v>45141</v>
      </c>
      <c r="L1949" s="5">
        <f t="shared" si="568"/>
        <v>8</v>
      </c>
      <c r="M1949" s="5">
        <f t="shared" si="569"/>
        <v>2023</v>
      </c>
      <c r="N1949" s="95">
        <v>1738</v>
      </c>
      <c r="O1949" s="6">
        <f t="shared" si="577"/>
        <v>-1738</v>
      </c>
      <c r="P1949" s="6">
        <f t="shared" si="573"/>
        <v>0</v>
      </c>
      <c r="Q1949" s="7">
        <f t="shared" si="575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71"/>
        <v>8</v>
      </c>
      <c r="C1950" s="5">
        <f t="shared" si="572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13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67"/>
        <v>45141</v>
      </c>
      <c r="L1950" s="5">
        <f t="shared" si="568"/>
        <v>8</v>
      </c>
      <c r="M1950" s="5">
        <f t="shared" si="569"/>
        <v>2023</v>
      </c>
      <c r="N1950" s="95">
        <v>468</v>
      </c>
      <c r="O1950" s="6">
        <f t="shared" si="577"/>
        <v>-468</v>
      </c>
      <c r="P1950" s="6">
        <f t="shared" si="573"/>
        <v>0</v>
      </c>
      <c r="Q1950" s="7">
        <f t="shared" si="575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71"/>
        <v>8</v>
      </c>
      <c r="C1951" s="5">
        <f t="shared" si="572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13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67"/>
        <v>45141</v>
      </c>
      <c r="L1951" s="5">
        <f t="shared" si="568"/>
        <v>8</v>
      </c>
      <c r="M1951" s="5">
        <f t="shared" si="569"/>
        <v>2023</v>
      </c>
      <c r="N1951" s="95">
        <v>175</v>
      </c>
      <c r="O1951" s="6">
        <f t="shared" si="577"/>
        <v>-175</v>
      </c>
      <c r="P1951" s="6">
        <f t="shared" si="573"/>
        <v>0</v>
      </c>
      <c r="Q1951" s="7">
        <f t="shared" si="575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71"/>
        <v>8</v>
      </c>
      <c r="C1952" s="5">
        <f t="shared" si="572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13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67"/>
        <v>45142</v>
      </c>
      <c r="L1952" s="5">
        <f t="shared" si="568"/>
        <v>8</v>
      </c>
      <c r="M1952" s="5">
        <f t="shared" si="569"/>
        <v>2023</v>
      </c>
      <c r="N1952" s="95">
        <v>1738</v>
      </c>
      <c r="O1952" s="6">
        <f>-499.3-1000-238.7</f>
        <v>-1738</v>
      </c>
      <c r="P1952" s="6">
        <f t="shared" si="573"/>
        <v>0</v>
      </c>
      <c r="Q1952" s="7">
        <f t="shared" si="575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71"/>
        <v>8</v>
      </c>
      <c r="C1953" s="5">
        <f t="shared" si="572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13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67"/>
        <v>45142</v>
      </c>
      <c r="L1953" s="5">
        <f t="shared" si="568"/>
        <v>8</v>
      </c>
      <c r="M1953" s="5">
        <f t="shared" si="569"/>
        <v>2023</v>
      </c>
      <c r="N1953" s="95">
        <v>125</v>
      </c>
      <c r="O1953" s="6">
        <f t="shared" si="577"/>
        <v>-125</v>
      </c>
      <c r="P1953" s="6">
        <f t="shared" si="573"/>
        <v>0</v>
      </c>
      <c r="Q1953" s="7">
        <f t="shared" si="575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71"/>
        <v>8</v>
      </c>
      <c r="C1954" s="5">
        <f t="shared" si="572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13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67"/>
        <v>45142</v>
      </c>
      <c r="L1954" s="5">
        <f t="shared" si="568"/>
        <v>8</v>
      </c>
      <c r="M1954" s="5">
        <f t="shared" si="569"/>
        <v>2023</v>
      </c>
      <c r="N1954" s="95">
        <v>390</v>
      </c>
      <c r="O1954" s="6">
        <f t="shared" si="577"/>
        <v>-390</v>
      </c>
      <c r="P1954" s="6">
        <f t="shared" si="573"/>
        <v>0</v>
      </c>
      <c r="Q1954" s="7">
        <f t="shared" si="575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71"/>
        <v>8</v>
      </c>
      <c r="C1955" s="5">
        <f t="shared" si="572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13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67"/>
        <v>45142</v>
      </c>
      <c r="L1955" s="5">
        <f t="shared" si="568"/>
        <v>8</v>
      </c>
      <c r="M1955" s="5">
        <f t="shared" si="569"/>
        <v>2023</v>
      </c>
      <c r="N1955" s="95">
        <v>420</v>
      </c>
      <c r="O1955" s="6">
        <f>-246.3-173.7</f>
        <v>-420</v>
      </c>
      <c r="P1955" s="6">
        <f t="shared" si="573"/>
        <v>0</v>
      </c>
      <c r="Q1955" s="7">
        <f t="shared" si="575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71"/>
        <v>8</v>
      </c>
      <c r="C1956" s="5">
        <f t="shared" si="572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13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67"/>
        <v>45142</v>
      </c>
      <c r="L1956" s="5">
        <f t="shared" si="568"/>
        <v>8</v>
      </c>
      <c r="M1956" s="5">
        <f t="shared" si="569"/>
        <v>2023</v>
      </c>
      <c r="N1956" s="95">
        <v>160</v>
      </c>
      <c r="O1956" s="6">
        <f t="shared" si="577"/>
        <v>-160</v>
      </c>
      <c r="P1956" s="6">
        <f t="shared" si="573"/>
        <v>0</v>
      </c>
      <c r="Q1956" s="7">
        <f t="shared" si="575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71"/>
        <v>8</v>
      </c>
      <c r="C1957" s="5">
        <f t="shared" si="572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13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67"/>
        <v>45142</v>
      </c>
      <c r="L1957" s="5">
        <f t="shared" si="568"/>
        <v>8</v>
      </c>
      <c r="M1957" s="5">
        <f t="shared" si="569"/>
        <v>2023</v>
      </c>
      <c r="N1957" s="95">
        <v>150</v>
      </c>
      <c r="O1957" s="6">
        <f t="shared" si="577"/>
        <v>-150</v>
      </c>
      <c r="P1957" s="6">
        <f t="shared" si="573"/>
        <v>0</v>
      </c>
      <c r="Q1957" s="7">
        <f t="shared" si="575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71"/>
        <v>8</v>
      </c>
      <c r="C1958" s="5">
        <f t="shared" si="572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13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67"/>
        <v>45142</v>
      </c>
      <c r="L1958" s="5">
        <f t="shared" si="568"/>
        <v>8</v>
      </c>
      <c r="M1958" s="5">
        <f t="shared" si="569"/>
        <v>2023</v>
      </c>
      <c r="N1958" s="95">
        <v>260</v>
      </c>
      <c r="O1958" s="6">
        <f t="shared" si="577"/>
        <v>-260</v>
      </c>
      <c r="P1958" s="6">
        <f t="shared" si="573"/>
        <v>0</v>
      </c>
      <c r="Q1958" s="7">
        <f t="shared" si="575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71"/>
        <v>8</v>
      </c>
      <c r="C1959" s="5">
        <f t="shared" si="572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13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67"/>
        <v>45142</v>
      </c>
      <c r="L1959" s="5">
        <f t="shared" si="568"/>
        <v>8</v>
      </c>
      <c r="M1959" s="5">
        <f t="shared" si="569"/>
        <v>2023</v>
      </c>
      <c r="N1959" s="95">
        <v>322.5</v>
      </c>
      <c r="O1959" s="6">
        <f>-256.3-66.2</f>
        <v>-322.5</v>
      </c>
      <c r="P1959" s="6">
        <f t="shared" si="573"/>
        <v>0</v>
      </c>
      <c r="Q1959" s="7">
        <f t="shared" si="575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71"/>
        <v>8</v>
      </c>
      <c r="C1960" s="5">
        <f t="shared" si="572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8" t="s">
        <v>1734</v>
      </c>
      <c r="H1960" s="13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67"/>
        <v>45142</v>
      </c>
      <c r="L1960" s="5">
        <f t="shared" si="568"/>
        <v>8</v>
      </c>
      <c r="M1960" s="5">
        <f t="shared" si="569"/>
        <v>2023</v>
      </c>
      <c r="N1960" s="95">
        <v>3124</v>
      </c>
      <c r="O1960" s="6">
        <f>-N1960</f>
        <v>-3124</v>
      </c>
      <c r="P1960" s="6">
        <f t="shared" si="573"/>
        <v>0</v>
      </c>
      <c r="Q1960" s="7">
        <f t="shared" si="575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71"/>
        <v>8</v>
      </c>
      <c r="C1961" s="5">
        <f t="shared" si="572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8" t="s">
        <v>914</v>
      </c>
      <c r="H1961" s="13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67"/>
        <v>45142</v>
      </c>
      <c r="L1961" s="5">
        <f t="shared" si="568"/>
        <v>8</v>
      </c>
      <c r="M1961" s="5">
        <f t="shared" si="569"/>
        <v>2023</v>
      </c>
      <c r="N1961" s="95">
        <v>1134</v>
      </c>
      <c r="O1961" s="6">
        <f>-N1961</f>
        <v>-1134</v>
      </c>
      <c r="P1961" s="6">
        <f t="shared" si="573"/>
        <v>0</v>
      </c>
      <c r="Q1961" s="7">
        <f t="shared" si="575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71"/>
        <v>8</v>
      </c>
      <c r="C1962" s="5">
        <f t="shared" si="572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8" t="s">
        <v>779</v>
      </c>
      <c r="H1962" s="13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67"/>
        <v>45142</v>
      </c>
      <c r="L1962" s="5">
        <f t="shared" si="568"/>
        <v>8</v>
      </c>
      <c r="M1962" s="5">
        <f t="shared" si="569"/>
        <v>2023</v>
      </c>
      <c r="N1962" s="95">
        <v>600</v>
      </c>
      <c r="O1962" s="6">
        <f>-N1962</f>
        <v>-600</v>
      </c>
      <c r="P1962" s="6">
        <f t="shared" si="573"/>
        <v>0</v>
      </c>
      <c r="Q1962" s="7">
        <f t="shared" si="575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71"/>
        <v>8</v>
      </c>
      <c r="C1963" s="5">
        <f t="shared" si="572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8" t="s">
        <v>1074</v>
      </c>
      <c r="H1963" s="13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67"/>
        <v>45142</v>
      </c>
      <c r="L1963" s="5">
        <f t="shared" si="568"/>
        <v>8</v>
      </c>
      <c r="M1963" s="5">
        <f t="shared" si="569"/>
        <v>2023</v>
      </c>
      <c r="N1963" s="95">
        <v>1000</v>
      </c>
      <c r="O1963" s="6">
        <f>-N1963</f>
        <v>-1000</v>
      </c>
      <c r="P1963" s="6">
        <f t="shared" si="573"/>
        <v>0</v>
      </c>
      <c r="Q1963" s="7">
        <f t="shared" si="575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71"/>
        <v>8</v>
      </c>
      <c r="C1964" s="5">
        <f t="shared" si="572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8" t="s">
        <v>1801</v>
      </c>
      <c r="H1964" s="13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67"/>
        <v>45145</v>
      </c>
      <c r="L1964" s="5">
        <f t="shared" si="568"/>
        <v>8</v>
      </c>
      <c r="M1964" s="5">
        <f t="shared" si="569"/>
        <v>2023</v>
      </c>
      <c r="N1964" s="95">
        <v>645</v>
      </c>
      <c r="O1964" s="6">
        <f t="shared" ref="O1964:O1967" si="578">-N1964</f>
        <v>-645</v>
      </c>
      <c r="P1964" s="6">
        <f t="shared" si="573"/>
        <v>0</v>
      </c>
      <c r="Q1964" s="7">
        <f t="shared" si="575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71"/>
        <v>8</v>
      </c>
      <c r="C1965" s="5">
        <f t="shared" si="572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8" t="s">
        <v>1802</v>
      </c>
      <c r="H1965" s="13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67"/>
        <v>45145</v>
      </c>
      <c r="L1965" s="5">
        <f t="shared" si="568"/>
        <v>8</v>
      </c>
      <c r="M1965" s="5">
        <f t="shared" si="569"/>
        <v>2023</v>
      </c>
      <c r="N1965" s="95">
        <v>283.8</v>
      </c>
      <c r="O1965" s="6">
        <f t="shared" si="578"/>
        <v>-283.8</v>
      </c>
      <c r="P1965" s="6">
        <f t="shared" si="573"/>
        <v>0</v>
      </c>
      <c r="Q1965" s="7">
        <f t="shared" si="575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71"/>
        <v>8</v>
      </c>
      <c r="C1966" s="5">
        <f t="shared" si="572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8" t="s">
        <v>1803</v>
      </c>
      <c r="H1966" s="13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67"/>
        <v>45145</v>
      </c>
      <c r="L1966" s="5">
        <f t="shared" si="568"/>
        <v>8</v>
      </c>
      <c r="M1966" s="5">
        <f t="shared" si="569"/>
        <v>2023</v>
      </c>
      <c r="N1966" s="95">
        <v>160</v>
      </c>
      <c r="O1966" s="6">
        <f t="shared" si="578"/>
        <v>-160</v>
      </c>
      <c r="P1966" s="6">
        <f t="shared" si="573"/>
        <v>0</v>
      </c>
      <c r="Q1966" s="7">
        <f t="shared" si="575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71"/>
        <v>8</v>
      </c>
      <c r="C1967" s="5">
        <f t="shared" si="572"/>
        <v>2023</v>
      </c>
      <c r="D1967" s="119" t="s">
        <v>1805</v>
      </c>
      <c r="E1967" s="5" t="str">
        <f>VLOOKUP(F1967,'Set up'!$A$2:$C$55,2,FALSE)</f>
        <v>C00000014</v>
      </c>
      <c r="F1967" s="1" t="s">
        <v>263</v>
      </c>
      <c r="G1967" s="98" t="s">
        <v>1804</v>
      </c>
      <c r="H1967" s="13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67"/>
        <v>45145</v>
      </c>
      <c r="L1967" s="5">
        <f t="shared" si="568"/>
        <v>8</v>
      </c>
      <c r="M1967" s="5">
        <f t="shared" si="569"/>
        <v>2023</v>
      </c>
      <c r="N1967" s="95">
        <v>0</v>
      </c>
      <c r="O1967" s="6">
        <f t="shared" si="578"/>
        <v>0</v>
      </c>
      <c r="P1967" s="6">
        <f t="shared" si="573"/>
        <v>0</v>
      </c>
      <c r="Q1967" s="7">
        <f t="shared" si="575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71"/>
        <v>8</v>
      </c>
      <c r="C1968" s="5">
        <f t="shared" si="572"/>
        <v>2023</v>
      </c>
      <c r="D1968" s="119" t="s">
        <v>1806</v>
      </c>
      <c r="E1968" s="5" t="str">
        <f>VLOOKUP(F1968,'Set up'!$A$2:$C$55,2,FALSE)</f>
        <v>C00000020</v>
      </c>
      <c r="F1968" s="1" t="s">
        <v>410</v>
      </c>
      <c r="G1968" s="98" t="s">
        <v>1111</v>
      </c>
      <c r="H1968" s="13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67"/>
        <v>45145</v>
      </c>
      <c r="L1968" s="5">
        <f t="shared" si="568"/>
        <v>8</v>
      </c>
      <c r="M1968" s="5">
        <f t="shared" si="569"/>
        <v>2023</v>
      </c>
      <c r="N1968" s="95">
        <v>250</v>
      </c>
      <c r="O1968" s="6">
        <f>-N1968</f>
        <v>-250</v>
      </c>
      <c r="P1968" s="6">
        <f t="shared" si="573"/>
        <v>0</v>
      </c>
      <c r="Q1968" s="7">
        <f t="shared" si="575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71"/>
        <v>8</v>
      </c>
      <c r="C1969" s="5">
        <f t="shared" si="572"/>
        <v>2023</v>
      </c>
      <c r="D1969" s="119" t="s">
        <v>1807</v>
      </c>
      <c r="E1969" s="5" t="str">
        <f>VLOOKUP(F1969,'Set up'!$A$2:$C$55,2,FALSE)</f>
        <v>C00000020</v>
      </c>
      <c r="F1969" s="1" t="s">
        <v>410</v>
      </c>
      <c r="G1969" s="98" t="s">
        <v>1734</v>
      </c>
      <c r="H1969" s="13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67"/>
        <v>45145</v>
      </c>
      <c r="L1969" s="5">
        <f t="shared" si="568"/>
        <v>8</v>
      </c>
      <c r="M1969" s="5">
        <f t="shared" si="569"/>
        <v>2023</v>
      </c>
      <c r="N1969" s="95">
        <v>3124</v>
      </c>
      <c r="O1969" s="6">
        <f>-N1969</f>
        <v>-3124</v>
      </c>
      <c r="P1969" s="6">
        <f t="shared" si="573"/>
        <v>0</v>
      </c>
      <c r="Q1969" s="7">
        <f t="shared" si="575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71"/>
        <v>8</v>
      </c>
      <c r="C1970" s="5">
        <f t="shared" si="572"/>
        <v>2023</v>
      </c>
      <c r="D1970" s="119" t="s">
        <v>1807</v>
      </c>
      <c r="E1970" s="5" t="str">
        <f>VLOOKUP(F1970,'Set up'!$A$2:$C$55,2,FALSE)</f>
        <v>C00000020</v>
      </c>
      <c r="F1970" s="1" t="s">
        <v>410</v>
      </c>
      <c r="G1970" s="98" t="s">
        <v>914</v>
      </c>
      <c r="H1970" s="13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67"/>
        <v>45145</v>
      </c>
      <c r="L1970" s="5">
        <f t="shared" si="568"/>
        <v>8</v>
      </c>
      <c r="M1970" s="5">
        <f t="shared" si="569"/>
        <v>2023</v>
      </c>
      <c r="N1970" s="95">
        <v>1134</v>
      </c>
      <c r="O1970" s="6">
        <f>-N1970</f>
        <v>-1134</v>
      </c>
      <c r="P1970" s="6">
        <f t="shared" si="573"/>
        <v>0</v>
      </c>
      <c r="Q1970" s="7">
        <f t="shared" si="575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71"/>
        <v>8</v>
      </c>
      <c r="C1971" s="5">
        <f t="shared" si="572"/>
        <v>2023</v>
      </c>
      <c r="D1971" s="119" t="s">
        <v>1807</v>
      </c>
      <c r="E1971" s="5" t="str">
        <f>VLOOKUP(F1971,'Set up'!$A$2:$C$55,2,FALSE)</f>
        <v>C00000020</v>
      </c>
      <c r="F1971" s="1" t="s">
        <v>410</v>
      </c>
      <c r="G1971" s="98" t="s">
        <v>779</v>
      </c>
      <c r="H1971" s="13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67"/>
        <v>45145</v>
      </c>
      <c r="L1971" s="5">
        <f t="shared" si="568"/>
        <v>8</v>
      </c>
      <c r="M1971" s="5">
        <f t="shared" si="569"/>
        <v>2023</v>
      </c>
      <c r="N1971" s="95">
        <v>600</v>
      </c>
      <c r="O1971" s="6">
        <f>-N1971</f>
        <v>-600</v>
      </c>
      <c r="P1971" s="6">
        <f t="shared" si="573"/>
        <v>0</v>
      </c>
      <c r="Q1971" s="7">
        <f t="shared" si="575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71"/>
        <v>8</v>
      </c>
      <c r="C1972" s="5">
        <f t="shared" si="572"/>
        <v>2023</v>
      </c>
      <c r="D1972" s="119" t="s">
        <v>1807</v>
      </c>
      <c r="E1972" s="5" t="str">
        <f>VLOOKUP(F1972,'Set up'!$A$2:$C$55,2,FALSE)</f>
        <v>C00000020</v>
      </c>
      <c r="F1972" s="1" t="s">
        <v>410</v>
      </c>
      <c r="G1972" s="98" t="s">
        <v>1074</v>
      </c>
      <c r="H1972" s="13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67"/>
        <v>45145</v>
      </c>
      <c r="L1972" s="5">
        <f t="shared" si="568"/>
        <v>8</v>
      </c>
      <c r="M1972" s="5">
        <f t="shared" si="569"/>
        <v>2023</v>
      </c>
      <c r="N1972" s="95">
        <v>1000</v>
      </c>
      <c r="O1972" s="6">
        <f>-N1972</f>
        <v>-1000</v>
      </c>
      <c r="P1972" s="6">
        <f t="shared" si="573"/>
        <v>0</v>
      </c>
      <c r="Q1972" s="7">
        <f t="shared" si="575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71"/>
        <v>8</v>
      </c>
      <c r="C1973" s="5">
        <f t="shared" si="572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8" t="s">
        <v>1432</v>
      </c>
      <c r="H1973" s="13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67"/>
        <v>45145</v>
      </c>
      <c r="L1973" s="5">
        <f t="shared" si="568"/>
        <v>8</v>
      </c>
      <c r="M1973" s="5">
        <f t="shared" si="569"/>
        <v>2023</v>
      </c>
      <c r="N1973" s="95">
        <v>225</v>
      </c>
      <c r="O1973" s="6">
        <f t="shared" ref="O1973" si="579">-N1973</f>
        <v>-225</v>
      </c>
      <c r="P1973" s="6">
        <f t="shared" si="573"/>
        <v>0</v>
      </c>
      <c r="Q1973" s="7">
        <f t="shared" si="575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71"/>
        <v>8</v>
      </c>
      <c r="C1974" s="5">
        <f t="shared" si="572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8" t="s">
        <v>1352</v>
      </c>
      <c r="H1974" s="13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67"/>
        <v>45145</v>
      </c>
      <c r="L1974" s="5">
        <f t="shared" si="568"/>
        <v>8</v>
      </c>
      <c r="M1974" s="5">
        <f t="shared" si="569"/>
        <v>2023</v>
      </c>
      <c r="N1974" s="95">
        <v>695</v>
      </c>
      <c r="O1974" s="6">
        <f>-79.7-615.3</f>
        <v>-695</v>
      </c>
      <c r="P1974" s="6">
        <f t="shared" si="573"/>
        <v>0</v>
      </c>
      <c r="Q1974" s="7">
        <f t="shared" si="575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71"/>
        <v>8</v>
      </c>
      <c r="C1975" s="5">
        <f t="shared" si="572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8" t="s">
        <v>708</v>
      </c>
      <c r="H1975" s="13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67"/>
        <v>45176</v>
      </c>
      <c r="L1975" s="5">
        <f t="shared" si="568"/>
        <v>9</v>
      </c>
      <c r="M1975" s="5">
        <f t="shared" si="569"/>
        <v>2023</v>
      </c>
      <c r="N1975" s="95">
        <v>421.2</v>
      </c>
      <c r="O1975" s="6">
        <f t="shared" ref="O1975:O1977" si="580">-N1975</f>
        <v>-421.2</v>
      </c>
      <c r="P1975" s="6">
        <f t="shared" si="573"/>
        <v>0</v>
      </c>
      <c r="Q1975" s="7">
        <f t="shared" si="575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71"/>
        <v>8</v>
      </c>
      <c r="C1976" s="5">
        <f t="shared" si="572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8" t="s">
        <v>1406</v>
      </c>
      <c r="H1976" s="13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67"/>
        <v>45176</v>
      </c>
      <c r="L1976" s="5">
        <f t="shared" si="568"/>
        <v>9</v>
      </c>
      <c r="M1976" s="5">
        <f t="shared" si="569"/>
        <v>2023</v>
      </c>
      <c r="N1976" s="95">
        <v>144</v>
      </c>
      <c r="O1976" s="6">
        <f t="shared" si="580"/>
        <v>-144</v>
      </c>
      <c r="P1976" s="6">
        <f t="shared" si="573"/>
        <v>0</v>
      </c>
      <c r="Q1976" s="7">
        <f t="shared" si="575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71"/>
        <v>8</v>
      </c>
      <c r="C1977" s="5">
        <f t="shared" si="572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8" t="s">
        <v>46</v>
      </c>
      <c r="H1977" s="13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67"/>
        <v>45207</v>
      </c>
      <c r="L1977" s="5">
        <f t="shared" si="568"/>
        <v>10</v>
      </c>
      <c r="M1977" s="5">
        <f t="shared" si="569"/>
        <v>2023</v>
      </c>
      <c r="N1977" s="95">
        <v>220</v>
      </c>
      <c r="O1977" s="6">
        <f t="shared" si="580"/>
        <v>-220</v>
      </c>
      <c r="P1977" s="6">
        <f t="shared" si="573"/>
        <v>0</v>
      </c>
      <c r="Q1977" s="7">
        <f t="shared" si="575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71"/>
        <v>8</v>
      </c>
      <c r="C1978" s="5">
        <f t="shared" si="572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8" t="s">
        <v>1406</v>
      </c>
      <c r="H1978" s="13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67"/>
        <v>45152</v>
      </c>
      <c r="L1978" s="5">
        <f t="shared" si="568"/>
        <v>8</v>
      </c>
      <c r="M1978" s="5">
        <f t="shared" si="569"/>
        <v>2023</v>
      </c>
      <c r="N1978" s="95">
        <v>150</v>
      </c>
      <c r="O1978" s="6">
        <f t="shared" ref="O1978:O1984" si="581">-N1978</f>
        <v>-150</v>
      </c>
      <c r="P1978" s="6">
        <f t="shared" si="573"/>
        <v>0</v>
      </c>
      <c r="Q1978" s="7">
        <f t="shared" si="575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71"/>
        <v>8</v>
      </c>
      <c r="C1979" s="5">
        <f t="shared" si="572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8" t="s">
        <v>1352</v>
      </c>
      <c r="H1979" s="13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67"/>
        <v>45152</v>
      </c>
      <c r="L1979" s="5">
        <f t="shared" si="568"/>
        <v>8</v>
      </c>
      <c r="M1979" s="5">
        <f t="shared" si="569"/>
        <v>2023</v>
      </c>
      <c r="N1979" s="95">
        <v>834</v>
      </c>
      <c r="O1979" s="6">
        <f t="shared" si="581"/>
        <v>-834</v>
      </c>
      <c r="P1979" s="6">
        <f t="shared" si="573"/>
        <v>0</v>
      </c>
      <c r="Q1979" s="7">
        <f t="shared" si="575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71"/>
        <v>8</v>
      </c>
      <c r="C1980" s="5">
        <f t="shared" si="572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8" t="s">
        <v>709</v>
      </c>
      <c r="H1980" s="13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67"/>
        <v>45153</v>
      </c>
      <c r="L1980" s="5">
        <f t="shared" si="568"/>
        <v>8</v>
      </c>
      <c r="M1980" s="5">
        <f t="shared" si="569"/>
        <v>2023</v>
      </c>
      <c r="N1980" s="95">
        <v>1562</v>
      </c>
      <c r="O1980" s="6">
        <f t="shared" si="581"/>
        <v>-1562</v>
      </c>
      <c r="P1980" s="6">
        <f t="shared" si="573"/>
        <v>0</v>
      </c>
      <c r="Q1980" s="7">
        <f t="shared" si="575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71"/>
        <v>8</v>
      </c>
      <c r="C1981" s="5">
        <f t="shared" si="572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8" t="s">
        <v>914</v>
      </c>
      <c r="H1981" s="13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67"/>
        <v>45153</v>
      </c>
      <c r="L1981" s="5">
        <f t="shared" si="568"/>
        <v>8</v>
      </c>
      <c r="M1981" s="5">
        <f t="shared" si="569"/>
        <v>2023</v>
      </c>
      <c r="N1981" s="95">
        <v>378</v>
      </c>
      <c r="O1981" s="6">
        <f t="shared" si="581"/>
        <v>-378</v>
      </c>
      <c r="P1981" s="6">
        <f t="shared" si="573"/>
        <v>0</v>
      </c>
      <c r="Q1981" s="7">
        <f t="shared" si="575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71"/>
        <v>8</v>
      </c>
      <c r="C1982" s="5">
        <f t="shared" si="572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8" t="s">
        <v>1111</v>
      </c>
      <c r="H1982" s="13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67"/>
        <v>45153</v>
      </c>
      <c r="L1982" s="5">
        <f t="shared" si="568"/>
        <v>8</v>
      </c>
      <c r="M1982" s="5">
        <f t="shared" si="569"/>
        <v>2023</v>
      </c>
      <c r="N1982" s="95">
        <v>62.5</v>
      </c>
      <c r="O1982" s="6">
        <f t="shared" si="581"/>
        <v>-62.5</v>
      </c>
      <c r="P1982" s="6">
        <f t="shared" si="573"/>
        <v>0</v>
      </c>
      <c r="Q1982" s="7">
        <f t="shared" si="575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71"/>
        <v>8</v>
      </c>
      <c r="C1983" s="5">
        <f t="shared" si="572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8" t="s">
        <v>1062</v>
      </c>
      <c r="H1983" s="13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67"/>
        <v>45153</v>
      </c>
      <c r="L1983" s="5">
        <f t="shared" si="568"/>
        <v>8</v>
      </c>
      <c r="M1983" s="5">
        <f t="shared" si="569"/>
        <v>2023</v>
      </c>
      <c r="N1983" s="95">
        <v>380</v>
      </c>
      <c r="O1983" s="6">
        <f t="shared" si="581"/>
        <v>-380</v>
      </c>
      <c r="P1983" s="6">
        <f t="shared" si="573"/>
        <v>0</v>
      </c>
      <c r="Q1983" s="7">
        <f t="shared" si="575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71"/>
        <v>8</v>
      </c>
      <c r="C1984" s="5">
        <f t="shared" si="572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13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67"/>
        <v>45153</v>
      </c>
      <c r="L1984" s="5">
        <f t="shared" si="568"/>
        <v>8</v>
      </c>
      <c r="M1984" s="5">
        <f t="shared" si="569"/>
        <v>2023</v>
      </c>
      <c r="N1984" s="95">
        <v>1738</v>
      </c>
      <c r="O1984" s="6">
        <f t="shared" si="581"/>
        <v>-1738</v>
      </c>
      <c r="P1984" s="6">
        <f t="shared" si="573"/>
        <v>0</v>
      </c>
      <c r="Q1984" s="7">
        <f t="shared" si="575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71"/>
        <v>8</v>
      </c>
      <c r="C1985" s="5">
        <f t="shared" si="572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8" t="s">
        <v>1111</v>
      </c>
      <c r="H1985" s="13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67"/>
        <v>45153</v>
      </c>
      <c r="L1985" s="5">
        <f t="shared" si="568"/>
        <v>8</v>
      </c>
      <c r="M1985" s="5">
        <f t="shared" si="569"/>
        <v>2023</v>
      </c>
      <c r="N1985" s="95">
        <v>125</v>
      </c>
      <c r="O1985" s="6">
        <f>-N1985</f>
        <v>-125</v>
      </c>
      <c r="P1985" s="6">
        <f t="shared" si="573"/>
        <v>0</v>
      </c>
      <c r="Q1985" s="7">
        <f t="shared" si="575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71"/>
        <v>8</v>
      </c>
      <c r="C1986" s="5">
        <f t="shared" si="572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8" t="s">
        <v>1734</v>
      </c>
      <c r="H1986" s="13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67"/>
        <v>45153</v>
      </c>
      <c r="L1986" s="5">
        <f t="shared" si="568"/>
        <v>8</v>
      </c>
      <c r="M1986" s="5">
        <f t="shared" si="569"/>
        <v>2023</v>
      </c>
      <c r="N1986" s="95">
        <v>3124</v>
      </c>
      <c r="O1986" s="6">
        <f>-N1986</f>
        <v>-3124</v>
      </c>
      <c r="P1986" s="6">
        <f t="shared" si="573"/>
        <v>0</v>
      </c>
      <c r="Q1986" s="7">
        <f t="shared" si="575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71"/>
        <v>8</v>
      </c>
      <c r="C1987" s="5">
        <f t="shared" si="572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8" t="s">
        <v>914</v>
      </c>
      <c r="H1987" s="13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582">A1987+J1987</f>
        <v>45153</v>
      </c>
      <c r="L1987" s="5">
        <f t="shared" ref="L1987:L2050" si="583">MONTH(K1987)</f>
        <v>8</v>
      </c>
      <c r="M1987" s="5">
        <f t="shared" ref="M1987:M2050" si="584">YEAR(K1987)</f>
        <v>2023</v>
      </c>
      <c r="N1987" s="95">
        <v>1323</v>
      </c>
      <c r="O1987" s="6">
        <f>-N1987</f>
        <v>-1323</v>
      </c>
      <c r="P1987" s="6">
        <f t="shared" si="573"/>
        <v>0</v>
      </c>
      <c r="Q1987" s="7">
        <f t="shared" si="575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71"/>
        <v>8</v>
      </c>
      <c r="C1988" s="5">
        <f t="shared" si="572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8" t="s">
        <v>779</v>
      </c>
      <c r="H1988" s="13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582"/>
        <v>45153</v>
      </c>
      <c r="L1988" s="5">
        <f t="shared" si="583"/>
        <v>8</v>
      </c>
      <c r="M1988" s="5">
        <f t="shared" si="584"/>
        <v>2023</v>
      </c>
      <c r="N1988" s="95">
        <v>600</v>
      </c>
      <c r="O1988" s="6">
        <f>-N1988</f>
        <v>-600</v>
      </c>
      <c r="P1988" s="6">
        <f t="shared" si="573"/>
        <v>0</v>
      </c>
      <c r="Q1988" s="7">
        <f t="shared" si="575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71"/>
        <v>8</v>
      </c>
      <c r="C1989" s="5">
        <f t="shared" si="572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8" t="s">
        <v>1062</v>
      </c>
      <c r="H1989" s="13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582"/>
        <v>45153</v>
      </c>
      <c r="L1989" s="5">
        <f t="shared" si="583"/>
        <v>8</v>
      </c>
      <c r="M1989" s="5">
        <f t="shared" si="584"/>
        <v>2023</v>
      </c>
      <c r="N1989" s="95">
        <v>380</v>
      </c>
      <c r="O1989" s="6">
        <f>-N1989</f>
        <v>-380</v>
      </c>
      <c r="P1989" s="6">
        <f t="shared" si="573"/>
        <v>0</v>
      </c>
      <c r="Q1989" s="7">
        <f t="shared" si="575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71"/>
        <v>8</v>
      </c>
      <c r="C1990" s="5">
        <f t="shared" si="572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8" t="s">
        <v>1357</v>
      </c>
      <c r="H1990" s="13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582"/>
        <v>45154</v>
      </c>
      <c r="L1990" s="5">
        <f t="shared" si="583"/>
        <v>8</v>
      </c>
      <c r="M1990" s="5">
        <f t="shared" si="584"/>
        <v>2023</v>
      </c>
      <c r="N1990" s="95">
        <v>3476</v>
      </c>
      <c r="O1990" s="6">
        <f>-2400.7-1075.3</f>
        <v>-3476</v>
      </c>
      <c r="P1990" s="6">
        <f t="shared" si="573"/>
        <v>0</v>
      </c>
      <c r="Q1990" s="7">
        <f t="shared" si="575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71"/>
        <v>8</v>
      </c>
      <c r="C1991" s="5">
        <f t="shared" si="572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8" t="s">
        <v>1432</v>
      </c>
      <c r="H1991" s="13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582"/>
        <v>45154</v>
      </c>
      <c r="L1991" s="5">
        <f t="shared" si="583"/>
        <v>8</v>
      </c>
      <c r="M1991" s="5">
        <f t="shared" si="584"/>
        <v>2023</v>
      </c>
      <c r="N1991" s="95">
        <v>876</v>
      </c>
      <c r="O1991" s="6">
        <f t="shared" ref="O1991:O1998" si="585">-N1991</f>
        <v>-876</v>
      </c>
      <c r="P1991" s="6">
        <f t="shared" si="573"/>
        <v>0</v>
      </c>
      <c r="Q1991" s="7">
        <f t="shared" si="575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71"/>
        <v>8</v>
      </c>
      <c r="C1992" s="5">
        <f t="shared" si="572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8" t="s">
        <v>1353</v>
      </c>
      <c r="H1992" s="13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582"/>
        <v>45154</v>
      </c>
      <c r="L1992" s="5">
        <f t="shared" si="583"/>
        <v>8</v>
      </c>
      <c r="M1992" s="5">
        <f t="shared" si="584"/>
        <v>2023</v>
      </c>
      <c r="N1992" s="95">
        <v>1095</v>
      </c>
      <c r="O1992" s="6">
        <f t="shared" si="585"/>
        <v>-1095</v>
      </c>
      <c r="P1992" s="6">
        <f t="shared" si="573"/>
        <v>0</v>
      </c>
      <c r="Q1992" s="7">
        <f t="shared" si="575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71"/>
        <v>8</v>
      </c>
      <c r="C1993" s="5">
        <f t="shared" si="572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8" t="s">
        <v>1818</v>
      </c>
      <c r="H1993" s="13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582"/>
        <v>45154</v>
      </c>
      <c r="L1993" s="5">
        <f t="shared" si="583"/>
        <v>8</v>
      </c>
      <c r="M1993" s="5">
        <f t="shared" si="584"/>
        <v>2023</v>
      </c>
      <c r="N1993" s="95">
        <v>708</v>
      </c>
      <c r="O1993" s="6">
        <f t="shared" si="585"/>
        <v>-708</v>
      </c>
      <c r="P1993" s="6">
        <f t="shared" si="573"/>
        <v>0</v>
      </c>
      <c r="Q1993" s="7">
        <f t="shared" si="575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71"/>
        <v>8</v>
      </c>
      <c r="C1994" s="5">
        <f t="shared" si="572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8" t="s">
        <v>1062</v>
      </c>
      <c r="H1994" s="13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582"/>
        <v>45154</v>
      </c>
      <c r="L1994" s="5">
        <f t="shared" si="583"/>
        <v>8</v>
      </c>
      <c r="M1994" s="5">
        <f t="shared" si="584"/>
        <v>2023</v>
      </c>
      <c r="N1994" s="95">
        <v>285</v>
      </c>
      <c r="O1994" s="6">
        <f>-245.7-39.3</f>
        <v>-285</v>
      </c>
      <c r="P1994" s="6">
        <f t="shared" si="573"/>
        <v>0</v>
      </c>
      <c r="Q1994" s="7">
        <f t="shared" si="575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71"/>
        <v>8</v>
      </c>
      <c r="C1995" s="5">
        <f t="shared" si="572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8" t="s">
        <v>1111</v>
      </c>
      <c r="H1995" s="13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582"/>
        <v>45154</v>
      </c>
      <c r="L1995" s="5">
        <f t="shared" si="583"/>
        <v>8</v>
      </c>
      <c r="M1995" s="5">
        <f t="shared" si="584"/>
        <v>2023</v>
      </c>
      <c r="N1995" s="95">
        <v>187.5</v>
      </c>
      <c r="O1995" s="6">
        <f t="shared" si="585"/>
        <v>-187.5</v>
      </c>
      <c r="P1995" s="6">
        <f t="shared" si="573"/>
        <v>0</v>
      </c>
      <c r="Q1995" s="7">
        <f t="shared" si="575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71"/>
        <v>8</v>
      </c>
      <c r="C1996" s="5">
        <f t="shared" si="572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8" t="s">
        <v>1406</v>
      </c>
      <c r="H1996" s="13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582"/>
        <v>45154</v>
      </c>
      <c r="L1996" s="5">
        <f t="shared" si="583"/>
        <v>8</v>
      </c>
      <c r="M1996" s="5">
        <f t="shared" si="584"/>
        <v>2023</v>
      </c>
      <c r="N1996" s="95">
        <v>100</v>
      </c>
      <c r="O1996" s="6">
        <f t="shared" si="585"/>
        <v>-100</v>
      </c>
      <c r="P1996" s="6">
        <f t="shared" si="573"/>
        <v>0</v>
      </c>
      <c r="Q1996" s="7">
        <f t="shared" si="575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71"/>
        <v>8</v>
      </c>
      <c r="C1997" s="5">
        <f t="shared" si="572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8" t="s">
        <v>1819</v>
      </c>
      <c r="H1997" s="13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582"/>
        <v>45154</v>
      </c>
      <c r="L1997" s="5">
        <f t="shared" si="583"/>
        <v>8</v>
      </c>
      <c r="M1997" s="5">
        <f t="shared" si="584"/>
        <v>2023</v>
      </c>
      <c r="N1997" s="95">
        <v>160</v>
      </c>
      <c r="O1997" s="6">
        <f t="shared" si="585"/>
        <v>-160</v>
      </c>
      <c r="P1997" s="6">
        <f t="shared" si="573"/>
        <v>0</v>
      </c>
      <c r="Q1997" s="7">
        <f t="shared" si="575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71"/>
        <v>8</v>
      </c>
      <c r="C1998" s="5">
        <f t="shared" si="572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8" t="s">
        <v>1661</v>
      </c>
      <c r="H1998" s="13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582"/>
        <v>45154</v>
      </c>
      <c r="L1998" s="5">
        <f t="shared" si="583"/>
        <v>8</v>
      </c>
      <c r="M1998" s="5">
        <f t="shared" si="584"/>
        <v>2023</v>
      </c>
      <c r="N1998" s="95">
        <v>165</v>
      </c>
      <c r="O1998" s="6">
        <f t="shared" si="585"/>
        <v>-165</v>
      </c>
      <c r="P1998" s="6">
        <f t="shared" si="573"/>
        <v>0</v>
      </c>
      <c r="Q1998" s="7">
        <f t="shared" si="575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71"/>
        <v>8</v>
      </c>
      <c r="C1999" s="5">
        <f t="shared" si="572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8" t="s">
        <v>1432</v>
      </c>
      <c r="H1999" s="13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582"/>
        <v>45199</v>
      </c>
      <c r="L1999" s="5">
        <f t="shared" si="583"/>
        <v>9</v>
      </c>
      <c r="M1999" s="5">
        <f t="shared" si="584"/>
        <v>2023</v>
      </c>
      <c r="N1999" s="95">
        <v>255</v>
      </c>
      <c r="O1999" s="6">
        <f>-N1999</f>
        <v>-255</v>
      </c>
      <c r="P1999" s="6">
        <f t="shared" si="573"/>
        <v>0</v>
      </c>
      <c r="Q1999" s="7">
        <f t="shared" si="575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586">MONTH(A2000)</f>
        <v>8</v>
      </c>
      <c r="C2000" s="5">
        <f t="shared" ref="C2000:C2029" si="587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8" t="s">
        <v>792</v>
      </c>
      <c r="H2000" s="13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582"/>
        <v>45199</v>
      </c>
      <c r="L2000" s="5">
        <f t="shared" si="583"/>
        <v>9</v>
      </c>
      <c r="M2000" s="5">
        <f t="shared" si="584"/>
        <v>2023</v>
      </c>
      <c r="N2000" s="95">
        <v>325</v>
      </c>
      <c r="O2000" s="6">
        <f>-N2000</f>
        <v>-325</v>
      </c>
      <c r="P2000" s="6">
        <f t="shared" ref="P2000:P2029" si="588">SUM(N2000+O2000)</f>
        <v>0</v>
      </c>
      <c r="Q2000" s="7">
        <f t="shared" si="575"/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586"/>
        <v>8</v>
      </c>
      <c r="C2001" s="5">
        <f t="shared" si="587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8" t="s">
        <v>1406</v>
      </c>
      <c r="H2001" s="13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582"/>
        <v>45199</v>
      </c>
      <c r="L2001" s="5">
        <f t="shared" si="583"/>
        <v>9</v>
      </c>
      <c r="M2001" s="5">
        <f t="shared" si="584"/>
        <v>2023</v>
      </c>
      <c r="N2001" s="95">
        <v>50</v>
      </c>
      <c r="O2001" s="6">
        <f>-N2001</f>
        <v>-50</v>
      </c>
      <c r="P2001" s="6">
        <f t="shared" si="588"/>
        <v>0</v>
      </c>
      <c r="Q2001" s="7">
        <f t="shared" si="575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586"/>
        <v>8</v>
      </c>
      <c r="C2002" s="5">
        <f t="shared" si="587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8" t="s">
        <v>304</v>
      </c>
      <c r="H2002" s="13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582"/>
        <v>45155</v>
      </c>
      <c r="L2002" s="5">
        <f t="shared" si="583"/>
        <v>8</v>
      </c>
      <c r="M2002" s="5">
        <f t="shared" si="584"/>
        <v>2023</v>
      </c>
      <c r="N2002" s="95">
        <v>1694</v>
      </c>
      <c r="O2002" s="6">
        <f t="shared" ref="O2002:O2006" si="589">-N2002</f>
        <v>-1694</v>
      </c>
      <c r="P2002" s="6">
        <f t="shared" si="588"/>
        <v>0</v>
      </c>
      <c r="Q2002" s="7">
        <f t="shared" ref="Q2002:Q2065" si="590">SUM(Q2001+N2002)</f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586"/>
        <v>8</v>
      </c>
      <c r="C2003" s="5">
        <f t="shared" si="587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8" t="s">
        <v>989</v>
      </c>
      <c r="H2003" s="13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582"/>
        <v>45155</v>
      </c>
      <c r="L2003" s="5">
        <f t="shared" si="583"/>
        <v>8</v>
      </c>
      <c r="M2003" s="5">
        <f t="shared" si="584"/>
        <v>2023</v>
      </c>
      <c r="N2003" s="95">
        <v>702</v>
      </c>
      <c r="O2003" s="6">
        <f t="shared" si="589"/>
        <v>-702</v>
      </c>
      <c r="P2003" s="6">
        <f t="shared" si="588"/>
        <v>0</v>
      </c>
      <c r="Q2003" s="7">
        <f t="shared" si="590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586"/>
        <v>8</v>
      </c>
      <c r="C2004" s="5">
        <f t="shared" si="587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8" t="s">
        <v>1469</v>
      </c>
      <c r="H2004" s="13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582"/>
        <v>45155</v>
      </c>
      <c r="L2004" s="5">
        <f t="shared" si="583"/>
        <v>8</v>
      </c>
      <c r="M2004" s="5">
        <f t="shared" si="584"/>
        <v>2023</v>
      </c>
      <c r="N2004" s="95">
        <v>322.5</v>
      </c>
      <c r="O2004" s="6">
        <f t="shared" si="589"/>
        <v>-322.5</v>
      </c>
      <c r="P2004" s="6">
        <f t="shared" si="588"/>
        <v>0</v>
      </c>
      <c r="Q2004" s="7">
        <f t="shared" si="590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586"/>
        <v>8</v>
      </c>
      <c r="C2005" s="5">
        <f t="shared" si="587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8" t="s">
        <v>895</v>
      </c>
      <c r="H2005" s="13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582"/>
        <v>45155</v>
      </c>
      <c r="L2005" s="5">
        <f t="shared" si="583"/>
        <v>8</v>
      </c>
      <c r="M2005" s="5">
        <f t="shared" si="584"/>
        <v>2023</v>
      </c>
      <c r="N2005" s="95">
        <v>160</v>
      </c>
      <c r="O2005" s="6">
        <f t="shared" si="589"/>
        <v>-160</v>
      </c>
      <c r="P2005" s="6">
        <f t="shared" si="588"/>
        <v>0</v>
      </c>
      <c r="Q2005" s="7">
        <f t="shared" si="590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586"/>
        <v>8</v>
      </c>
      <c r="C2006" s="5">
        <f t="shared" si="587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8" t="s">
        <v>792</v>
      </c>
      <c r="H2006" s="13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582"/>
        <v>45155</v>
      </c>
      <c r="L2006" s="5">
        <f t="shared" si="583"/>
        <v>8</v>
      </c>
      <c r="M2006" s="5">
        <f t="shared" si="584"/>
        <v>2023</v>
      </c>
      <c r="N2006" s="95">
        <v>250</v>
      </c>
      <c r="O2006" s="6">
        <f t="shared" si="589"/>
        <v>-250</v>
      </c>
      <c r="P2006" s="6">
        <f t="shared" si="588"/>
        <v>0</v>
      </c>
      <c r="Q2006" s="7">
        <f t="shared" si="590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586"/>
        <v>8</v>
      </c>
      <c r="C2007" s="5">
        <f t="shared" si="587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8" t="s">
        <v>95</v>
      </c>
      <c r="H2007" s="13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582"/>
        <v>45159</v>
      </c>
      <c r="L2007" s="5">
        <f t="shared" si="583"/>
        <v>8</v>
      </c>
      <c r="M2007" s="5">
        <f t="shared" si="584"/>
        <v>2023</v>
      </c>
      <c r="N2007" s="95">
        <v>1738</v>
      </c>
      <c r="O2007" s="6">
        <f>-N2007</f>
        <v>-1738</v>
      </c>
      <c r="P2007" s="6">
        <f t="shared" si="588"/>
        <v>0</v>
      </c>
      <c r="Q2007" s="7">
        <f t="shared" si="590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586"/>
        <v>8</v>
      </c>
      <c r="C2008" s="5">
        <f t="shared" si="587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8" t="s">
        <v>1797</v>
      </c>
      <c r="H2008" s="13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582"/>
        <v>45159</v>
      </c>
      <c r="L2008" s="5">
        <f t="shared" si="583"/>
        <v>8</v>
      </c>
      <c r="M2008" s="5">
        <f t="shared" si="584"/>
        <v>2023</v>
      </c>
      <c r="N2008" s="95">
        <v>702</v>
      </c>
      <c r="O2008" s="6">
        <f>-N2008</f>
        <v>-702</v>
      </c>
      <c r="P2008" s="6">
        <f t="shared" si="588"/>
        <v>0</v>
      </c>
      <c r="Q2008" s="7">
        <f t="shared" si="590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586"/>
        <v>8</v>
      </c>
      <c r="C2009" s="5">
        <f t="shared" si="587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8" t="s">
        <v>720</v>
      </c>
      <c r="H2009" s="13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582"/>
        <v>45190</v>
      </c>
      <c r="L2009" s="5">
        <f t="shared" si="583"/>
        <v>9</v>
      </c>
      <c r="M2009" s="5">
        <f t="shared" si="584"/>
        <v>2023</v>
      </c>
      <c r="N2009" s="95">
        <v>6952</v>
      </c>
      <c r="O2009" s="6">
        <f t="shared" ref="O2009:O2014" si="591">-N2009</f>
        <v>-6952</v>
      </c>
      <c r="P2009" s="6">
        <f t="shared" si="588"/>
        <v>0</v>
      </c>
      <c r="Q2009" s="7">
        <f t="shared" si="590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586"/>
        <v>8</v>
      </c>
      <c r="C2010" s="5">
        <f t="shared" si="587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8" t="s">
        <v>708</v>
      </c>
      <c r="H2010" s="13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582"/>
        <v>45190</v>
      </c>
      <c r="L2010" s="5">
        <f t="shared" si="583"/>
        <v>9</v>
      </c>
      <c r="M2010" s="5">
        <f t="shared" si="584"/>
        <v>2023</v>
      </c>
      <c r="N2010" s="95">
        <v>2106</v>
      </c>
      <c r="O2010" s="6">
        <f t="shared" si="591"/>
        <v>-2106</v>
      </c>
      <c r="P2010" s="6">
        <f t="shared" si="588"/>
        <v>0</v>
      </c>
      <c r="Q2010" s="7">
        <f t="shared" si="590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586"/>
        <v>8</v>
      </c>
      <c r="C2011" s="5">
        <f t="shared" si="587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8" t="s">
        <v>1406</v>
      </c>
      <c r="H2011" s="13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582"/>
        <v>45190</v>
      </c>
      <c r="L2011" s="5">
        <f t="shared" si="583"/>
        <v>9</v>
      </c>
      <c r="M2011" s="5">
        <f t="shared" si="584"/>
        <v>2023</v>
      </c>
      <c r="N2011" s="95">
        <v>144</v>
      </c>
      <c r="O2011" s="6">
        <f t="shared" si="591"/>
        <v>-144</v>
      </c>
      <c r="P2011" s="6">
        <f t="shared" si="588"/>
        <v>0</v>
      </c>
      <c r="Q2011" s="7">
        <f t="shared" si="590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586"/>
        <v>8</v>
      </c>
      <c r="C2012" s="5">
        <f t="shared" si="587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8" t="s">
        <v>1111</v>
      </c>
      <c r="H2012" s="13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582"/>
        <v>45190</v>
      </c>
      <c r="L2012" s="5">
        <f t="shared" si="583"/>
        <v>9</v>
      </c>
      <c r="M2012" s="5">
        <f t="shared" si="584"/>
        <v>2023</v>
      </c>
      <c r="N2012" s="95">
        <v>187.5</v>
      </c>
      <c r="O2012" s="6">
        <f t="shared" si="591"/>
        <v>-187.5</v>
      </c>
      <c r="P2012" s="6">
        <f t="shared" si="588"/>
        <v>0</v>
      </c>
      <c r="Q2012" s="7">
        <f t="shared" si="590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586"/>
        <v>8</v>
      </c>
      <c r="C2013" s="5">
        <f t="shared" si="587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8" t="s">
        <v>1469</v>
      </c>
      <c r="H2013" s="13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582"/>
        <v>45190</v>
      </c>
      <c r="L2013" s="5">
        <f t="shared" si="583"/>
        <v>9</v>
      </c>
      <c r="M2013" s="5">
        <f t="shared" si="584"/>
        <v>2023</v>
      </c>
      <c r="N2013" s="95">
        <v>650</v>
      </c>
      <c r="O2013" s="6">
        <f t="shared" si="591"/>
        <v>-650</v>
      </c>
      <c r="P2013" s="6">
        <f t="shared" si="588"/>
        <v>0</v>
      </c>
      <c r="Q2013" s="7">
        <f t="shared" si="590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586"/>
        <v>8</v>
      </c>
      <c r="C2014" s="5">
        <f t="shared" si="587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8" t="s">
        <v>1547</v>
      </c>
      <c r="H2014" s="13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582"/>
        <v>45190</v>
      </c>
      <c r="L2014" s="5">
        <f t="shared" si="583"/>
        <v>9</v>
      </c>
      <c r="M2014" s="5">
        <f t="shared" si="584"/>
        <v>2023</v>
      </c>
      <c r="N2014" s="95">
        <v>930</v>
      </c>
      <c r="O2014" s="6">
        <f t="shared" si="591"/>
        <v>-930</v>
      </c>
      <c r="P2014" s="6">
        <f t="shared" si="588"/>
        <v>0</v>
      </c>
      <c r="Q2014" s="7">
        <f t="shared" si="590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586"/>
        <v>8</v>
      </c>
      <c r="C2015" s="5">
        <f t="shared" si="587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8" t="s">
        <v>1111</v>
      </c>
      <c r="H2015" s="13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582"/>
        <v>45160</v>
      </c>
      <c r="L2015" s="5">
        <f t="shared" si="583"/>
        <v>8</v>
      </c>
      <c r="M2015" s="5">
        <f t="shared" si="584"/>
        <v>2023</v>
      </c>
      <c r="N2015" s="95">
        <v>187.5</v>
      </c>
      <c r="O2015" s="6">
        <f>-N2015</f>
        <v>-187.5</v>
      </c>
      <c r="P2015" s="6">
        <f t="shared" si="588"/>
        <v>0</v>
      </c>
      <c r="Q2015" s="7">
        <f t="shared" si="590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586"/>
        <v>8</v>
      </c>
      <c r="C2016" s="5">
        <f t="shared" si="587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8" t="s">
        <v>1734</v>
      </c>
      <c r="H2016" s="13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582"/>
        <v>45160</v>
      </c>
      <c r="L2016" s="5">
        <f t="shared" si="583"/>
        <v>8</v>
      </c>
      <c r="M2016" s="5">
        <f t="shared" si="584"/>
        <v>2023</v>
      </c>
      <c r="N2016" s="95">
        <v>4686</v>
      </c>
      <c r="O2016" s="6">
        <f>-3376.2-1309.8</f>
        <v>-4686</v>
      </c>
      <c r="P2016" s="6">
        <f t="shared" si="588"/>
        <v>0</v>
      </c>
      <c r="Q2016" s="7">
        <f t="shared" si="590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586"/>
        <v>8</v>
      </c>
      <c r="C2017" s="5">
        <f t="shared" si="587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8" t="s">
        <v>914</v>
      </c>
      <c r="H2017" s="13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582"/>
        <v>45160</v>
      </c>
      <c r="L2017" s="5">
        <f t="shared" si="583"/>
        <v>8</v>
      </c>
      <c r="M2017" s="5">
        <f t="shared" si="584"/>
        <v>2023</v>
      </c>
      <c r="N2017" s="95">
        <v>1701</v>
      </c>
      <c r="O2017" s="6">
        <f>-N2017</f>
        <v>-1701</v>
      </c>
      <c r="P2017" s="6">
        <f t="shared" si="588"/>
        <v>0</v>
      </c>
      <c r="Q2017" s="7">
        <f t="shared" si="590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586"/>
        <v>8</v>
      </c>
      <c r="C2018" s="5">
        <f t="shared" si="587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8" t="s">
        <v>779</v>
      </c>
      <c r="H2018" s="13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582"/>
        <v>45160</v>
      </c>
      <c r="L2018" s="5">
        <f t="shared" si="583"/>
        <v>8</v>
      </c>
      <c r="M2018" s="5">
        <f t="shared" si="584"/>
        <v>2023</v>
      </c>
      <c r="N2018" s="95">
        <v>200</v>
      </c>
      <c r="O2018" s="6">
        <f>-N2018</f>
        <v>-200</v>
      </c>
      <c r="P2018" s="6">
        <f t="shared" si="588"/>
        <v>0</v>
      </c>
      <c r="Q2018" s="7">
        <f t="shared" si="590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586"/>
        <v>8</v>
      </c>
      <c r="C2019" s="5">
        <f t="shared" si="587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8" t="s">
        <v>95</v>
      </c>
      <c r="H2019" s="13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582"/>
        <v>45160</v>
      </c>
      <c r="L2019" s="5">
        <f t="shared" si="583"/>
        <v>8</v>
      </c>
      <c r="M2019" s="5">
        <f t="shared" si="584"/>
        <v>2023</v>
      </c>
      <c r="N2019" s="95">
        <v>1738</v>
      </c>
      <c r="O2019" s="6">
        <f>-945.8-792.2</f>
        <v>-1738</v>
      </c>
      <c r="P2019" s="6">
        <f t="shared" si="588"/>
        <v>0</v>
      </c>
      <c r="Q2019" s="7">
        <f t="shared" si="590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586"/>
        <v>8</v>
      </c>
      <c r="C2020" s="5">
        <f t="shared" si="587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13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582"/>
        <v>45161</v>
      </c>
      <c r="L2020" s="5">
        <f t="shared" si="583"/>
        <v>8</v>
      </c>
      <c r="M2020" s="5">
        <f t="shared" si="584"/>
        <v>2023</v>
      </c>
      <c r="N2020" s="95">
        <v>1738</v>
      </c>
      <c r="O2020" s="6">
        <f t="shared" ref="O2020:O2028" si="592">-N2020</f>
        <v>-1738</v>
      </c>
      <c r="P2020" s="6">
        <f t="shared" si="588"/>
        <v>0</v>
      </c>
      <c r="Q2020" s="7">
        <f t="shared" si="590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586"/>
        <v>8</v>
      </c>
      <c r="C2021" s="5">
        <f t="shared" si="587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8" t="s">
        <v>1357</v>
      </c>
      <c r="H2021" s="13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582"/>
        <v>45162</v>
      </c>
      <c r="L2021" s="5">
        <f t="shared" si="583"/>
        <v>8</v>
      </c>
      <c r="M2021" s="5">
        <f t="shared" si="584"/>
        <v>2023</v>
      </c>
      <c r="N2021" s="95">
        <v>1738</v>
      </c>
      <c r="O2021" s="6">
        <f t="shared" si="592"/>
        <v>-1738</v>
      </c>
      <c r="P2021" s="6">
        <f t="shared" si="588"/>
        <v>0</v>
      </c>
      <c r="Q2021" s="7">
        <f t="shared" si="590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586"/>
        <v>8</v>
      </c>
      <c r="C2022" s="5">
        <f t="shared" si="587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8" t="s">
        <v>1818</v>
      </c>
      <c r="H2022" s="13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582"/>
        <v>45162</v>
      </c>
      <c r="L2022" s="5">
        <f t="shared" si="583"/>
        <v>8</v>
      </c>
      <c r="M2022" s="5">
        <f t="shared" si="584"/>
        <v>2023</v>
      </c>
      <c r="N2022" s="95">
        <v>472</v>
      </c>
      <c r="O2022" s="6">
        <f t="shared" si="592"/>
        <v>-472</v>
      </c>
      <c r="P2022" s="6">
        <f t="shared" si="588"/>
        <v>0</v>
      </c>
      <c r="Q2022" s="7">
        <f t="shared" si="590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586"/>
        <v>8</v>
      </c>
      <c r="C2023" s="5">
        <f t="shared" si="587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8" t="s">
        <v>717</v>
      </c>
      <c r="H2023" s="13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582"/>
        <v>45163</v>
      </c>
      <c r="L2023" s="5">
        <f t="shared" si="583"/>
        <v>8</v>
      </c>
      <c r="M2023" s="5">
        <f t="shared" si="584"/>
        <v>2023</v>
      </c>
      <c r="N2023" s="95">
        <v>1738</v>
      </c>
      <c r="O2023" s="6">
        <f t="shared" si="592"/>
        <v>-1738</v>
      </c>
      <c r="P2023" s="6">
        <f t="shared" si="588"/>
        <v>0</v>
      </c>
      <c r="Q2023" s="7">
        <f t="shared" si="590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586"/>
        <v>8</v>
      </c>
      <c r="C2024" s="5">
        <f t="shared" si="587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8" t="s">
        <v>655</v>
      </c>
      <c r="H2024" s="13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582"/>
        <v>45163</v>
      </c>
      <c r="L2024" s="5">
        <f t="shared" si="583"/>
        <v>8</v>
      </c>
      <c r="M2024" s="5">
        <f t="shared" si="584"/>
        <v>2023</v>
      </c>
      <c r="N2024" s="95">
        <v>702</v>
      </c>
      <c r="O2024" s="6">
        <f t="shared" si="592"/>
        <v>-702</v>
      </c>
      <c r="P2024" s="6">
        <f t="shared" si="588"/>
        <v>0</v>
      </c>
      <c r="Q2024" s="7">
        <f t="shared" si="590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586"/>
        <v>8</v>
      </c>
      <c r="C2025" s="5">
        <f t="shared" si="587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8" t="s">
        <v>1062</v>
      </c>
      <c r="H2025" s="13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582"/>
        <v>45163</v>
      </c>
      <c r="L2025" s="5">
        <f t="shared" si="583"/>
        <v>8</v>
      </c>
      <c r="M2025" s="5">
        <f t="shared" si="584"/>
        <v>2023</v>
      </c>
      <c r="N2025" s="95">
        <v>95</v>
      </c>
      <c r="O2025" s="6">
        <f t="shared" si="592"/>
        <v>-95</v>
      </c>
      <c r="P2025" s="6">
        <f t="shared" si="588"/>
        <v>0</v>
      </c>
      <c r="Q2025" s="7">
        <f t="shared" si="590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586"/>
        <v>8</v>
      </c>
      <c r="C2026" s="5">
        <f t="shared" si="587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8" t="s">
        <v>1111</v>
      </c>
      <c r="H2026" s="13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582"/>
        <v>45163</v>
      </c>
      <c r="L2026" s="5">
        <f t="shared" si="583"/>
        <v>8</v>
      </c>
      <c r="M2026" s="5">
        <f t="shared" si="584"/>
        <v>2023</v>
      </c>
      <c r="N2026" s="95">
        <v>312.5</v>
      </c>
      <c r="O2026" s="6">
        <f t="shared" si="592"/>
        <v>-312.5</v>
      </c>
      <c r="P2026" s="6">
        <f t="shared" si="588"/>
        <v>0</v>
      </c>
      <c r="Q2026" s="7">
        <f t="shared" si="590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586"/>
        <v>8</v>
      </c>
      <c r="C2027" s="5">
        <f t="shared" si="587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8" t="s">
        <v>1412</v>
      </c>
      <c r="H2027" s="13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582"/>
        <v>45164</v>
      </c>
      <c r="L2027" s="5">
        <f t="shared" si="583"/>
        <v>8</v>
      </c>
      <c r="M2027" s="5">
        <f t="shared" si="584"/>
        <v>2023</v>
      </c>
      <c r="N2027" s="95">
        <v>421.2</v>
      </c>
      <c r="O2027" s="6">
        <f t="shared" si="592"/>
        <v>-421.2</v>
      </c>
      <c r="P2027" s="6">
        <f t="shared" si="588"/>
        <v>0</v>
      </c>
      <c r="Q2027" s="7">
        <f t="shared" si="590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586"/>
        <v>8</v>
      </c>
      <c r="C2028" s="5">
        <f t="shared" si="587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8" t="s">
        <v>1470</v>
      </c>
      <c r="H2028" s="13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582"/>
        <v>45164</v>
      </c>
      <c r="L2028" s="5">
        <f t="shared" si="583"/>
        <v>8</v>
      </c>
      <c r="M2028" s="5">
        <f t="shared" si="584"/>
        <v>2023</v>
      </c>
      <c r="N2028" s="95">
        <v>390</v>
      </c>
      <c r="O2028" s="6">
        <f t="shared" si="592"/>
        <v>-390</v>
      </c>
      <c r="P2028" s="6">
        <f t="shared" si="588"/>
        <v>0</v>
      </c>
      <c r="Q2028" s="7">
        <f t="shared" si="590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586"/>
        <v>8</v>
      </c>
      <c r="C2029" s="5">
        <f t="shared" si="587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8" t="s">
        <v>1198</v>
      </c>
      <c r="H2029" s="13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582"/>
        <v>45166</v>
      </c>
      <c r="L2029" s="5">
        <f t="shared" si="583"/>
        <v>8</v>
      </c>
      <c r="M2029" s="5">
        <f t="shared" si="584"/>
        <v>2023</v>
      </c>
      <c r="N2029" s="95">
        <v>3476</v>
      </c>
      <c r="O2029" s="6">
        <f t="shared" ref="O2029:O2037" si="593">-N2029</f>
        <v>-3476</v>
      </c>
      <c r="P2029" s="6">
        <f t="shared" si="588"/>
        <v>0</v>
      </c>
      <c r="Q2029" s="7">
        <f t="shared" si="590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594">MONTH(A2030)</f>
        <v>8</v>
      </c>
      <c r="C2030" s="5">
        <f t="shared" ref="C2030:C2043" si="595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8" t="s">
        <v>1832</v>
      </c>
      <c r="H2030" s="13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582"/>
        <v>45166</v>
      </c>
      <c r="L2030" s="5">
        <f t="shared" si="583"/>
        <v>8</v>
      </c>
      <c r="M2030" s="5">
        <f t="shared" si="584"/>
        <v>2023</v>
      </c>
      <c r="N2030" s="95">
        <v>438</v>
      </c>
      <c r="O2030" s="6">
        <f t="shared" si="593"/>
        <v>-438</v>
      </c>
      <c r="P2030" s="6">
        <f t="shared" ref="P2030:P2093" si="596">SUM(N2030+O2030)</f>
        <v>0</v>
      </c>
      <c r="Q2030" s="7">
        <f t="shared" si="590"/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594"/>
        <v>8</v>
      </c>
      <c r="C2031" s="5">
        <f t="shared" si="595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8" t="s">
        <v>1818</v>
      </c>
      <c r="H2031" s="13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582"/>
        <v>45166</v>
      </c>
      <c r="L2031" s="5">
        <f t="shared" si="583"/>
        <v>8</v>
      </c>
      <c r="M2031" s="5">
        <f t="shared" si="584"/>
        <v>2023</v>
      </c>
      <c r="N2031" s="95">
        <v>472</v>
      </c>
      <c r="O2031" s="6">
        <f t="shared" si="593"/>
        <v>-472</v>
      </c>
      <c r="P2031" s="6">
        <f t="shared" si="596"/>
        <v>0</v>
      </c>
      <c r="Q2031" s="7">
        <f t="shared" si="59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594"/>
        <v>8</v>
      </c>
      <c r="C2032" s="5">
        <f t="shared" si="595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8" t="s">
        <v>1062</v>
      </c>
      <c r="H2032" s="13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582"/>
        <v>45166</v>
      </c>
      <c r="L2032" s="5">
        <f t="shared" si="583"/>
        <v>8</v>
      </c>
      <c r="M2032" s="5">
        <f t="shared" si="584"/>
        <v>2023</v>
      </c>
      <c r="N2032" s="95">
        <v>190</v>
      </c>
      <c r="O2032" s="6">
        <f t="shared" si="593"/>
        <v>-190</v>
      </c>
      <c r="P2032" s="6">
        <f t="shared" si="596"/>
        <v>0</v>
      </c>
      <c r="Q2032" s="7">
        <f t="shared" si="59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594"/>
        <v>8</v>
      </c>
      <c r="C2033" s="5">
        <f t="shared" si="595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8" t="s">
        <v>1111</v>
      </c>
      <c r="H2033" s="13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582"/>
        <v>45166</v>
      </c>
      <c r="L2033" s="5">
        <f t="shared" si="583"/>
        <v>8</v>
      </c>
      <c r="M2033" s="5">
        <f t="shared" si="584"/>
        <v>2023</v>
      </c>
      <c r="N2033" s="95">
        <v>125</v>
      </c>
      <c r="O2033" s="6">
        <f t="shared" si="593"/>
        <v>-125</v>
      </c>
      <c r="P2033" s="6">
        <f t="shared" si="596"/>
        <v>0</v>
      </c>
      <c r="Q2033" s="7">
        <f t="shared" si="59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594"/>
        <v>8</v>
      </c>
      <c r="C2034" s="5">
        <f t="shared" si="595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8" t="s">
        <v>945</v>
      </c>
      <c r="H2034" s="13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582"/>
        <v>45166</v>
      </c>
      <c r="L2034" s="5">
        <f t="shared" si="583"/>
        <v>8</v>
      </c>
      <c r="M2034" s="5">
        <f t="shared" si="584"/>
        <v>2023</v>
      </c>
      <c r="N2034" s="95">
        <v>420</v>
      </c>
      <c r="O2034" s="6">
        <f t="shared" si="593"/>
        <v>-420</v>
      </c>
      <c r="P2034" s="6">
        <f t="shared" si="596"/>
        <v>0</v>
      </c>
      <c r="Q2034" s="7">
        <f t="shared" si="59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594"/>
        <v>8</v>
      </c>
      <c r="C2035" s="5">
        <f t="shared" si="595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8" t="s">
        <v>1819</v>
      </c>
      <c r="H2035" s="13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582"/>
        <v>45166</v>
      </c>
      <c r="L2035" s="5">
        <f t="shared" si="583"/>
        <v>8</v>
      </c>
      <c r="M2035" s="5">
        <f t="shared" si="584"/>
        <v>2023</v>
      </c>
      <c r="N2035" s="95">
        <v>160</v>
      </c>
      <c r="O2035" s="6">
        <f t="shared" si="593"/>
        <v>-160</v>
      </c>
      <c r="P2035" s="6">
        <f t="shared" si="596"/>
        <v>0</v>
      </c>
      <c r="Q2035" s="7">
        <f t="shared" si="59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594"/>
        <v>8</v>
      </c>
      <c r="C2036" s="5">
        <f t="shared" si="595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8" t="s">
        <v>1406</v>
      </c>
      <c r="H2036" s="13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582"/>
        <v>45166</v>
      </c>
      <c r="L2036" s="5">
        <f t="shared" si="583"/>
        <v>8</v>
      </c>
      <c r="M2036" s="5">
        <f t="shared" si="584"/>
        <v>2023</v>
      </c>
      <c r="N2036" s="95">
        <v>100</v>
      </c>
      <c r="O2036" s="6">
        <f t="shared" si="593"/>
        <v>-100</v>
      </c>
      <c r="P2036" s="6">
        <f t="shared" si="596"/>
        <v>0</v>
      </c>
      <c r="Q2036" s="7">
        <f t="shared" si="59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594"/>
        <v>8</v>
      </c>
      <c r="C2037" s="5">
        <f t="shared" si="595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8" t="s">
        <v>1243</v>
      </c>
      <c r="H2037" s="13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582"/>
        <v>45166</v>
      </c>
      <c r="L2037" s="5">
        <f t="shared" si="583"/>
        <v>8</v>
      </c>
      <c r="M2037" s="5">
        <f t="shared" si="584"/>
        <v>2023</v>
      </c>
      <c r="N2037" s="95">
        <v>2224</v>
      </c>
      <c r="O2037" s="6">
        <f t="shared" si="593"/>
        <v>-2224</v>
      </c>
      <c r="P2037" s="6">
        <f t="shared" si="596"/>
        <v>0</v>
      </c>
      <c r="Q2037" s="7">
        <f t="shared" si="59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594"/>
        <v>8</v>
      </c>
      <c r="C2038" s="5">
        <f t="shared" si="595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8" t="s">
        <v>1111</v>
      </c>
      <c r="H2038" s="13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582"/>
        <v>45166</v>
      </c>
      <c r="L2038" s="5">
        <f t="shared" si="583"/>
        <v>8</v>
      </c>
      <c r="M2038" s="5">
        <f t="shared" si="584"/>
        <v>2023</v>
      </c>
      <c r="N2038" s="95">
        <v>125</v>
      </c>
      <c r="O2038" s="6">
        <f>-N2038</f>
        <v>-125</v>
      </c>
      <c r="P2038" s="6">
        <f t="shared" si="596"/>
        <v>0</v>
      </c>
      <c r="Q2038" s="7">
        <f t="shared" si="59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594"/>
        <v>8</v>
      </c>
      <c r="C2039" s="5">
        <f t="shared" si="595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8" t="s">
        <v>1734</v>
      </c>
      <c r="H2039" s="13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582"/>
        <v>45166</v>
      </c>
      <c r="L2039" s="5">
        <f t="shared" si="583"/>
        <v>8</v>
      </c>
      <c r="M2039" s="5">
        <f t="shared" si="584"/>
        <v>2023</v>
      </c>
      <c r="N2039" s="95">
        <v>3124</v>
      </c>
      <c r="O2039" s="6">
        <f>-N2039</f>
        <v>-3124</v>
      </c>
      <c r="P2039" s="6">
        <f t="shared" si="596"/>
        <v>0</v>
      </c>
      <c r="Q2039" s="7">
        <f t="shared" si="59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594"/>
        <v>8</v>
      </c>
      <c r="C2040" s="5">
        <f t="shared" si="595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8" t="s">
        <v>914</v>
      </c>
      <c r="H2040" s="13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582"/>
        <v>45166</v>
      </c>
      <c r="L2040" s="5">
        <f t="shared" si="583"/>
        <v>8</v>
      </c>
      <c r="M2040" s="5">
        <f t="shared" si="584"/>
        <v>2023</v>
      </c>
      <c r="N2040" s="95">
        <v>1134</v>
      </c>
      <c r="O2040" s="6">
        <f>-N2040</f>
        <v>-1134</v>
      </c>
      <c r="P2040" s="6">
        <f t="shared" si="596"/>
        <v>0</v>
      </c>
      <c r="Q2040" s="7">
        <f t="shared" si="59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594"/>
        <v>8</v>
      </c>
      <c r="C2041" s="5">
        <f t="shared" si="595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8" t="s">
        <v>779</v>
      </c>
      <c r="H2041" s="13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582"/>
        <v>45166</v>
      </c>
      <c r="L2041" s="5">
        <f t="shared" si="583"/>
        <v>8</v>
      </c>
      <c r="M2041" s="5">
        <f t="shared" si="584"/>
        <v>2023</v>
      </c>
      <c r="N2041" s="95">
        <v>600</v>
      </c>
      <c r="O2041" s="6">
        <f>-N2041</f>
        <v>-600</v>
      </c>
      <c r="P2041" s="6">
        <f t="shared" si="596"/>
        <v>0</v>
      </c>
      <c r="Q2041" s="7">
        <f t="shared" si="59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594"/>
        <v>8</v>
      </c>
      <c r="C2042" s="5">
        <f t="shared" si="595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8" t="s">
        <v>1074</v>
      </c>
      <c r="H2042" s="13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582"/>
        <v>45166</v>
      </c>
      <c r="L2042" s="5">
        <f t="shared" si="583"/>
        <v>8</v>
      </c>
      <c r="M2042" s="5">
        <f t="shared" si="584"/>
        <v>2023</v>
      </c>
      <c r="N2042" s="95">
        <v>1000</v>
      </c>
      <c r="O2042" s="6">
        <f>-N2042</f>
        <v>-1000</v>
      </c>
      <c r="P2042" s="6">
        <f t="shared" si="596"/>
        <v>0</v>
      </c>
      <c r="Q2042" s="7">
        <f t="shared" si="59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594"/>
        <v>8</v>
      </c>
      <c r="C2043" s="5">
        <f t="shared" si="595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8" t="s">
        <v>95</v>
      </c>
      <c r="H2043" s="13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582"/>
        <v>45168</v>
      </c>
      <c r="L2043" s="5">
        <f t="shared" si="583"/>
        <v>8</v>
      </c>
      <c r="M2043" s="5">
        <f t="shared" si="584"/>
        <v>2023</v>
      </c>
      <c r="N2043" s="95">
        <v>1738</v>
      </c>
      <c r="O2043" s="6">
        <f>-396.6-1341.4</f>
        <v>-1738</v>
      </c>
      <c r="P2043" s="6">
        <f t="shared" si="596"/>
        <v>0</v>
      </c>
      <c r="Q2043" s="7">
        <f t="shared" si="59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597">MONTH(A2044)</f>
        <v>9</v>
      </c>
      <c r="C2044" s="5">
        <f t="shared" ref="C2044:C2107" si="598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2" t="s">
        <v>1111</v>
      </c>
      <c r="H2044" s="13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582"/>
        <v>45170</v>
      </c>
      <c r="L2044" s="5">
        <f t="shared" si="583"/>
        <v>9</v>
      </c>
      <c r="M2044" s="5">
        <f t="shared" si="584"/>
        <v>2023</v>
      </c>
      <c r="N2044" s="95">
        <v>125</v>
      </c>
      <c r="O2044" s="6">
        <f>-N2044</f>
        <v>-125</v>
      </c>
      <c r="P2044" s="6">
        <f t="shared" si="596"/>
        <v>0</v>
      </c>
      <c r="Q2044" s="7">
        <f t="shared" si="590"/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597"/>
        <v>9</v>
      </c>
      <c r="C2045" s="5">
        <f t="shared" si="598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8" t="s">
        <v>1734</v>
      </c>
      <c r="H2045" s="13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582"/>
        <v>45170</v>
      </c>
      <c r="L2045" s="5">
        <f t="shared" si="583"/>
        <v>9</v>
      </c>
      <c r="M2045" s="5">
        <f t="shared" si="584"/>
        <v>2023</v>
      </c>
      <c r="N2045" s="95">
        <v>3124</v>
      </c>
      <c r="O2045" s="6">
        <f>-N2045</f>
        <v>-3124</v>
      </c>
      <c r="P2045" s="6">
        <f t="shared" si="596"/>
        <v>0</v>
      </c>
      <c r="Q2045" s="7">
        <f t="shared" si="590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597"/>
        <v>9</v>
      </c>
      <c r="C2046" s="5">
        <f t="shared" si="598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8" t="s">
        <v>914</v>
      </c>
      <c r="H2046" s="13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582"/>
        <v>45170</v>
      </c>
      <c r="L2046" s="5">
        <f t="shared" si="583"/>
        <v>9</v>
      </c>
      <c r="M2046" s="5">
        <f t="shared" si="584"/>
        <v>2023</v>
      </c>
      <c r="N2046" s="95">
        <v>1134</v>
      </c>
      <c r="O2046" s="6">
        <f>-N2046</f>
        <v>-1134</v>
      </c>
      <c r="P2046" s="6">
        <f t="shared" si="596"/>
        <v>0</v>
      </c>
      <c r="Q2046" s="7">
        <f t="shared" si="590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597"/>
        <v>9</v>
      </c>
      <c r="C2047" s="5">
        <f t="shared" si="598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8" t="s">
        <v>779</v>
      </c>
      <c r="H2047" s="13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582"/>
        <v>45170</v>
      </c>
      <c r="L2047" s="5">
        <f t="shared" si="583"/>
        <v>9</v>
      </c>
      <c r="M2047" s="5">
        <f t="shared" si="584"/>
        <v>2023</v>
      </c>
      <c r="N2047" s="95">
        <v>600</v>
      </c>
      <c r="O2047" s="6">
        <f>-N2047</f>
        <v>-600</v>
      </c>
      <c r="P2047" s="6">
        <f t="shared" si="596"/>
        <v>0</v>
      </c>
      <c r="Q2047" s="7">
        <f t="shared" si="590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597"/>
        <v>9</v>
      </c>
      <c r="C2048" s="5">
        <f t="shared" si="598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13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582"/>
        <v>45170</v>
      </c>
      <c r="L2048" s="5">
        <f t="shared" si="583"/>
        <v>9</v>
      </c>
      <c r="M2048" s="5">
        <f t="shared" si="584"/>
        <v>2023</v>
      </c>
      <c r="N2048" s="95">
        <v>1738</v>
      </c>
      <c r="O2048" s="6">
        <f t="shared" ref="O2048:O2057" si="599">-N2048</f>
        <v>-1738</v>
      </c>
      <c r="P2048" s="6">
        <f t="shared" si="596"/>
        <v>0</v>
      </c>
      <c r="Q2048" s="7">
        <f t="shared" si="590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597"/>
        <v>9</v>
      </c>
      <c r="C2049" s="5">
        <f t="shared" si="598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13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582"/>
        <v>45170</v>
      </c>
      <c r="L2049" s="5">
        <f t="shared" si="583"/>
        <v>9</v>
      </c>
      <c r="M2049" s="5">
        <f t="shared" si="584"/>
        <v>2023</v>
      </c>
      <c r="N2049" s="95">
        <v>62.5</v>
      </c>
      <c r="O2049" s="6">
        <f t="shared" si="599"/>
        <v>-62.5</v>
      </c>
      <c r="P2049" s="6">
        <f t="shared" si="596"/>
        <v>0</v>
      </c>
      <c r="Q2049" s="7">
        <f t="shared" si="590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597"/>
        <v>9</v>
      </c>
      <c r="C2050" s="5">
        <f t="shared" si="598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8" t="s">
        <v>1739</v>
      </c>
      <c r="H2050" s="13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582"/>
        <v>45170</v>
      </c>
      <c r="L2050" s="5">
        <f t="shared" si="583"/>
        <v>9</v>
      </c>
      <c r="M2050" s="5">
        <f t="shared" si="584"/>
        <v>2023</v>
      </c>
      <c r="N2050" s="95">
        <v>9130</v>
      </c>
      <c r="O2050" s="6">
        <f t="shared" si="599"/>
        <v>-9130</v>
      </c>
      <c r="P2050" s="6">
        <f t="shared" si="596"/>
        <v>0</v>
      </c>
      <c r="Q2050" s="7">
        <f t="shared" si="590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597"/>
        <v>9</v>
      </c>
      <c r="C2051" s="5">
        <f t="shared" si="598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8" t="s">
        <v>1740</v>
      </c>
      <c r="H2051" s="13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00">A2051+J2051</f>
        <v>45170</v>
      </c>
      <c r="L2051" s="5">
        <f t="shared" ref="L2051:L2114" si="601">MONTH(K2051)</f>
        <v>9</v>
      </c>
      <c r="M2051" s="5">
        <f t="shared" ref="M2051:M2114" si="602">YEAR(K2051)</f>
        <v>2023</v>
      </c>
      <c r="N2051" s="95">
        <v>2986.2000000000003</v>
      </c>
      <c r="O2051" s="6">
        <f t="shared" si="599"/>
        <v>-2986.2000000000003</v>
      </c>
      <c r="P2051" s="6">
        <f t="shared" si="596"/>
        <v>0</v>
      </c>
      <c r="Q2051" s="7">
        <f t="shared" si="590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597"/>
        <v>9</v>
      </c>
      <c r="C2052" s="5">
        <f t="shared" si="598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8" t="s">
        <v>44</v>
      </c>
      <c r="H2052" s="13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00"/>
        <v>45170</v>
      </c>
      <c r="L2052" s="5">
        <f t="shared" si="601"/>
        <v>9</v>
      </c>
      <c r="M2052" s="5">
        <f t="shared" si="602"/>
        <v>2023</v>
      </c>
      <c r="N2052" s="95">
        <v>2580</v>
      </c>
      <c r="O2052" s="6">
        <f t="shared" si="599"/>
        <v>-2580</v>
      </c>
      <c r="P2052" s="6">
        <f t="shared" si="596"/>
        <v>0</v>
      </c>
      <c r="Q2052" s="7">
        <f t="shared" si="590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597"/>
        <v>9</v>
      </c>
      <c r="C2053" s="5">
        <f t="shared" si="598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8" t="s">
        <v>17</v>
      </c>
      <c r="H2053" s="13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00"/>
        <v>45170</v>
      </c>
      <c r="L2053" s="5">
        <f t="shared" si="601"/>
        <v>9</v>
      </c>
      <c r="M2053" s="5">
        <f t="shared" si="602"/>
        <v>2023</v>
      </c>
      <c r="N2053" s="95">
        <v>440</v>
      </c>
      <c r="O2053" s="6">
        <f t="shared" si="599"/>
        <v>-440</v>
      </c>
      <c r="P2053" s="6">
        <f t="shared" si="596"/>
        <v>0</v>
      </c>
      <c r="Q2053" s="7">
        <f t="shared" si="590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597"/>
        <v>9</v>
      </c>
      <c r="C2054" s="5">
        <f t="shared" si="598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8" t="s">
        <v>1743</v>
      </c>
      <c r="H2054" s="13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00"/>
        <v>45170</v>
      </c>
      <c r="L2054" s="5">
        <f t="shared" si="601"/>
        <v>9</v>
      </c>
      <c r="M2054" s="5">
        <f t="shared" si="602"/>
        <v>2023</v>
      </c>
      <c r="N2054" s="95">
        <v>60</v>
      </c>
      <c r="O2054" s="6">
        <f t="shared" si="599"/>
        <v>-60</v>
      </c>
      <c r="P2054" s="6">
        <f t="shared" si="596"/>
        <v>0</v>
      </c>
      <c r="Q2054" s="7">
        <f t="shared" si="590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597"/>
        <v>9</v>
      </c>
      <c r="C2055" s="5">
        <f t="shared" si="598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8" t="s">
        <v>1744</v>
      </c>
      <c r="H2055" s="13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00"/>
        <v>45170</v>
      </c>
      <c r="L2055" s="5">
        <f t="shared" si="601"/>
        <v>9</v>
      </c>
      <c r="M2055" s="5">
        <f t="shared" si="602"/>
        <v>2023</v>
      </c>
      <c r="N2055" s="95">
        <v>55.2</v>
      </c>
      <c r="O2055" s="6">
        <f t="shared" si="599"/>
        <v>-55.2</v>
      </c>
      <c r="P2055" s="6">
        <f t="shared" si="596"/>
        <v>0</v>
      </c>
      <c r="Q2055" s="7">
        <f t="shared" si="590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597"/>
        <v>9</v>
      </c>
      <c r="C2056" s="5">
        <f t="shared" si="598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8" t="s">
        <v>1119</v>
      </c>
      <c r="H2056" s="13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00"/>
        <v>45170</v>
      </c>
      <c r="L2056" s="5">
        <f t="shared" si="601"/>
        <v>9</v>
      </c>
      <c r="M2056" s="5">
        <f t="shared" si="602"/>
        <v>2023</v>
      </c>
      <c r="N2056" s="95">
        <v>100</v>
      </c>
      <c r="O2056" s="6">
        <f t="shared" si="599"/>
        <v>-100</v>
      </c>
      <c r="P2056" s="6">
        <f t="shared" si="596"/>
        <v>0</v>
      </c>
      <c r="Q2056" s="7">
        <f t="shared" si="590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597"/>
        <v>9</v>
      </c>
      <c r="C2057" s="5">
        <f t="shared" si="598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8" t="s">
        <v>615</v>
      </c>
      <c r="H2057" s="13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00"/>
        <v>45170</v>
      </c>
      <c r="L2057" s="5">
        <f t="shared" si="601"/>
        <v>9</v>
      </c>
      <c r="M2057" s="5">
        <f t="shared" si="602"/>
        <v>2023</v>
      </c>
      <c r="N2057" s="95">
        <v>430</v>
      </c>
      <c r="O2057" s="6">
        <f t="shared" si="599"/>
        <v>-430</v>
      </c>
      <c r="P2057" s="6">
        <f t="shared" si="596"/>
        <v>0</v>
      </c>
      <c r="Q2057" s="7">
        <f t="shared" si="590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597"/>
        <v>9</v>
      </c>
      <c r="C2058" s="5">
        <f t="shared" si="598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2" t="s">
        <v>1111</v>
      </c>
      <c r="H2058" s="13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00"/>
        <v>45170</v>
      </c>
      <c r="L2058" s="5">
        <f t="shared" si="601"/>
        <v>9</v>
      </c>
      <c r="M2058" s="5">
        <f t="shared" si="602"/>
        <v>2023</v>
      </c>
      <c r="N2058" s="95">
        <v>125</v>
      </c>
      <c r="O2058" s="6">
        <f>-N2058</f>
        <v>-125</v>
      </c>
      <c r="P2058" s="6">
        <f t="shared" si="596"/>
        <v>0</v>
      </c>
      <c r="Q2058" s="7">
        <f t="shared" si="590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597"/>
        <v>9</v>
      </c>
      <c r="C2059" s="5">
        <f t="shared" si="598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2" t="s">
        <v>1734</v>
      </c>
      <c r="H2059" s="13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00"/>
        <v>45170</v>
      </c>
      <c r="L2059" s="5">
        <f t="shared" si="601"/>
        <v>9</v>
      </c>
      <c r="M2059" s="5">
        <f t="shared" si="602"/>
        <v>2023</v>
      </c>
      <c r="N2059" s="95">
        <v>3212</v>
      </c>
      <c r="O2059" s="6">
        <f>-N2059</f>
        <v>-3212</v>
      </c>
      <c r="P2059" s="6">
        <f t="shared" si="596"/>
        <v>0</v>
      </c>
      <c r="Q2059" s="7">
        <f t="shared" si="590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597"/>
        <v>9</v>
      </c>
      <c r="C2060" s="5">
        <f t="shared" si="598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13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00"/>
        <v>45170</v>
      </c>
      <c r="L2060" s="5">
        <f t="shared" si="601"/>
        <v>9</v>
      </c>
      <c r="M2060" s="5">
        <f t="shared" si="602"/>
        <v>2023</v>
      </c>
      <c r="N2060" s="95">
        <v>1134</v>
      </c>
      <c r="O2060" s="6">
        <f>-N2060</f>
        <v>-1134</v>
      </c>
      <c r="P2060" s="6">
        <f t="shared" si="596"/>
        <v>0</v>
      </c>
      <c r="Q2060" s="7">
        <f t="shared" si="590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597"/>
        <v>9</v>
      </c>
      <c r="C2061" s="5">
        <f t="shared" si="598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13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00"/>
        <v>45170</v>
      </c>
      <c r="L2061" s="5">
        <f t="shared" si="601"/>
        <v>9</v>
      </c>
      <c r="M2061" s="5">
        <f t="shared" si="602"/>
        <v>2023</v>
      </c>
      <c r="N2061" s="95">
        <v>600</v>
      </c>
      <c r="O2061" s="6">
        <f>-N2061</f>
        <v>-600</v>
      </c>
      <c r="P2061" s="6">
        <f t="shared" si="596"/>
        <v>0</v>
      </c>
      <c r="Q2061" s="7">
        <f t="shared" si="590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597"/>
        <v>9</v>
      </c>
      <c r="C2062" s="5">
        <f t="shared" si="598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13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00"/>
        <v>45170</v>
      </c>
      <c r="L2062" s="5">
        <f t="shared" si="601"/>
        <v>9</v>
      </c>
      <c r="M2062" s="5">
        <f t="shared" si="602"/>
        <v>2023</v>
      </c>
      <c r="N2062" s="95">
        <v>1000</v>
      </c>
      <c r="O2062" s="6">
        <f>-N2062</f>
        <v>-1000</v>
      </c>
      <c r="P2062" s="6">
        <f t="shared" si="596"/>
        <v>0</v>
      </c>
      <c r="Q2062" s="7">
        <f t="shared" si="590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597"/>
        <v>9</v>
      </c>
      <c r="C2063" s="5">
        <f t="shared" si="598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8" t="s">
        <v>1179</v>
      </c>
      <c r="H2063" s="13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00"/>
        <v>45294</v>
      </c>
      <c r="L2063" s="5">
        <f t="shared" si="601"/>
        <v>1</v>
      </c>
      <c r="M2063" s="5">
        <f t="shared" si="602"/>
        <v>2024</v>
      </c>
      <c r="N2063" s="95">
        <v>9372</v>
      </c>
      <c r="O2063" s="6">
        <f t="shared" ref="O2063:O2066" si="603">-N2063</f>
        <v>-9372</v>
      </c>
      <c r="P2063" s="6">
        <f t="shared" si="596"/>
        <v>0</v>
      </c>
      <c r="Q2063" s="7">
        <f t="shared" si="590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597"/>
        <v>9</v>
      </c>
      <c r="C2064" s="5">
        <f t="shared" si="598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8" t="s">
        <v>1544</v>
      </c>
      <c r="H2064" s="13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00"/>
        <v>45294</v>
      </c>
      <c r="L2064" s="5">
        <f t="shared" si="601"/>
        <v>1</v>
      </c>
      <c r="M2064" s="5">
        <f t="shared" si="602"/>
        <v>2024</v>
      </c>
      <c r="N2064" s="95">
        <v>1800</v>
      </c>
      <c r="O2064" s="6">
        <f t="shared" si="603"/>
        <v>-1800</v>
      </c>
      <c r="P2064" s="6">
        <f t="shared" si="596"/>
        <v>0</v>
      </c>
      <c r="Q2064" s="7">
        <f t="shared" si="590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597"/>
        <v>9</v>
      </c>
      <c r="C2065" s="5">
        <f t="shared" si="598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8" t="s">
        <v>792</v>
      </c>
      <c r="H2065" s="13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00"/>
        <v>45294</v>
      </c>
      <c r="L2065" s="5">
        <f t="shared" si="601"/>
        <v>1</v>
      </c>
      <c r="M2065" s="5">
        <f t="shared" si="602"/>
        <v>2024</v>
      </c>
      <c r="N2065" s="95">
        <v>575</v>
      </c>
      <c r="O2065" s="6">
        <f t="shared" si="603"/>
        <v>-575</v>
      </c>
      <c r="P2065" s="6">
        <f t="shared" si="596"/>
        <v>0</v>
      </c>
      <c r="Q2065" s="7">
        <f t="shared" si="590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597"/>
        <v>9</v>
      </c>
      <c r="C2066" s="5">
        <f t="shared" si="598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8" t="s">
        <v>46</v>
      </c>
      <c r="H2066" s="13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00"/>
        <v>45294</v>
      </c>
      <c r="L2066" s="5">
        <f t="shared" si="601"/>
        <v>1</v>
      </c>
      <c r="M2066" s="5">
        <f t="shared" si="602"/>
        <v>2024</v>
      </c>
      <c r="N2066" s="95">
        <v>420</v>
      </c>
      <c r="O2066" s="6">
        <f t="shared" si="603"/>
        <v>-420</v>
      </c>
      <c r="P2066" s="6">
        <f t="shared" si="596"/>
        <v>0</v>
      </c>
      <c r="Q2066" s="7">
        <f t="shared" ref="Q2066:Q2129" si="604">SUM(Q2065+N2066)</f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597"/>
        <v>9</v>
      </c>
      <c r="C2067" s="5">
        <f t="shared" si="598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13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00"/>
        <v>45174</v>
      </c>
      <c r="L2067" s="5">
        <f t="shared" si="601"/>
        <v>9</v>
      </c>
      <c r="M2067" s="5">
        <f t="shared" si="602"/>
        <v>2023</v>
      </c>
      <c r="N2067" s="95">
        <v>1738</v>
      </c>
      <c r="O2067" s="6">
        <f t="shared" ref="O2067:O2078" si="605">-N2067</f>
        <v>-1738</v>
      </c>
      <c r="P2067" s="6">
        <f t="shared" si="596"/>
        <v>0</v>
      </c>
      <c r="Q2067" s="7">
        <f t="shared" si="60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597"/>
        <v>9</v>
      </c>
      <c r="C2068" s="5">
        <f t="shared" si="598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8" t="s">
        <v>304</v>
      </c>
      <c r="H2068" s="13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00"/>
        <v>45175</v>
      </c>
      <c r="L2068" s="5">
        <f t="shared" si="601"/>
        <v>9</v>
      </c>
      <c r="M2068" s="5">
        <f t="shared" si="602"/>
        <v>2023</v>
      </c>
      <c r="N2068" s="95">
        <v>3388</v>
      </c>
      <c r="O2068" s="6">
        <f t="shared" si="605"/>
        <v>-3388</v>
      </c>
      <c r="P2068" s="6">
        <f t="shared" si="596"/>
        <v>0</v>
      </c>
      <c r="Q2068" s="7">
        <f t="shared" si="60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597"/>
        <v>9</v>
      </c>
      <c r="C2069" s="5">
        <f t="shared" si="598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8" t="s">
        <v>989</v>
      </c>
      <c r="H2069" s="13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00"/>
        <v>45175</v>
      </c>
      <c r="L2069" s="5">
        <f t="shared" si="601"/>
        <v>9</v>
      </c>
      <c r="M2069" s="5">
        <f t="shared" si="602"/>
        <v>2023</v>
      </c>
      <c r="N2069" s="95">
        <v>1404</v>
      </c>
      <c r="O2069" s="6">
        <f t="shared" si="605"/>
        <v>-1404</v>
      </c>
      <c r="P2069" s="6">
        <f t="shared" si="596"/>
        <v>0</v>
      </c>
      <c r="Q2069" s="7">
        <f t="shared" si="60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597"/>
        <v>9</v>
      </c>
      <c r="C2070" s="5">
        <f t="shared" si="598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8" t="s">
        <v>1469</v>
      </c>
      <c r="H2070" s="13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00"/>
        <v>45175</v>
      </c>
      <c r="L2070" s="5">
        <f t="shared" si="601"/>
        <v>9</v>
      </c>
      <c r="M2070" s="5">
        <f t="shared" si="602"/>
        <v>2023</v>
      </c>
      <c r="N2070" s="95">
        <v>645</v>
      </c>
      <c r="O2070" s="6">
        <f t="shared" si="605"/>
        <v>-645</v>
      </c>
      <c r="P2070" s="6">
        <f t="shared" si="596"/>
        <v>0</v>
      </c>
      <c r="Q2070" s="7">
        <f t="shared" si="60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597"/>
        <v>9</v>
      </c>
      <c r="C2071" s="5">
        <f t="shared" si="598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8" t="s">
        <v>1887</v>
      </c>
      <c r="H2071" s="13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00"/>
        <v>45175</v>
      </c>
      <c r="L2071" s="5">
        <f t="shared" si="601"/>
        <v>9</v>
      </c>
      <c r="M2071" s="5">
        <f t="shared" si="602"/>
        <v>2023</v>
      </c>
      <c r="N2071" s="95">
        <v>320</v>
      </c>
      <c r="O2071" s="6">
        <f t="shared" si="605"/>
        <v>-320</v>
      </c>
      <c r="P2071" s="6">
        <f t="shared" si="596"/>
        <v>0</v>
      </c>
      <c r="Q2071" s="7">
        <f t="shared" si="60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597"/>
        <v>9</v>
      </c>
      <c r="C2072" s="5">
        <f t="shared" si="598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8" t="s">
        <v>1716</v>
      </c>
      <c r="H2072" s="13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00"/>
        <v>45175</v>
      </c>
      <c r="L2072" s="5">
        <f t="shared" si="601"/>
        <v>9</v>
      </c>
      <c r="M2072" s="5">
        <f t="shared" si="602"/>
        <v>2023</v>
      </c>
      <c r="N2072" s="95">
        <v>165</v>
      </c>
      <c r="O2072" s="6">
        <f t="shared" si="605"/>
        <v>-165</v>
      </c>
      <c r="P2072" s="6">
        <f t="shared" si="596"/>
        <v>0</v>
      </c>
      <c r="Q2072" s="7">
        <f t="shared" si="60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597"/>
        <v>9</v>
      </c>
      <c r="C2073" s="5">
        <f t="shared" si="598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8" t="s">
        <v>1062</v>
      </c>
      <c r="H2073" s="13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00"/>
        <v>45175</v>
      </c>
      <c r="L2073" s="5">
        <f t="shared" si="601"/>
        <v>9</v>
      </c>
      <c r="M2073" s="5">
        <f t="shared" si="602"/>
        <v>2023</v>
      </c>
      <c r="N2073" s="95">
        <v>95</v>
      </c>
      <c r="O2073" s="6">
        <f t="shared" si="605"/>
        <v>-95</v>
      </c>
      <c r="P2073" s="6">
        <f t="shared" si="596"/>
        <v>0</v>
      </c>
      <c r="Q2073" s="7">
        <f t="shared" si="60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597"/>
        <v>9</v>
      </c>
      <c r="C2074" s="5">
        <f t="shared" si="598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8" t="s">
        <v>1111</v>
      </c>
      <c r="H2074" s="13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00"/>
        <v>45175</v>
      </c>
      <c r="L2074" s="5">
        <f t="shared" si="601"/>
        <v>9</v>
      </c>
      <c r="M2074" s="5">
        <f t="shared" si="602"/>
        <v>2023</v>
      </c>
      <c r="N2074" s="95">
        <v>62.5</v>
      </c>
      <c r="O2074" s="6">
        <f t="shared" si="605"/>
        <v>-62.5</v>
      </c>
      <c r="P2074" s="6">
        <f t="shared" si="596"/>
        <v>0</v>
      </c>
      <c r="Q2074" s="7">
        <f t="shared" si="60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597"/>
        <v>9</v>
      </c>
      <c r="C2075" s="5">
        <f t="shared" si="598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32" t="s">
        <v>717</v>
      </c>
      <c r="H2075" s="13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00"/>
        <v>45176</v>
      </c>
      <c r="L2075" s="5">
        <f t="shared" si="601"/>
        <v>9</v>
      </c>
      <c r="M2075" s="5">
        <f t="shared" si="602"/>
        <v>2023</v>
      </c>
      <c r="N2075" s="95">
        <v>1738</v>
      </c>
      <c r="O2075" s="6">
        <f t="shared" si="605"/>
        <v>-1738</v>
      </c>
      <c r="P2075" s="6">
        <f t="shared" si="596"/>
        <v>0</v>
      </c>
      <c r="Q2075" s="7">
        <f t="shared" si="604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597"/>
        <v>9</v>
      </c>
      <c r="C2076" s="5">
        <f t="shared" si="598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8" t="s">
        <v>655</v>
      </c>
      <c r="H2076" s="13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00"/>
        <v>45176</v>
      </c>
      <c r="L2076" s="5">
        <f t="shared" si="601"/>
        <v>9</v>
      </c>
      <c r="M2076" s="5">
        <f t="shared" si="602"/>
        <v>2023</v>
      </c>
      <c r="N2076" s="95">
        <v>468</v>
      </c>
      <c r="O2076" s="6">
        <f t="shared" si="605"/>
        <v>-468</v>
      </c>
      <c r="P2076" s="6">
        <f t="shared" si="596"/>
        <v>0</v>
      </c>
      <c r="Q2076" s="7">
        <f t="shared" si="604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597"/>
        <v>9</v>
      </c>
      <c r="C2077" s="5">
        <f t="shared" si="598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8" t="s">
        <v>1062</v>
      </c>
      <c r="H2077" s="13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00"/>
        <v>45176</v>
      </c>
      <c r="L2077" s="5">
        <f t="shared" si="601"/>
        <v>9</v>
      </c>
      <c r="M2077" s="5">
        <f t="shared" si="602"/>
        <v>2023</v>
      </c>
      <c r="N2077" s="95">
        <v>95</v>
      </c>
      <c r="O2077" s="6">
        <f t="shared" si="605"/>
        <v>-95</v>
      </c>
      <c r="P2077" s="6">
        <f t="shared" si="596"/>
        <v>0</v>
      </c>
      <c r="Q2077" s="7">
        <f t="shared" si="604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597"/>
        <v>9</v>
      </c>
      <c r="C2078" s="5">
        <f t="shared" si="598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8" t="s">
        <v>1111</v>
      </c>
      <c r="H2078" s="13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00"/>
        <v>45176</v>
      </c>
      <c r="L2078" s="5">
        <f t="shared" si="601"/>
        <v>9</v>
      </c>
      <c r="M2078" s="5">
        <f t="shared" si="602"/>
        <v>2023</v>
      </c>
      <c r="N2078" s="95">
        <v>312.5</v>
      </c>
      <c r="O2078" s="6">
        <f t="shared" si="605"/>
        <v>-312.5</v>
      </c>
      <c r="P2078" s="6">
        <f t="shared" si="596"/>
        <v>0</v>
      </c>
      <c r="Q2078" s="7">
        <f t="shared" si="604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597"/>
        <v>9</v>
      </c>
      <c r="C2079" s="5">
        <f t="shared" si="598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8" t="s">
        <v>95</v>
      </c>
      <c r="H2079" s="13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00"/>
        <v>45177</v>
      </c>
      <c r="L2079" s="5">
        <f t="shared" si="601"/>
        <v>9</v>
      </c>
      <c r="M2079" s="5">
        <f t="shared" si="602"/>
        <v>2023</v>
      </c>
      <c r="N2079" s="95">
        <v>1738</v>
      </c>
      <c r="O2079" s="6">
        <f>-158.6-1500-79.4</f>
        <v>-1738</v>
      </c>
      <c r="P2079" s="6">
        <f t="shared" si="596"/>
        <v>0</v>
      </c>
      <c r="Q2079" s="7">
        <f t="shared" si="604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597"/>
        <v>9</v>
      </c>
      <c r="C2080" s="5">
        <f t="shared" si="598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8" t="s">
        <v>1613</v>
      </c>
      <c r="H2080" s="13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00"/>
        <v>45177</v>
      </c>
      <c r="L2080" s="5">
        <f t="shared" si="601"/>
        <v>9</v>
      </c>
      <c r="M2080" s="5">
        <f t="shared" si="602"/>
        <v>2023</v>
      </c>
      <c r="N2080" s="95">
        <v>522.6</v>
      </c>
      <c r="O2080" s="6">
        <f t="shared" ref="O2080:O2083" si="606">-N2080</f>
        <v>-522.6</v>
      </c>
      <c r="P2080" s="6">
        <f t="shared" si="596"/>
        <v>0</v>
      </c>
      <c r="Q2080" s="7">
        <f t="shared" si="604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597"/>
        <v>9</v>
      </c>
      <c r="C2081" s="5">
        <f t="shared" si="598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8" t="s">
        <v>792</v>
      </c>
      <c r="H2081" s="13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00"/>
        <v>45177</v>
      </c>
      <c r="L2081" s="5">
        <f t="shared" si="601"/>
        <v>9</v>
      </c>
      <c r="M2081" s="5">
        <f t="shared" si="602"/>
        <v>2023</v>
      </c>
      <c r="N2081" s="95">
        <v>250</v>
      </c>
      <c r="O2081" s="6">
        <f t="shared" si="606"/>
        <v>-250</v>
      </c>
      <c r="P2081" s="6">
        <f t="shared" si="596"/>
        <v>0</v>
      </c>
      <c r="Q2081" s="7">
        <f t="shared" si="604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597"/>
        <v>9</v>
      </c>
      <c r="C2082" s="5">
        <f t="shared" si="598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8" t="s">
        <v>46</v>
      </c>
      <c r="H2082" s="13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00"/>
        <v>45177</v>
      </c>
      <c r="L2082" s="5">
        <f t="shared" si="601"/>
        <v>9</v>
      </c>
      <c r="M2082" s="5">
        <f t="shared" si="602"/>
        <v>2023</v>
      </c>
      <c r="N2082" s="95">
        <v>105</v>
      </c>
      <c r="O2082" s="6">
        <f t="shared" si="606"/>
        <v>-105</v>
      </c>
      <c r="P2082" s="6">
        <f t="shared" si="596"/>
        <v>0</v>
      </c>
      <c r="Q2082" s="7">
        <f t="shared" si="604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597"/>
        <v>9</v>
      </c>
      <c r="C2083" s="5">
        <f t="shared" si="598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8" t="s">
        <v>1470</v>
      </c>
      <c r="H2083" s="13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00"/>
        <v>45177</v>
      </c>
      <c r="L2083" s="5">
        <f t="shared" si="601"/>
        <v>9</v>
      </c>
      <c r="M2083" s="5">
        <f t="shared" si="602"/>
        <v>2023</v>
      </c>
      <c r="N2083" s="95">
        <v>390</v>
      </c>
      <c r="O2083" s="6">
        <f t="shared" si="606"/>
        <v>-390</v>
      </c>
      <c r="P2083" s="6">
        <f t="shared" si="596"/>
        <v>0</v>
      </c>
      <c r="Q2083" s="7">
        <f t="shared" si="604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597"/>
        <v>9</v>
      </c>
      <c r="C2084" s="5">
        <f t="shared" si="598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13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00"/>
        <v>45237</v>
      </c>
      <c r="L2084" s="5">
        <f t="shared" si="601"/>
        <v>11</v>
      </c>
      <c r="M2084" s="5">
        <f t="shared" si="602"/>
        <v>2023</v>
      </c>
      <c r="N2084" s="95">
        <v>540</v>
      </c>
      <c r="O2084" s="6">
        <f t="shared" ref="O2084" si="607">-N2084</f>
        <v>-540</v>
      </c>
      <c r="P2084" s="6">
        <f t="shared" si="596"/>
        <v>0</v>
      </c>
      <c r="Q2084" s="7">
        <f t="shared" si="604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597"/>
        <v>9</v>
      </c>
      <c r="C2085" s="5">
        <f t="shared" si="598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2" t="s">
        <v>1111</v>
      </c>
      <c r="H2085" s="13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00"/>
        <v>45178</v>
      </c>
      <c r="L2085" s="5">
        <f t="shared" si="601"/>
        <v>9</v>
      </c>
      <c r="M2085" s="5">
        <f t="shared" si="602"/>
        <v>2023</v>
      </c>
      <c r="N2085" s="95">
        <v>125</v>
      </c>
      <c r="O2085" s="6">
        <f>-N2085</f>
        <v>-125</v>
      </c>
      <c r="P2085" s="6">
        <f t="shared" si="596"/>
        <v>0</v>
      </c>
      <c r="Q2085" s="7">
        <f t="shared" si="604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597"/>
        <v>9</v>
      </c>
      <c r="C2086" s="5">
        <f t="shared" si="598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2" t="s">
        <v>1734</v>
      </c>
      <c r="H2086" s="13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00"/>
        <v>45178</v>
      </c>
      <c r="L2086" s="5">
        <f t="shared" si="601"/>
        <v>9</v>
      </c>
      <c r="M2086" s="5">
        <f t="shared" si="602"/>
        <v>2023</v>
      </c>
      <c r="N2086" s="95">
        <v>3212</v>
      </c>
      <c r="O2086" s="6">
        <f>-N2086</f>
        <v>-3212</v>
      </c>
      <c r="P2086" s="6">
        <f t="shared" si="596"/>
        <v>0</v>
      </c>
      <c r="Q2086" s="7">
        <f t="shared" si="604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597"/>
        <v>9</v>
      </c>
      <c r="C2087" s="5">
        <f t="shared" si="598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13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00"/>
        <v>45178</v>
      </c>
      <c r="L2087" s="5">
        <f t="shared" si="601"/>
        <v>9</v>
      </c>
      <c r="M2087" s="5">
        <f t="shared" si="602"/>
        <v>2023</v>
      </c>
      <c r="N2087" s="95">
        <v>1134</v>
      </c>
      <c r="O2087" s="6">
        <f>-N2087</f>
        <v>-1134</v>
      </c>
      <c r="P2087" s="6">
        <f t="shared" si="596"/>
        <v>0</v>
      </c>
      <c r="Q2087" s="7">
        <f t="shared" si="604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597"/>
        <v>9</v>
      </c>
      <c r="C2088" s="5">
        <f t="shared" si="598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13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00"/>
        <v>45178</v>
      </c>
      <c r="L2088" s="5">
        <f t="shared" si="601"/>
        <v>9</v>
      </c>
      <c r="M2088" s="5">
        <f t="shared" si="602"/>
        <v>2023</v>
      </c>
      <c r="N2088" s="95">
        <v>400</v>
      </c>
      <c r="O2088" s="6">
        <f>-N2088</f>
        <v>-400</v>
      </c>
      <c r="P2088" s="6">
        <f t="shared" si="596"/>
        <v>0</v>
      </c>
      <c r="Q2088" s="7">
        <f t="shared" si="604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597"/>
        <v>9</v>
      </c>
      <c r="C2089" s="5">
        <f t="shared" si="598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13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00"/>
        <v>45178</v>
      </c>
      <c r="L2089" s="5">
        <f t="shared" si="601"/>
        <v>9</v>
      </c>
      <c r="M2089" s="5">
        <f t="shared" si="602"/>
        <v>2023</v>
      </c>
      <c r="N2089" s="95">
        <v>1000</v>
      </c>
      <c r="O2089" s="6">
        <f>-N2089</f>
        <v>-1000</v>
      </c>
      <c r="P2089" s="6">
        <f t="shared" si="596"/>
        <v>0</v>
      </c>
      <c r="Q2089" s="7">
        <f t="shared" si="604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597"/>
        <v>9</v>
      </c>
      <c r="C2090" s="5">
        <f t="shared" si="598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8" t="s">
        <v>1119</v>
      </c>
      <c r="H2090" s="13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00"/>
        <v>45178</v>
      </c>
      <c r="L2090" s="5">
        <f t="shared" si="601"/>
        <v>9</v>
      </c>
      <c r="M2090" s="5">
        <f t="shared" si="602"/>
        <v>2023</v>
      </c>
      <c r="N2090" s="95">
        <v>48</v>
      </c>
      <c r="O2090" s="6">
        <f t="shared" ref="O2090:O2093" si="608">-N2090</f>
        <v>-48</v>
      </c>
      <c r="P2090" s="6">
        <f t="shared" si="596"/>
        <v>0</v>
      </c>
      <c r="Q2090" s="7">
        <f t="shared" si="60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597"/>
        <v>9</v>
      </c>
      <c r="C2091" s="5">
        <f t="shared" si="598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8" t="s">
        <v>1895</v>
      </c>
      <c r="H2091" s="13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00"/>
        <v>45180</v>
      </c>
      <c r="L2091" s="5">
        <f t="shared" si="601"/>
        <v>9</v>
      </c>
      <c r="M2091" s="5">
        <f t="shared" si="602"/>
        <v>2023</v>
      </c>
      <c r="N2091" s="95">
        <v>1738</v>
      </c>
      <c r="O2091" s="6">
        <f t="shared" si="608"/>
        <v>-1738</v>
      </c>
      <c r="P2091" s="6">
        <f t="shared" si="596"/>
        <v>0</v>
      </c>
      <c r="Q2091" s="7">
        <f t="shared" si="60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597"/>
        <v>9</v>
      </c>
      <c r="C2092" s="5">
        <f t="shared" si="598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8" t="s">
        <v>1896</v>
      </c>
      <c r="H2092" s="13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00"/>
        <v>45180</v>
      </c>
      <c r="L2092" s="5">
        <f t="shared" si="601"/>
        <v>9</v>
      </c>
      <c r="M2092" s="5">
        <f t="shared" si="602"/>
        <v>2023</v>
      </c>
      <c r="N2092" s="95">
        <v>48</v>
      </c>
      <c r="O2092" s="6">
        <f t="shared" si="608"/>
        <v>-48</v>
      </c>
      <c r="P2092" s="6">
        <f t="shared" si="596"/>
        <v>0</v>
      </c>
      <c r="Q2092" s="7">
        <f t="shared" si="60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597"/>
        <v>9</v>
      </c>
      <c r="C2093" s="5">
        <f t="shared" si="598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8" t="s">
        <v>865</v>
      </c>
      <c r="H2093" s="13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00"/>
        <v>45180</v>
      </c>
      <c r="L2093" s="5">
        <f t="shared" si="601"/>
        <v>9</v>
      </c>
      <c r="M2093" s="5">
        <f t="shared" si="602"/>
        <v>2023</v>
      </c>
      <c r="N2093" s="95">
        <v>340</v>
      </c>
      <c r="O2093" s="6">
        <f t="shared" si="608"/>
        <v>-340</v>
      </c>
      <c r="P2093" s="6">
        <f t="shared" si="596"/>
        <v>0</v>
      </c>
      <c r="Q2093" s="7">
        <f t="shared" si="60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597"/>
        <v>9</v>
      </c>
      <c r="C2094" s="5">
        <f t="shared" si="598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8" t="s">
        <v>1198</v>
      </c>
      <c r="H2094" s="13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00"/>
        <v>45181</v>
      </c>
      <c r="L2094" s="5">
        <f t="shared" si="601"/>
        <v>9</v>
      </c>
      <c r="M2094" s="5">
        <f t="shared" si="602"/>
        <v>2023</v>
      </c>
      <c r="N2094" s="95">
        <v>1738</v>
      </c>
      <c r="O2094" s="6">
        <f>-6.7-1731.3</f>
        <v>-1738</v>
      </c>
      <c r="P2094" s="6">
        <f t="shared" ref="P2094:P2118" si="609">SUM(N2094+O2094)</f>
        <v>0</v>
      </c>
      <c r="Q2094" s="7">
        <f t="shared" si="604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597"/>
        <v>9</v>
      </c>
      <c r="C2095" s="5">
        <f t="shared" si="598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8" t="s">
        <v>1432</v>
      </c>
      <c r="H2095" s="13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00"/>
        <v>45181</v>
      </c>
      <c r="L2095" s="5">
        <f t="shared" si="601"/>
        <v>9</v>
      </c>
      <c r="M2095" s="5">
        <f t="shared" si="602"/>
        <v>2023</v>
      </c>
      <c r="N2095" s="95">
        <v>219</v>
      </c>
      <c r="O2095" s="6">
        <f t="shared" ref="O2095:O2100" si="610">-N2095</f>
        <v>-219</v>
      </c>
      <c r="P2095" s="6">
        <f t="shared" si="609"/>
        <v>0</v>
      </c>
      <c r="Q2095" s="7">
        <f t="shared" si="604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597"/>
        <v>9</v>
      </c>
      <c r="C2096" s="5">
        <f t="shared" si="598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8" t="s">
        <v>1797</v>
      </c>
      <c r="H2096" s="13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00"/>
        <v>45181</v>
      </c>
      <c r="L2096" s="5">
        <f t="shared" si="601"/>
        <v>9</v>
      </c>
      <c r="M2096" s="5">
        <f t="shared" si="602"/>
        <v>2023</v>
      </c>
      <c r="N2096" s="95">
        <v>438</v>
      </c>
      <c r="O2096" s="6">
        <f>-49.7-388.3</f>
        <v>-438</v>
      </c>
      <c r="P2096" s="6">
        <f t="shared" si="609"/>
        <v>0</v>
      </c>
      <c r="Q2096" s="7">
        <f t="shared" si="604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597"/>
        <v>9</v>
      </c>
      <c r="C2097" s="5">
        <f t="shared" si="598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8" t="s">
        <v>1818</v>
      </c>
      <c r="H2097" s="13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00"/>
        <v>45181</v>
      </c>
      <c r="L2097" s="5">
        <f t="shared" si="601"/>
        <v>9</v>
      </c>
      <c r="M2097" s="5">
        <f t="shared" si="602"/>
        <v>2023</v>
      </c>
      <c r="N2097" s="95">
        <v>236</v>
      </c>
      <c r="O2097" s="6">
        <f t="shared" si="610"/>
        <v>-236</v>
      </c>
      <c r="P2097" s="6">
        <f t="shared" si="609"/>
        <v>0</v>
      </c>
      <c r="Q2097" s="7">
        <f t="shared" si="604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597"/>
        <v>9</v>
      </c>
      <c r="C2098" s="5">
        <f t="shared" si="598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8" t="s">
        <v>1062</v>
      </c>
      <c r="H2098" s="13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00"/>
        <v>45181</v>
      </c>
      <c r="L2098" s="5">
        <f t="shared" si="601"/>
        <v>9</v>
      </c>
      <c r="M2098" s="5">
        <f t="shared" si="602"/>
        <v>2023</v>
      </c>
      <c r="N2098" s="95">
        <v>190</v>
      </c>
      <c r="O2098" s="6">
        <f t="shared" si="610"/>
        <v>-190</v>
      </c>
      <c r="P2098" s="6">
        <f t="shared" si="609"/>
        <v>0</v>
      </c>
      <c r="Q2098" s="7">
        <f t="shared" si="604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597"/>
        <v>9</v>
      </c>
      <c r="C2099" s="5">
        <f t="shared" si="598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8" t="s">
        <v>1111</v>
      </c>
      <c r="H2099" s="13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00"/>
        <v>45181</v>
      </c>
      <c r="L2099" s="5">
        <f t="shared" si="601"/>
        <v>9</v>
      </c>
      <c r="M2099" s="5">
        <f t="shared" si="602"/>
        <v>2023</v>
      </c>
      <c r="N2099" s="95">
        <v>125</v>
      </c>
      <c r="O2099" s="6">
        <f t="shared" si="610"/>
        <v>-125</v>
      </c>
      <c r="P2099" s="6">
        <f t="shared" si="609"/>
        <v>0</v>
      </c>
      <c r="Q2099" s="7">
        <f t="shared" si="604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597"/>
        <v>9</v>
      </c>
      <c r="C2100" s="5">
        <f t="shared" si="598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8" t="s">
        <v>1243</v>
      </c>
      <c r="H2100" s="13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00"/>
        <v>45181</v>
      </c>
      <c r="L2100" s="5">
        <f t="shared" si="601"/>
        <v>9</v>
      </c>
      <c r="M2100" s="5">
        <f t="shared" si="602"/>
        <v>2023</v>
      </c>
      <c r="N2100" s="95">
        <v>834</v>
      </c>
      <c r="O2100" s="6">
        <f t="shared" si="610"/>
        <v>-834</v>
      </c>
      <c r="P2100" s="6">
        <f t="shared" si="609"/>
        <v>0</v>
      </c>
      <c r="Q2100" s="7">
        <f t="shared" si="604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597"/>
        <v>9</v>
      </c>
      <c r="C2101" s="5">
        <f t="shared" si="598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8" t="s">
        <v>67</v>
      </c>
      <c r="H2101" s="13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00"/>
        <v>45225</v>
      </c>
      <c r="L2101" s="5">
        <f t="shared" si="601"/>
        <v>10</v>
      </c>
      <c r="M2101" s="5">
        <f t="shared" si="602"/>
        <v>2023</v>
      </c>
      <c r="N2101" s="95">
        <v>1870</v>
      </c>
      <c r="O2101" s="6">
        <f>-N2101</f>
        <v>-1870</v>
      </c>
      <c r="P2101" s="6">
        <f t="shared" si="609"/>
        <v>0</v>
      </c>
      <c r="Q2101" s="7">
        <f t="shared" si="604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597"/>
        <v>9</v>
      </c>
      <c r="C2102" s="5">
        <f t="shared" si="598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8" t="s">
        <v>17</v>
      </c>
      <c r="H2102" s="13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00"/>
        <v>45225</v>
      </c>
      <c r="L2102" s="5">
        <f t="shared" si="601"/>
        <v>10</v>
      </c>
      <c r="M2102" s="5">
        <f t="shared" si="602"/>
        <v>2023</v>
      </c>
      <c r="N2102" s="95">
        <v>220</v>
      </c>
      <c r="O2102" s="6">
        <f>-N2102</f>
        <v>-220</v>
      </c>
      <c r="P2102" s="6">
        <f t="shared" si="609"/>
        <v>0</v>
      </c>
      <c r="Q2102" s="7">
        <f t="shared" si="604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597"/>
        <v>9</v>
      </c>
      <c r="C2103" s="5">
        <f t="shared" si="598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134" t="s">
        <v>304</v>
      </c>
      <c r="H2103" s="13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00"/>
        <v>45183</v>
      </c>
      <c r="L2103" s="5">
        <f t="shared" si="601"/>
        <v>9</v>
      </c>
      <c r="M2103" s="5">
        <f t="shared" si="602"/>
        <v>2023</v>
      </c>
      <c r="N2103" s="95">
        <v>5082</v>
      </c>
      <c r="O2103" s="6">
        <f t="shared" ref="O2103:O2108" si="611">-N2103</f>
        <v>-5082</v>
      </c>
      <c r="P2103" s="6">
        <f t="shared" si="609"/>
        <v>0</v>
      </c>
      <c r="Q2103" s="7">
        <f t="shared" si="60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597"/>
        <v>9</v>
      </c>
      <c r="C2104" s="5">
        <f t="shared" si="598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13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00"/>
        <v>45183</v>
      </c>
      <c r="L2104" s="5">
        <f t="shared" si="601"/>
        <v>9</v>
      </c>
      <c r="M2104" s="5">
        <f t="shared" si="602"/>
        <v>2023</v>
      </c>
      <c r="N2104" s="95">
        <v>1170</v>
      </c>
      <c r="O2104" s="6">
        <f t="shared" si="611"/>
        <v>-1170</v>
      </c>
      <c r="P2104" s="6">
        <f t="shared" si="609"/>
        <v>0</v>
      </c>
      <c r="Q2104" s="7">
        <f t="shared" si="60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597"/>
        <v>9</v>
      </c>
      <c r="C2105" s="5">
        <f t="shared" si="598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13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00"/>
        <v>45183</v>
      </c>
      <c r="L2105" s="5">
        <f t="shared" si="601"/>
        <v>9</v>
      </c>
      <c r="M2105" s="5">
        <f t="shared" si="602"/>
        <v>2023</v>
      </c>
      <c r="N2105" s="95">
        <v>645</v>
      </c>
      <c r="O2105" s="6">
        <f t="shared" si="611"/>
        <v>-645</v>
      </c>
      <c r="P2105" s="6">
        <f t="shared" si="609"/>
        <v>0</v>
      </c>
      <c r="Q2105" s="7">
        <f t="shared" si="60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597"/>
        <v>9</v>
      </c>
      <c r="C2106" s="5">
        <f t="shared" si="598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13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00"/>
        <v>45183</v>
      </c>
      <c r="L2106" s="5">
        <f t="shared" si="601"/>
        <v>9</v>
      </c>
      <c r="M2106" s="5">
        <f t="shared" si="602"/>
        <v>2023</v>
      </c>
      <c r="N2106" s="95">
        <v>640</v>
      </c>
      <c r="O2106" s="6">
        <f t="shared" si="611"/>
        <v>-640</v>
      </c>
      <c r="P2106" s="6">
        <f t="shared" si="609"/>
        <v>0</v>
      </c>
      <c r="Q2106" s="7">
        <f t="shared" si="60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597"/>
        <v>9</v>
      </c>
      <c r="C2107" s="5">
        <f t="shared" si="598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13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00"/>
        <v>45183</v>
      </c>
      <c r="L2107" s="5">
        <f t="shared" si="601"/>
        <v>9</v>
      </c>
      <c r="M2107" s="5">
        <f t="shared" si="602"/>
        <v>2023</v>
      </c>
      <c r="N2107" s="95">
        <v>330</v>
      </c>
      <c r="O2107" s="6">
        <f t="shared" si="611"/>
        <v>-330</v>
      </c>
      <c r="P2107" s="6">
        <f t="shared" si="609"/>
        <v>0</v>
      </c>
      <c r="Q2107" s="7">
        <f t="shared" si="60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12">MONTH(A2108)</f>
        <v>9</v>
      </c>
      <c r="C2108" s="5">
        <f t="shared" ref="C2108:C2118" si="613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8" t="s">
        <v>1062</v>
      </c>
      <c r="H2108" s="13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00"/>
        <v>45183</v>
      </c>
      <c r="L2108" s="5">
        <f t="shared" si="601"/>
        <v>9</v>
      </c>
      <c r="M2108" s="5">
        <f t="shared" si="602"/>
        <v>2023</v>
      </c>
      <c r="N2108" s="95">
        <v>95</v>
      </c>
      <c r="O2108" s="6">
        <f t="shared" si="611"/>
        <v>-95</v>
      </c>
      <c r="P2108" s="6">
        <f t="shared" si="609"/>
        <v>0</v>
      </c>
      <c r="Q2108" s="7">
        <f t="shared" si="604"/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12"/>
        <v>9</v>
      </c>
      <c r="C2109" s="5">
        <f t="shared" si="613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8" t="s">
        <v>1111</v>
      </c>
      <c r="H2109" s="13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00"/>
        <v>45183</v>
      </c>
      <c r="L2109" s="5">
        <f t="shared" si="601"/>
        <v>9</v>
      </c>
      <c r="M2109" s="5">
        <f t="shared" si="602"/>
        <v>2023</v>
      </c>
      <c r="N2109" s="95">
        <v>125</v>
      </c>
      <c r="O2109" s="6">
        <f t="shared" ref="O2109" si="614">-N2109</f>
        <v>-125</v>
      </c>
      <c r="P2109" s="6">
        <f t="shared" si="609"/>
        <v>0</v>
      </c>
      <c r="Q2109" s="7">
        <f t="shared" si="604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12"/>
        <v>9</v>
      </c>
      <c r="C2110" s="5">
        <f t="shared" si="613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8" t="s">
        <v>1111</v>
      </c>
      <c r="H2110" s="13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00"/>
        <v>45182</v>
      </c>
      <c r="L2110" s="5">
        <f t="shared" si="601"/>
        <v>9</v>
      </c>
      <c r="M2110" s="5">
        <f t="shared" si="602"/>
        <v>2023</v>
      </c>
      <c r="N2110" s="95">
        <v>125</v>
      </c>
      <c r="O2110" s="6">
        <f>-N2110</f>
        <v>-125</v>
      </c>
      <c r="P2110" s="6">
        <f t="shared" si="609"/>
        <v>0</v>
      </c>
      <c r="Q2110" s="7">
        <f t="shared" si="604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12"/>
        <v>9</v>
      </c>
      <c r="C2111" s="5">
        <f t="shared" si="613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2" t="s">
        <v>1734</v>
      </c>
      <c r="H2111" s="13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00"/>
        <v>45182</v>
      </c>
      <c r="L2111" s="5">
        <f t="shared" si="601"/>
        <v>9</v>
      </c>
      <c r="M2111" s="5">
        <f t="shared" si="602"/>
        <v>2023</v>
      </c>
      <c r="N2111" s="95">
        <v>3212</v>
      </c>
      <c r="O2111" s="6">
        <f>-N2111</f>
        <v>-3212</v>
      </c>
      <c r="P2111" s="6">
        <f t="shared" si="609"/>
        <v>0</v>
      </c>
      <c r="Q2111" s="7">
        <f t="shared" si="604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12"/>
        <v>9</v>
      </c>
      <c r="C2112" s="5">
        <f t="shared" si="613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13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00"/>
        <v>45182</v>
      </c>
      <c r="L2112" s="5">
        <f t="shared" si="601"/>
        <v>9</v>
      </c>
      <c r="M2112" s="5">
        <f t="shared" si="602"/>
        <v>2023</v>
      </c>
      <c r="N2112" s="95">
        <v>1134</v>
      </c>
      <c r="O2112" s="6">
        <f>-544.2-589.8</f>
        <v>-1134</v>
      </c>
      <c r="P2112" s="6">
        <f t="shared" si="609"/>
        <v>0</v>
      </c>
      <c r="Q2112" s="7">
        <f t="shared" si="604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12"/>
        <v>9</v>
      </c>
      <c r="C2113" s="5">
        <f t="shared" si="613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13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00"/>
        <v>45182</v>
      </c>
      <c r="L2113" s="5">
        <f t="shared" si="601"/>
        <v>9</v>
      </c>
      <c r="M2113" s="5">
        <f t="shared" si="602"/>
        <v>2023</v>
      </c>
      <c r="N2113" s="95">
        <v>600</v>
      </c>
      <c r="O2113" s="6">
        <f>-N2113</f>
        <v>-600</v>
      </c>
      <c r="P2113" s="6">
        <f t="shared" si="609"/>
        <v>0</v>
      </c>
      <c r="Q2113" s="7">
        <f t="shared" si="604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12"/>
        <v>9</v>
      </c>
      <c r="C2114" s="5">
        <f t="shared" si="613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13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00"/>
        <v>45182</v>
      </c>
      <c r="L2114" s="5">
        <f t="shared" si="601"/>
        <v>9</v>
      </c>
      <c r="M2114" s="5">
        <f t="shared" si="602"/>
        <v>2023</v>
      </c>
      <c r="N2114" s="95">
        <v>380</v>
      </c>
      <c r="O2114" s="6">
        <f>-N2114</f>
        <v>-380</v>
      </c>
      <c r="P2114" s="6">
        <f t="shared" si="609"/>
        <v>0</v>
      </c>
      <c r="Q2114" s="7">
        <f t="shared" si="604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12"/>
        <v>9</v>
      </c>
      <c r="C2115" s="5">
        <f t="shared" si="613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8" t="s">
        <v>1469</v>
      </c>
      <c r="H2115" s="13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15">A2115+J2115</f>
        <v>45182</v>
      </c>
      <c r="L2115" s="5">
        <f t="shared" ref="L2115:L2178" si="616">MONTH(K2115)</f>
        <v>9</v>
      </c>
      <c r="M2115" s="5">
        <f t="shared" ref="M2115:M2178" si="617">YEAR(K2115)</f>
        <v>2023</v>
      </c>
      <c r="N2115" s="95">
        <v>322.5</v>
      </c>
      <c r="O2115" s="6">
        <f t="shared" ref="O2115" si="618">-N2115</f>
        <v>-322.5</v>
      </c>
      <c r="P2115" s="6">
        <f t="shared" si="609"/>
        <v>0</v>
      </c>
      <c r="Q2115" s="7">
        <f t="shared" si="604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12"/>
        <v>9</v>
      </c>
      <c r="C2116" s="5">
        <f t="shared" si="613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2" t="s">
        <v>1111</v>
      </c>
      <c r="H2116" s="13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15"/>
        <v>45184</v>
      </c>
      <c r="L2116" s="5">
        <f t="shared" si="616"/>
        <v>9</v>
      </c>
      <c r="M2116" s="5">
        <f t="shared" si="617"/>
        <v>2023</v>
      </c>
      <c r="N2116" s="95">
        <v>125</v>
      </c>
      <c r="O2116" s="6">
        <f>-N2116</f>
        <v>-125</v>
      </c>
      <c r="P2116" s="6">
        <f t="shared" si="609"/>
        <v>0</v>
      </c>
      <c r="Q2116" s="7">
        <f t="shared" si="604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12"/>
        <v>9</v>
      </c>
      <c r="C2117" s="5">
        <f t="shared" si="613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2" t="s">
        <v>1734</v>
      </c>
      <c r="H2117" s="13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15"/>
        <v>45184</v>
      </c>
      <c r="L2117" s="5">
        <f t="shared" si="616"/>
        <v>9</v>
      </c>
      <c r="M2117" s="5">
        <f t="shared" si="617"/>
        <v>2023</v>
      </c>
      <c r="N2117" s="95">
        <v>3212</v>
      </c>
      <c r="O2117" s="6">
        <f>-N2117</f>
        <v>-3212</v>
      </c>
      <c r="P2117" s="6">
        <f t="shared" si="609"/>
        <v>0</v>
      </c>
      <c r="Q2117" s="7">
        <f t="shared" si="604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12"/>
        <v>9</v>
      </c>
      <c r="C2118" s="5">
        <f t="shared" si="613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13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15"/>
        <v>45184</v>
      </c>
      <c r="L2118" s="5">
        <f t="shared" si="616"/>
        <v>9</v>
      </c>
      <c r="M2118" s="5">
        <f t="shared" si="617"/>
        <v>2023</v>
      </c>
      <c r="N2118" s="95">
        <v>1890</v>
      </c>
      <c r="O2118" s="6">
        <f>-N2118</f>
        <v>-1890</v>
      </c>
      <c r="P2118" s="6">
        <f t="shared" si="609"/>
        <v>0</v>
      </c>
      <c r="Q2118" s="7">
        <f t="shared" si="604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19">MONTH(A2119)</f>
        <v>9</v>
      </c>
      <c r="C2119" s="5">
        <f t="shared" ref="C2119:C2139" si="620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13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15"/>
        <v>45184</v>
      </c>
      <c r="L2119" s="5">
        <f t="shared" si="616"/>
        <v>9</v>
      </c>
      <c r="M2119" s="5">
        <f t="shared" si="617"/>
        <v>2023</v>
      </c>
      <c r="N2119" s="95">
        <v>400</v>
      </c>
      <c r="O2119" s="6">
        <f>-N2119</f>
        <v>-400</v>
      </c>
      <c r="P2119" s="6">
        <f t="shared" ref="P2119:P2139" si="621">SUM(N2119+O2119)</f>
        <v>0</v>
      </c>
      <c r="Q2119" s="7">
        <f t="shared" si="604"/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19"/>
        <v>9</v>
      </c>
      <c r="C2120" s="5">
        <f t="shared" si="620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8" t="s">
        <v>95</v>
      </c>
      <c r="H2120" s="13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15"/>
        <v>45187</v>
      </c>
      <c r="L2120" s="5">
        <f t="shared" si="616"/>
        <v>9</v>
      </c>
      <c r="M2120" s="5">
        <f t="shared" si="617"/>
        <v>2023</v>
      </c>
      <c r="N2120" s="95">
        <v>1738</v>
      </c>
      <c r="O2120" s="6">
        <f t="shared" ref="O2120" si="622">-N2120</f>
        <v>-1738</v>
      </c>
      <c r="P2120" s="6">
        <f t="shared" si="621"/>
        <v>0</v>
      </c>
      <c r="Q2120" s="7">
        <f t="shared" si="604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19"/>
        <v>9</v>
      </c>
      <c r="C2121" s="5">
        <f t="shared" si="620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8" t="s">
        <v>1907</v>
      </c>
      <c r="H2121" s="13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15"/>
        <v>45187</v>
      </c>
      <c r="L2121" s="5">
        <f t="shared" si="616"/>
        <v>9</v>
      </c>
      <c r="M2121" s="5">
        <f t="shared" si="617"/>
        <v>2023</v>
      </c>
      <c r="N2121" s="95">
        <v>3600</v>
      </c>
      <c r="O2121" s="6">
        <f>-1644.8</f>
        <v>-1644.8</v>
      </c>
      <c r="P2121" s="6">
        <f t="shared" si="621"/>
        <v>1955.2</v>
      </c>
      <c r="Q2121" s="7">
        <f t="shared" si="604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19"/>
        <v>9</v>
      </c>
      <c r="C2122" s="5">
        <f t="shared" si="620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8" t="s">
        <v>914</v>
      </c>
      <c r="H2122" s="13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15"/>
        <v>45187</v>
      </c>
      <c r="L2122" s="5">
        <f t="shared" si="616"/>
        <v>9</v>
      </c>
      <c r="M2122" s="5">
        <f t="shared" si="617"/>
        <v>2023</v>
      </c>
      <c r="N2122" s="95">
        <v>702</v>
      </c>
      <c r="P2122" s="6">
        <f t="shared" si="621"/>
        <v>702</v>
      </c>
      <c r="Q2122" s="7">
        <f t="shared" si="604"/>
        <v>3617336.0500000017</v>
      </c>
      <c r="R2122" s="44" t="str">
        <f>VLOOKUP(F2122,'Set up'!$A$2:$E$55,5,FALSE)</f>
        <v>Trsf</v>
      </c>
    </row>
    <row r="2123" spans="1:19" ht="15" customHeight="1" x14ac:dyDescent="0.3">
      <c r="A2123" s="4">
        <v>45187</v>
      </c>
      <c r="B2123" s="5">
        <f t="shared" si="619"/>
        <v>9</v>
      </c>
      <c r="C2123" s="5">
        <f t="shared" si="620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8" t="s">
        <v>1199</v>
      </c>
      <c r="H2123" s="13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15"/>
        <v>45187</v>
      </c>
      <c r="L2123" s="5">
        <f t="shared" si="616"/>
        <v>9</v>
      </c>
      <c r="M2123" s="5">
        <f t="shared" si="617"/>
        <v>2023</v>
      </c>
      <c r="N2123" s="95">
        <v>234</v>
      </c>
      <c r="P2123" s="6">
        <f t="shared" si="621"/>
        <v>234</v>
      </c>
      <c r="Q2123" s="7">
        <f t="shared" si="604"/>
        <v>3617570.0500000017</v>
      </c>
      <c r="R2123" s="44" t="str">
        <f>VLOOKUP(F2123,'Set up'!$A$2:$E$55,5,FALSE)</f>
        <v>Trsf</v>
      </c>
    </row>
    <row r="2124" spans="1:19" ht="15" customHeight="1" x14ac:dyDescent="0.3">
      <c r="A2124" s="4">
        <v>45187</v>
      </c>
      <c r="B2124" s="5">
        <f t="shared" si="619"/>
        <v>9</v>
      </c>
      <c r="C2124" s="5">
        <f t="shared" si="620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8" t="s">
        <v>1908</v>
      </c>
      <c r="H2124" s="13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15"/>
        <v>45187</v>
      </c>
      <c r="L2124" s="5">
        <f t="shared" si="616"/>
        <v>9</v>
      </c>
      <c r="M2124" s="5">
        <f t="shared" si="617"/>
        <v>2023</v>
      </c>
      <c r="N2124" s="95">
        <v>250</v>
      </c>
      <c r="P2124" s="6">
        <f t="shared" si="621"/>
        <v>250</v>
      </c>
      <c r="Q2124" s="7">
        <f t="shared" si="604"/>
        <v>3617820.0500000017</v>
      </c>
      <c r="R2124" s="44" t="str">
        <f>VLOOKUP(F2124,'Set up'!$A$2:$E$55,5,FALSE)</f>
        <v>Trsf</v>
      </c>
    </row>
    <row r="2125" spans="1:19" ht="15" customHeight="1" x14ac:dyDescent="0.3">
      <c r="A2125" s="4">
        <v>45187</v>
      </c>
      <c r="B2125" s="5">
        <f t="shared" si="619"/>
        <v>9</v>
      </c>
      <c r="C2125" s="5">
        <f t="shared" si="620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8" t="s">
        <v>1909</v>
      </c>
      <c r="H2125" s="13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15"/>
        <v>45187</v>
      </c>
      <c r="L2125" s="5">
        <f t="shared" si="616"/>
        <v>9</v>
      </c>
      <c r="M2125" s="5">
        <f t="shared" si="617"/>
        <v>2023</v>
      </c>
      <c r="N2125" s="95">
        <v>175</v>
      </c>
      <c r="P2125" s="6">
        <f t="shared" si="621"/>
        <v>175</v>
      </c>
      <c r="Q2125" s="7">
        <f t="shared" si="604"/>
        <v>3617995.0500000017</v>
      </c>
      <c r="R2125" s="44" t="str">
        <f>VLOOKUP(F2125,'Set up'!$A$2:$E$55,5,FALSE)</f>
        <v>Trsf</v>
      </c>
    </row>
    <row r="2126" spans="1:19" ht="15" customHeight="1" x14ac:dyDescent="0.3">
      <c r="A2126" s="4">
        <v>45188</v>
      </c>
      <c r="B2126" s="5">
        <f t="shared" si="619"/>
        <v>9</v>
      </c>
      <c r="C2126" s="5">
        <f t="shared" si="620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13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15"/>
        <v>45188</v>
      </c>
      <c r="L2126" s="5">
        <f t="shared" si="616"/>
        <v>9</v>
      </c>
      <c r="M2126" s="5">
        <f t="shared" si="617"/>
        <v>2023</v>
      </c>
      <c r="N2126" s="95">
        <v>560</v>
      </c>
      <c r="O2126" s="6">
        <f t="shared" ref="O2126" si="623">-N2126</f>
        <v>-560</v>
      </c>
      <c r="P2126" s="6">
        <f t="shared" si="621"/>
        <v>0</v>
      </c>
      <c r="Q2126" s="7">
        <f t="shared" si="604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19"/>
        <v>9</v>
      </c>
      <c r="C2127" s="5">
        <f t="shared" si="620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8" t="s">
        <v>1111</v>
      </c>
      <c r="H2127" s="13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15"/>
        <v>45189</v>
      </c>
      <c r="L2127" s="5">
        <f t="shared" si="616"/>
        <v>9</v>
      </c>
      <c r="M2127" s="5">
        <f t="shared" si="617"/>
        <v>2023</v>
      </c>
      <c r="N2127" s="95">
        <v>125</v>
      </c>
      <c r="O2127" s="6">
        <f t="shared" ref="O2127:O2132" si="624">-N2127</f>
        <v>-125</v>
      </c>
      <c r="P2127" s="6">
        <f t="shared" si="621"/>
        <v>0</v>
      </c>
      <c r="Q2127" s="7">
        <f t="shared" si="604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19"/>
        <v>9</v>
      </c>
      <c r="C2128" s="5">
        <f t="shared" si="620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8" t="s">
        <v>1734</v>
      </c>
      <c r="H2128" s="13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15"/>
        <v>45189</v>
      </c>
      <c r="L2128" s="5">
        <f t="shared" si="616"/>
        <v>9</v>
      </c>
      <c r="M2128" s="5">
        <f t="shared" si="617"/>
        <v>2023</v>
      </c>
      <c r="N2128" s="95">
        <v>3212</v>
      </c>
      <c r="O2128" s="6">
        <f t="shared" si="624"/>
        <v>-3212</v>
      </c>
      <c r="P2128" s="6">
        <f t="shared" si="621"/>
        <v>0</v>
      </c>
      <c r="Q2128" s="7">
        <f t="shared" si="604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19"/>
        <v>9</v>
      </c>
      <c r="C2129" s="5">
        <f t="shared" si="620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8" t="s">
        <v>914</v>
      </c>
      <c r="H2129" s="13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15"/>
        <v>45189</v>
      </c>
      <c r="L2129" s="5">
        <f t="shared" si="616"/>
        <v>9</v>
      </c>
      <c r="M2129" s="5">
        <f t="shared" si="617"/>
        <v>2023</v>
      </c>
      <c r="N2129" s="95">
        <v>1134</v>
      </c>
      <c r="O2129" s="6">
        <f t="shared" si="624"/>
        <v>-1134</v>
      </c>
      <c r="P2129" s="6">
        <f t="shared" si="621"/>
        <v>0</v>
      </c>
      <c r="Q2129" s="7">
        <f t="shared" si="604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19"/>
        <v>9</v>
      </c>
      <c r="C2130" s="5">
        <f t="shared" si="620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8" t="s">
        <v>779</v>
      </c>
      <c r="H2130" s="13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15"/>
        <v>45189</v>
      </c>
      <c r="L2130" s="5">
        <f t="shared" si="616"/>
        <v>9</v>
      </c>
      <c r="M2130" s="5">
        <f t="shared" si="617"/>
        <v>2023</v>
      </c>
      <c r="N2130" s="95">
        <v>600</v>
      </c>
      <c r="O2130" s="6">
        <f t="shared" si="624"/>
        <v>-600</v>
      </c>
      <c r="P2130" s="6">
        <f t="shared" si="621"/>
        <v>0</v>
      </c>
      <c r="Q2130" s="7">
        <f t="shared" ref="Q2130:Q2193" si="625">SUM(Q2129+N2130)</f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19"/>
        <v>9</v>
      </c>
      <c r="C2131" s="5">
        <f t="shared" si="620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8" t="s">
        <v>1074</v>
      </c>
      <c r="H2131" s="13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15"/>
        <v>45189</v>
      </c>
      <c r="L2131" s="5">
        <f t="shared" si="616"/>
        <v>9</v>
      </c>
      <c r="M2131" s="5">
        <f t="shared" si="617"/>
        <v>2023</v>
      </c>
      <c r="N2131" s="95">
        <v>1000</v>
      </c>
      <c r="O2131" s="6">
        <f t="shared" si="624"/>
        <v>-1000</v>
      </c>
      <c r="P2131" s="6">
        <f t="shared" si="621"/>
        <v>0</v>
      </c>
      <c r="Q2131" s="7">
        <f t="shared" si="625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19"/>
        <v>9</v>
      </c>
      <c r="C2132" s="5">
        <f t="shared" si="620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8" t="s">
        <v>1062</v>
      </c>
      <c r="H2132" s="13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15"/>
        <v>45189</v>
      </c>
      <c r="L2132" s="5">
        <f t="shared" si="616"/>
        <v>9</v>
      </c>
      <c r="M2132" s="5">
        <f t="shared" si="617"/>
        <v>2023</v>
      </c>
      <c r="N2132" s="95">
        <v>380</v>
      </c>
      <c r="O2132" s="6">
        <f t="shared" si="624"/>
        <v>-380</v>
      </c>
      <c r="P2132" s="6">
        <f t="shared" si="621"/>
        <v>0</v>
      </c>
      <c r="Q2132" s="7">
        <f t="shared" si="625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19"/>
        <v>9</v>
      </c>
      <c r="C2133" s="5">
        <f t="shared" si="620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13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15"/>
        <v>45221</v>
      </c>
      <c r="L2133" s="5">
        <f t="shared" si="616"/>
        <v>10</v>
      </c>
      <c r="M2133" s="5">
        <f t="shared" si="617"/>
        <v>2023</v>
      </c>
      <c r="N2133" s="95">
        <v>10428</v>
      </c>
      <c r="O2133" s="6">
        <f t="shared" ref="O2133:O2139" si="626">-N2133</f>
        <v>-10428</v>
      </c>
      <c r="P2133" s="6">
        <f t="shared" si="621"/>
        <v>0</v>
      </c>
      <c r="Q2133" s="7">
        <f t="shared" si="625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19"/>
        <v>9</v>
      </c>
      <c r="C2134" s="5">
        <f t="shared" si="620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13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15"/>
        <v>45221</v>
      </c>
      <c r="L2134" s="5">
        <f t="shared" si="616"/>
        <v>10</v>
      </c>
      <c r="M2134" s="5">
        <f t="shared" si="617"/>
        <v>2023</v>
      </c>
      <c r="N2134" s="95">
        <v>2948.4</v>
      </c>
      <c r="O2134" s="6">
        <f t="shared" si="626"/>
        <v>-2948.4</v>
      </c>
      <c r="P2134" s="6">
        <f t="shared" si="621"/>
        <v>0</v>
      </c>
      <c r="Q2134" s="7">
        <f t="shared" si="625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19"/>
        <v>9</v>
      </c>
      <c r="C2135" s="5">
        <f t="shared" si="620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13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15"/>
        <v>45221</v>
      </c>
      <c r="L2135" s="5">
        <f t="shared" si="616"/>
        <v>10</v>
      </c>
      <c r="M2135" s="5">
        <f t="shared" si="617"/>
        <v>2023</v>
      </c>
      <c r="N2135" s="95">
        <v>288</v>
      </c>
      <c r="O2135" s="6">
        <f t="shared" si="626"/>
        <v>-288</v>
      </c>
      <c r="P2135" s="6">
        <f t="shared" si="621"/>
        <v>0</v>
      </c>
      <c r="Q2135" s="7">
        <f t="shared" si="625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19"/>
        <v>9</v>
      </c>
      <c r="C2136" s="5">
        <f t="shared" si="620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8" t="s">
        <v>1111</v>
      </c>
      <c r="H2136" s="13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15"/>
        <v>45221</v>
      </c>
      <c r="L2136" s="5">
        <f t="shared" si="616"/>
        <v>10</v>
      </c>
      <c r="M2136" s="5">
        <f t="shared" si="617"/>
        <v>2023</v>
      </c>
      <c r="N2136" s="95">
        <v>312.5</v>
      </c>
      <c r="O2136" s="6">
        <f t="shared" si="626"/>
        <v>-312.5</v>
      </c>
      <c r="P2136" s="6">
        <f t="shared" si="621"/>
        <v>0</v>
      </c>
      <c r="Q2136" s="7">
        <f t="shared" si="625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19"/>
        <v>9</v>
      </c>
      <c r="C2137" s="5">
        <f t="shared" si="620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13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15"/>
        <v>45221</v>
      </c>
      <c r="L2137" s="5">
        <f t="shared" si="616"/>
        <v>10</v>
      </c>
      <c r="M2137" s="5">
        <f t="shared" si="617"/>
        <v>2023</v>
      </c>
      <c r="N2137" s="95">
        <v>520</v>
      </c>
      <c r="O2137" s="6">
        <f t="shared" si="626"/>
        <v>-520</v>
      </c>
      <c r="P2137" s="6">
        <f t="shared" si="621"/>
        <v>0</v>
      </c>
      <c r="Q2137" s="7">
        <f t="shared" si="625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19"/>
        <v>9</v>
      </c>
      <c r="C2138" s="5">
        <f t="shared" si="620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8" t="s">
        <v>1547</v>
      </c>
      <c r="H2138" s="13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15"/>
        <v>45221</v>
      </c>
      <c r="L2138" s="5">
        <f t="shared" si="616"/>
        <v>10</v>
      </c>
      <c r="M2138" s="5">
        <f t="shared" si="617"/>
        <v>2023</v>
      </c>
      <c r="N2138" s="95">
        <v>930</v>
      </c>
      <c r="O2138" s="6">
        <f t="shared" si="626"/>
        <v>-930</v>
      </c>
      <c r="P2138" s="6">
        <f t="shared" si="621"/>
        <v>0</v>
      </c>
      <c r="Q2138" s="7">
        <f t="shared" si="625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19"/>
        <v>9</v>
      </c>
      <c r="C2139" s="5">
        <f t="shared" si="620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8" t="s">
        <v>1062</v>
      </c>
      <c r="H2139" s="13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15"/>
        <v>45221</v>
      </c>
      <c r="L2139" s="5">
        <f t="shared" si="616"/>
        <v>10</v>
      </c>
      <c r="M2139" s="5">
        <f t="shared" si="617"/>
        <v>2023</v>
      </c>
      <c r="N2139" s="95">
        <v>190</v>
      </c>
      <c r="O2139" s="6">
        <f t="shared" si="626"/>
        <v>-190</v>
      </c>
      <c r="P2139" s="6">
        <f t="shared" si="621"/>
        <v>0</v>
      </c>
      <c r="Q2139" s="7">
        <f t="shared" si="625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27">MONTH(A2140)</f>
        <v>9</v>
      </c>
      <c r="C2140" s="5">
        <f t="shared" ref="C2140:C2154" si="628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8" t="s">
        <v>304</v>
      </c>
      <c r="H2140" s="13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15"/>
        <v>45191</v>
      </c>
      <c r="L2140" s="5">
        <f t="shared" si="616"/>
        <v>9</v>
      </c>
      <c r="M2140" s="5">
        <f t="shared" si="617"/>
        <v>2023</v>
      </c>
      <c r="N2140" s="95">
        <v>3388</v>
      </c>
      <c r="O2140" s="6">
        <f t="shared" ref="O2140:O2146" si="629">-N2140</f>
        <v>-3388</v>
      </c>
      <c r="P2140" s="6">
        <f t="shared" ref="P2140:P2154" si="630">SUM(N2140+O2140)</f>
        <v>0</v>
      </c>
      <c r="Q2140" s="7">
        <f t="shared" si="625"/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27"/>
        <v>9</v>
      </c>
      <c r="C2141" s="5">
        <f t="shared" si="628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8" t="s">
        <v>989</v>
      </c>
      <c r="H2141" s="13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15"/>
        <v>45191</v>
      </c>
      <c r="L2141" s="5">
        <f t="shared" si="616"/>
        <v>9</v>
      </c>
      <c r="M2141" s="5">
        <f t="shared" si="617"/>
        <v>2023</v>
      </c>
      <c r="N2141" s="95">
        <v>936</v>
      </c>
      <c r="O2141" s="6">
        <f t="shared" si="629"/>
        <v>-936</v>
      </c>
      <c r="P2141" s="6">
        <f t="shared" si="630"/>
        <v>0</v>
      </c>
      <c r="Q2141" s="7">
        <f t="shared" si="625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27"/>
        <v>9</v>
      </c>
      <c r="C2142" s="5">
        <f t="shared" si="628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8" t="s">
        <v>1469</v>
      </c>
      <c r="H2142" s="13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15"/>
        <v>45191</v>
      </c>
      <c r="L2142" s="5">
        <f t="shared" si="616"/>
        <v>9</v>
      </c>
      <c r="M2142" s="5">
        <f t="shared" si="617"/>
        <v>2023</v>
      </c>
      <c r="N2142" s="95">
        <v>322.5</v>
      </c>
      <c r="O2142" s="6">
        <f t="shared" si="629"/>
        <v>-322.5</v>
      </c>
      <c r="P2142" s="6">
        <f t="shared" si="630"/>
        <v>0</v>
      </c>
      <c r="Q2142" s="7">
        <f t="shared" si="625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27"/>
        <v>9</v>
      </c>
      <c r="C2143" s="5">
        <f t="shared" si="628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8" t="s">
        <v>1887</v>
      </c>
      <c r="H2143" s="13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15"/>
        <v>45191</v>
      </c>
      <c r="L2143" s="5">
        <f t="shared" si="616"/>
        <v>9</v>
      </c>
      <c r="M2143" s="5">
        <f t="shared" si="617"/>
        <v>2023</v>
      </c>
      <c r="N2143" s="95">
        <v>160</v>
      </c>
      <c r="O2143" s="6">
        <f t="shared" si="629"/>
        <v>-160</v>
      </c>
      <c r="P2143" s="6">
        <f t="shared" si="630"/>
        <v>0</v>
      </c>
      <c r="Q2143" s="7">
        <f t="shared" si="625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27"/>
        <v>9</v>
      </c>
      <c r="C2144" s="5">
        <f t="shared" si="628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8" t="s">
        <v>1716</v>
      </c>
      <c r="H2144" s="13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15"/>
        <v>45191</v>
      </c>
      <c r="L2144" s="5">
        <f t="shared" si="616"/>
        <v>9</v>
      </c>
      <c r="M2144" s="5">
        <f t="shared" si="617"/>
        <v>2023</v>
      </c>
      <c r="N2144" s="95">
        <v>165</v>
      </c>
      <c r="O2144" s="6">
        <f t="shared" si="629"/>
        <v>-165</v>
      </c>
      <c r="P2144" s="6">
        <f t="shared" si="630"/>
        <v>0</v>
      </c>
      <c r="Q2144" s="7">
        <f t="shared" si="625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27"/>
        <v>9</v>
      </c>
      <c r="C2145" s="5">
        <f t="shared" si="628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8" t="s">
        <v>17</v>
      </c>
      <c r="H2145" s="13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15"/>
        <v>45191</v>
      </c>
      <c r="L2145" s="5">
        <f t="shared" si="616"/>
        <v>9</v>
      </c>
      <c r="M2145" s="5">
        <f t="shared" si="617"/>
        <v>2023</v>
      </c>
      <c r="N2145" s="95">
        <v>105</v>
      </c>
      <c r="O2145" s="6">
        <f t="shared" si="629"/>
        <v>-105</v>
      </c>
      <c r="P2145" s="6">
        <f t="shared" si="630"/>
        <v>0</v>
      </c>
      <c r="Q2145" s="7">
        <f t="shared" si="625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27"/>
        <v>9</v>
      </c>
      <c r="C2146" s="5">
        <f t="shared" si="628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8" t="s">
        <v>1111</v>
      </c>
      <c r="H2146" s="13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15"/>
        <v>45191</v>
      </c>
      <c r="L2146" s="5">
        <f t="shared" si="616"/>
        <v>9</v>
      </c>
      <c r="M2146" s="5">
        <f t="shared" si="617"/>
        <v>2023</v>
      </c>
      <c r="N2146" s="95">
        <v>187.5</v>
      </c>
      <c r="O2146" s="6">
        <f t="shared" si="629"/>
        <v>-187.5</v>
      </c>
      <c r="P2146" s="6">
        <f t="shared" si="630"/>
        <v>0</v>
      </c>
      <c r="Q2146" s="7">
        <f t="shared" si="625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27"/>
        <v>9</v>
      </c>
      <c r="C2147" s="5">
        <f t="shared" si="628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8" t="s">
        <v>95</v>
      </c>
      <c r="H2147" s="13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15"/>
        <v>45192</v>
      </c>
      <c r="L2147" s="5">
        <f t="shared" si="616"/>
        <v>9</v>
      </c>
      <c r="M2147" s="5">
        <f t="shared" si="617"/>
        <v>2023</v>
      </c>
      <c r="N2147" s="95">
        <v>1738</v>
      </c>
      <c r="O2147" s="6">
        <f>-330.5-1400</f>
        <v>-1730.5</v>
      </c>
      <c r="P2147" s="6">
        <f t="shared" si="630"/>
        <v>7.5</v>
      </c>
      <c r="Q2147" s="7">
        <f t="shared" si="625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27"/>
        <v>9</v>
      </c>
      <c r="C2148" s="5">
        <f t="shared" si="628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8" t="s">
        <v>1470</v>
      </c>
      <c r="H2148" s="13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15"/>
        <v>45192</v>
      </c>
      <c r="L2148" s="5">
        <f t="shared" si="616"/>
        <v>9</v>
      </c>
      <c r="M2148" s="5">
        <f t="shared" si="617"/>
        <v>2023</v>
      </c>
      <c r="N2148" s="95">
        <v>390</v>
      </c>
      <c r="P2148" s="6">
        <f t="shared" si="630"/>
        <v>390</v>
      </c>
      <c r="Q2148" s="7">
        <f t="shared" si="625"/>
        <v>3648014.9500000016</v>
      </c>
      <c r="R2148" s="44" t="str">
        <f>VLOOKUP(F2148,'Set up'!$A$2:$E$55,5,FALSE)</f>
        <v>Trsf</v>
      </c>
    </row>
    <row r="2149" spans="1:19" ht="15" customHeight="1" x14ac:dyDescent="0.3">
      <c r="A2149" s="4">
        <v>45195</v>
      </c>
      <c r="B2149" s="5">
        <f t="shared" si="627"/>
        <v>9</v>
      </c>
      <c r="C2149" s="5">
        <f t="shared" si="628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8" t="s">
        <v>1918</v>
      </c>
      <c r="H2149" s="13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15"/>
        <v>45195</v>
      </c>
      <c r="L2149" s="5">
        <f t="shared" si="616"/>
        <v>9</v>
      </c>
      <c r="M2149" s="5">
        <f t="shared" si="617"/>
        <v>2023</v>
      </c>
      <c r="N2149" s="95">
        <v>390</v>
      </c>
      <c r="O2149" s="6">
        <f t="shared" ref="O2149:O2150" si="631">-N2149</f>
        <v>-390</v>
      </c>
      <c r="P2149" s="6">
        <f t="shared" si="630"/>
        <v>0</v>
      </c>
      <c r="Q2149" s="7">
        <f t="shared" si="625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27"/>
        <v>9</v>
      </c>
      <c r="C2150" s="5">
        <f t="shared" si="628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8" t="s">
        <v>1797</v>
      </c>
      <c r="H2150" s="13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15"/>
        <v>45195</v>
      </c>
      <c r="L2150" s="5">
        <f t="shared" si="616"/>
        <v>9</v>
      </c>
      <c r="M2150" s="5">
        <f t="shared" si="617"/>
        <v>2023</v>
      </c>
      <c r="N2150" s="95">
        <v>219</v>
      </c>
      <c r="O2150" s="6">
        <f t="shared" si="631"/>
        <v>-219</v>
      </c>
      <c r="P2150" s="6">
        <f t="shared" si="630"/>
        <v>0</v>
      </c>
      <c r="Q2150" s="7">
        <f t="shared" si="625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27"/>
        <v>9</v>
      </c>
      <c r="C2151" s="5">
        <f t="shared" si="628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8" t="s">
        <v>1919</v>
      </c>
      <c r="H2151" s="13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15"/>
        <v>45195</v>
      </c>
      <c r="L2151" s="5">
        <f t="shared" si="616"/>
        <v>9</v>
      </c>
      <c r="M2151" s="5">
        <f t="shared" si="617"/>
        <v>2023</v>
      </c>
      <c r="N2151" s="95">
        <v>531</v>
      </c>
      <c r="O2151" s="6">
        <f>-117.7-413.3</f>
        <v>-531</v>
      </c>
      <c r="P2151" s="6">
        <f t="shared" si="630"/>
        <v>0</v>
      </c>
      <c r="Q2151" s="7">
        <f t="shared" si="625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27"/>
        <v>9</v>
      </c>
      <c r="C2152" s="5">
        <f t="shared" si="628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8" t="s">
        <v>1062</v>
      </c>
      <c r="H2152" s="13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15"/>
        <v>45195</v>
      </c>
      <c r="L2152" s="5">
        <f t="shared" si="616"/>
        <v>9</v>
      </c>
      <c r="M2152" s="5">
        <f t="shared" si="617"/>
        <v>2023</v>
      </c>
      <c r="N2152" s="95">
        <v>95</v>
      </c>
      <c r="O2152" s="6">
        <f t="shared" ref="O2152" si="632">-N2152</f>
        <v>-95</v>
      </c>
      <c r="P2152" s="6">
        <f t="shared" si="630"/>
        <v>0</v>
      </c>
      <c r="Q2152" s="7">
        <f t="shared" si="625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27"/>
        <v>9</v>
      </c>
      <c r="C2153" s="5">
        <f t="shared" si="628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8" t="s">
        <v>945</v>
      </c>
      <c r="H2153" s="13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15"/>
        <v>45195</v>
      </c>
      <c r="L2153" s="5">
        <f t="shared" si="616"/>
        <v>9</v>
      </c>
      <c r="M2153" s="5">
        <f t="shared" si="617"/>
        <v>2023</v>
      </c>
      <c r="N2153" s="95">
        <v>420</v>
      </c>
      <c r="P2153" s="6">
        <f t="shared" si="630"/>
        <v>420</v>
      </c>
      <c r="Q2153" s="7">
        <f t="shared" si="625"/>
        <v>3649669.9500000016</v>
      </c>
      <c r="R2153" s="44" t="str">
        <f>VLOOKUP(F2153,'Set up'!$A$2:$E$55,5,FALSE)</f>
        <v>Trsf</v>
      </c>
    </row>
    <row r="2154" spans="1:19" ht="15" customHeight="1" x14ac:dyDescent="0.3">
      <c r="A2154" s="4">
        <v>45195</v>
      </c>
      <c r="B2154" s="5">
        <f t="shared" si="627"/>
        <v>9</v>
      </c>
      <c r="C2154" s="5">
        <f t="shared" si="628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8" t="s">
        <v>1412</v>
      </c>
      <c r="H2154" s="13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15"/>
        <v>45195</v>
      </c>
      <c r="L2154" s="5">
        <f t="shared" si="616"/>
        <v>9</v>
      </c>
      <c r="M2154" s="5">
        <f t="shared" si="617"/>
        <v>2023</v>
      </c>
      <c r="N2154" s="95">
        <v>421.2</v>
      </c>
      <c r="P2154" s="6">
        <f t="shared" si="630"/>
        <v>421.2</v>
      </c>
      <c r="Q2154" s="7">
        <f t="shared" si="625"/>
        <v>3650091.1500000018</v>
      </c>
      <c r="R2154" s="44" t="str">
        <f>VLOOKUP(F2154,'Set up'!$A$2:$E$55,5,FALSE)</f>
        <v>Trsf</v>
      </c>
    </row>
    <row r="2155" spans="1:19" ht="15" customHeight="1" x14ac:dyDescent="0.3">
      <c r="A2155" s="4">
        <v>45195</v>
      </c>
      <c r="B2155" s="5">
        <f t="shared" ref="B2155:B2167" si="633">MONTH(A2155)</f>
        <v>9</v>
      </c>
      <c r="C2155" s="5">
        <f t="shared" ref="C2155:C2167" si="634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8" t="s">
        <v>792</v>
      </c>
      <c r="H2155" s="13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15"/>
        <v>45195</v>
      </c>
      <c r="L2155" s="5">
        <f t="shared" si="616"/>
        <v>9</v>
      </c>
      <c r="M2155" s="5">
        <f t="shared" si="617"/>
        <v>2023</v>
      </c>
      <c r="N2155" s="95">
        <v>250</v>
      </c>
      <c r="P2155" s="6">
        <f t="shared" ref="P2155:P2167" si="635">SUM(N2155+O2155)</f>
        <v>250</v>
      </c>
      <c r="Q2155" s="7">
        <f t="shared" si="625"/>
        <v>3650341.1500000018</v>
      </c>
      <c r="R2155" s="44" t="str">
        <f>VLOOKUP(F2155,'Set up'!$A$2:$E$55,5,FALSE)</f>
        <v>Trsf</v>
      </c>
    </row>
    <row r="2156" spans="1:19" ht="15" customHeight="1" x14ac:dyDescent="0.3">
      <c r="A2156" s="4">
        <v>45195</v>
      </c>
      <c r="B2156" s="5">
        <f t="shared" si="633"/>
        <v>9</v>
      </c>
      <c r="C2156" s="5">
        <f t="shared" si="634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8" t="s">
        <v>46</v>
      </c>
      <c r="H2156" s="13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15"/>
        <v>45195</v>
      </c>
      <c r="L2156" s="5">
        <f t="shared" si="616"/>
        <v>9</v>
      </c>
      <c r="M2156" s="5">
        <f t="shared" si="617"/>
        <v>2023</v>
      </c>
      <c r="N2156" s="95">
        <v>105</v>
      </c>
      <c r="P2156" s="6">
        <f t="shared" si="635"/>
        <v>105</v>
      </c>
      <c r="Q2156" s="7">
        <f t="shared" si="625"/>
        <v>3650446.1500000018</v>
      </c>
      <c r="R2156" s="44" t="str">
        <f>VLOOKUP(F2156,'Set up'!$A$2:$E$55,5,FALSE)</f>
        <v>Trsf</v>
      </c>
    </row>
    <row r="2157" spans="1:19" ht="15" customHeight="1" x14ac:dyDescent="0.3">
      <c r="A2157" s="4">
        <v>45196</v>
      </c>
      <c r="B2157" s="5">
        <f t="shared" si="633"/>
        <v>9</v>
      </c>
      <c r="C2157" s="5">
        <f t="shared" si="634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2" t="s">
        <v>1111</v>
      </c>
      <c r="H2157" s="13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15"/>
        <v>45196</v>
      </c>
      <c r="L2157" s="5">
        <f t="shared" si="616"/>
        <v>9</v>
      </c>
      <c r="M2157" s="5">
        <f t="shared" si="617"/>
        <v>2023</v>
      </c>
      <c r="N2157" s="95">
        <v>500</v>
      </c>
      <c r="O2157" s="6">
        <f>-N2157</f>
        <v>-500</v>
      </c>
      <c r="P2157" s="6">
        <f t="shared" si="635"/>
        <v>0</v>
      </c>
      <c r="Q2157" s="7">
        <f t="shared" si="625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33"/>
        <v>9</v>
      </c>
      <c r="C2158" s="5">
        <f t="shared" si="634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8" t="s">
        <v>1734</v>
      </c>
      <c r="H2158" s="13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15"/>
        <v>45196</v>
      </c>
      <c r="L2158" s="5">
        <f t="shared" si="616"/>
        <v>9</v>
      </c>
      <c r="M2158" s="5">
        <f t="shared" si="617"/>
        <v>2023</v>
      </c>
      <c r="N2158" s="95">
        <v>12848</v>
      </c>
      <c r="O2158" s="6">
        <f>-4852.2-7995.8</f>
        <v>-12848</v>
      </c>
      <c r="P2158" s="6">
        <f t="shared" si="635"/>
        <v>0</v>
      </c>
      <c r="Q2158" s="7">
        <f t="shared" si="625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33"/>
        <v>9</v>
      </c>
      <c r="C2159" s="5">
        <f t="shared" si="634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8" t="s">
        <v>914</v>
      </c>
      <c r="H2159" s="13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15"/>
        <v>45196</v>
      </c>
      <c r="L2159" s="5">
        <f t="shared" si="616"/>
        <v>9</v>
      </c>
      <c r="M2159" s="5">
        <f t="shared" si="617"/>
        <v>2023</v>
      </c>
      <c r="N2159" s="95">
        <v>4536</v>
      </c>
      <c r="O2159" s="6">
        <f>-N2159</f>
        <v>-4536</v>
      </c>
      <c r="P2159" s="6">
        <f t="shared" si="635"/>
        <v>0</v>
      </c>
      <c r="Q2159" s="7">
        <f t="shared" si="625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33"/>
        <v>9</v>
      </c>
      <c r="C2160" s="5">
        <f t="shared" si="634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8" t="s">
        <v>1923</v>
      </c>
      <c r="H2160" s="13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15"/>
        <v>45196</v>
      </c>
      <c r="L2160" s="5">
        <f t="shared" si="616"/>
        <v>9</v>
      </c>
      <c r="M2160" s="5">
        <f t="shared" si="617"/>
        <v>2023</v>
      </c>
      <c r="N2160" s="95">
        <v>2808</v>
      </c>
      <c r="O2160" s="6">
        <f>-N2160</f>
        <v>-2808</v>
      </c>
      <c r="P2160" s="6">
        <f t="shared" si="635"/>
        <v>0</v>
      </c>
      <c r="Q2160" s="7">
        <f t="shared" si="625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33"/>
        <v>9</v>
      </c>
      <c r="C2161" s="5">
        <f t="shared" si="634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8" t="s">
        <v>1074</v>
      </c>
      <c r="H2161" s="13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15"/>
        <v>45196</v>
      </c>
      <c r="L2161" s="5">
        <f t="shared" si="616"/>
        <v>9</v>
      </c>
      <c r="M2161" s="5">
        <f t="shared" si="617"/>
        <v>2023</v>
      </c>
      <c r="N2161" s="95">
        <v>1000</v>
      </c>
      <c r="O2161" s="6">
        <f>-N2161</f>
        <v>-1000</v>
      </c>
      <c r="P2161" s="6">
        <f t="shared" si="635"/>
        <v>0</v>
      </c>
      <c r="Q2161" s="7">
        <f t="shared" si="625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33"/>
        <v>9</v>
      </c>
      <c r="C2162" s="5">
        <f t="shared" si="634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8" t="s">
        <v>1062</v>
      </c>
      <c r="H2162" s="13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15"/>
        <v>45196</v>
      </c>
      <c r="L2162" s="5">
        <f t="shared" si="616"/>
        <v>9</v>
      </c>
      <c r="M2162" s="5">
        <f t="shared" si="617"/>
        <v>2023</v>
      </c>
      <c r="N2162" s="95">
        <v>380</v>
      </c>
      <c r="O2162" s="6">
        <f>-N2162</f>
        <v>-380</v>
      </c>
      <c r="P2162" s="6">
        <f t="shared" si="635"/>
        <v>0</v>
      </c>
      <c r="Q2162" s="7">
        <f t="shared" si="625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33"/>
        <v>9</v>
      </c>
      <c r="C2163" s="5">
        <f t="shared" si="634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13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15"/>
        <v>45198</v>
      </c>
      <c r="L2163" s="5">
        <f t="shared" si="616"/>
        <v>9</v>
      </c>
      <c r="M2163" s="5">
        <f t="shared" si="617"/>
        <v>2023</v>
      </c>
      <c r="N2163" s="95">
        <v>250</v>
      </c>
      <c r="O2163" s="6">
        <f t="shared" ref="O2163" si="636">-N2163</f>
        <v>-250</v>
      </c>
      <c r="P2163" s="6">
        <f t="shared" si="635"/>
        <v>0</v>
      </c>
      <c r="Q2163" s="7">
        <f t="shared" si="625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33"/>
        <v>9</v>
      </c>
      <c r="C2164" s="5">
        <f t="shared" si="634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8" t="s">
        <v>1111</v>
      </c>
      <c r="H2164" s="13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15"/>
        <v>45199</v>
      </c>
      <c r="L2164" s="5">
        <f t="shared" si="616"/>
        <v>9</v>
      </c>
      <c r="M2164" s="5">
        <f t="shared" si="617"/>
        <v>2023</v>
      </c>
      <c r="N2164" s="95">
        <v>312.5</v>
      </c>
      <c r="O2164" s="6">
        <f>-N2164</f>
        <v>-312.5</v>
      </c>
      <c r="P2164" s="6">
        <f t="shared" si="635"/>
        <v>0</v>
      </c>
      <c r="Q2164" s="7">
        <f t="shared" si="625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33"/>
        <v>9</v>
      </c>
      <c r="C2165" s="5">
        <f t="shared" si="634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8" t="s">
        <v>1895</v>
      </c>
      <c r="H2165" s="13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15"/>
        <v>45199</v>
      </c>
      <c r="L2165" s="5">
        <f t="shared" si="616"/>
        <v>9</v>
      </c>
      <c r="M2165" s="5">
        <f t="shared" si="617"/>
        <v>2023</v>
      </c>
      <c r="N2165" s="95">
        <v>8030</v>
      </c>
      <c r="O2165" s="6">
        <f>-4567.7-3462.3</f>
        <v>-8030</v>
      </c>
      <c r="P2165" s="6">
        <f t="shared" si="635"/>
        <v>0</v>
      </c>
      <c r="Q2165" s="7">
        <f t="shared" si="625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33"/>
        <v>9</v>
      </c>
      <c r="C2166" s="5">
        <f t="shared" si="634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8" t="s">
        <v>914</v>
      </c>
      <c r="H2166" s="13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15"/>
        <v>45199</v>
      </c>
      <c r="L2166" s="5">
        <f t="shared" si="616"/>
        <v>9</v>
      </c>
      <c r="M2166" s="5">
        <f t="shared" si="617"/>
        <v>2023</v>
      </c>
      <c r="N2166" s="95">
        <v>2835</v>
      </c>
      <c r="O2166" s="6">
        <f>-N2166</f>
        <v>-2835</v>
      </c>
      <c r="P2166" s="6">
        <f t="shared" si="635"/>
        <v>0</v>
      </c>
      <c r="Q2166" s="7">
        <f t="shared" si="625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33"/>
        <v>9</v>
      </c>
      <c r="C2167" s="5">
        <f t="shared" si="634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8" t="s">
        <v>1923</v>
      </c>
      <c r="H2167" s="13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15"/>
        <v>45199</v>
      </c>
      <c r="L2167" s="5">
        <f t="shared" si="616"/>
        <v>9</v>
      </c>
      <c r="M2167" s="5">
        <f t="shared" si="617"/>
        <v>2023</v>
      </c>
      <c r="N2167" s="95">
        <v>1872</v>
      </c>
      <c r="O2167" s="6">
        <f>-N2167</f>
        <v>-1872</v>
      </c>
      <c r="P2167" s="6">
        <f t="shared" si="635"/>
        <v>0</v>
      </c>
      <c r="Q2167" s="7">
        <f t="shared" si="625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37">MONTH(A2168)</f>
        <v>9</v>
      </c>
      <c r="C2168" s="5">
        <f t="shared" ref="C2168:C2170" si="638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8" t="s">
        <v>1074</v>
      </c>
      <c r="H2168" s="13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15"/>
        <v>45199</v>
      </c>
      <c r="L2168" s="5">
        <f t="shared" si="616"/>
        <v>9</v>
      </c>
      <c r="M2168" s="5">
        <f t="shared" si="617"/>
        <v>2023</v>
      </c>
      <c r="N2168" s="95">
        <v>1000</v>
      </c>
      <c r="O2168" s="6">
        <f>-N2168</f>
        <v>-1000</v>
      </c>
      <c r="P2168" s="6">
        <f t="shared" ref="P2168:P2228" si="639">SUM(N2168+O2168)</f>
        <v>0</v>
      </c>
      <c r="Q2168" s="7">
        <f t="shared" si="625"/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37"/>
        <v>9</v>
      </c>
      <c r="C2169" s="5">
        <f t="shared" si="638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8" t="s">
        <v>1062</v>
      </c>
      <c r="H2169" s="13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15"/>
        <v>45199</v>
      </c>
      <c r="L2169" s="5">
        <f t="shared" si="616"/>
        <v>9</v>
      </c>
      <c r="M2169" s="5">
        <f t="shared" si="617"/>
        <v>2023</v>
      </c>
      <c r="N2169" s="95">
        <v>380</v>
      </c>
      <c r="O2169" s="6">
        <f>-N2169</f>
        <v>-380</v>
      </c>
      <c r="P2169" s="6">
        <f t="shared" si="639"/>
        <v>0</v>
      </c>
      <c r="Q2169" s="7">
        <f t="shared" si="625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37"/>
        <v>10</v>
      </c>
      <c r="C2170" s="5">
        <f t="shared" si="638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8" t="s">
        <v>304</v>
      </c>
      <c r="H2170" s="13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15"/>
        <v>45201</v>
      </c>
      <c r="L2170" s="5">
        <f t="shared" si="616"/>
        <v>10</v>
      </c>
      <c r="M2170" s="5">
        <f t="shared" si="617"/>
        <v>2023</v>
      </c>
      <c r="N2170" s="95">
        <v>3388</v>
      </c>
      <c r="O2170" s="6">
        <f t="shared" ref="O2170:O2178" si="640">-N2170</f>
        <v>-3388</v>
      </c>
      <c r="P2170" s="6">
        <f t="shared" si="639"/>
        <v>0</v>
      </c>
      <c r="Q2170" s="7">
        <f t="shared" si="625"/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41">MONTH(A2171)</f>
        <v>10</v>
      </c>
      <c r="C2171" s="5">
        <f t="shared" ref="C2171:C2214" si="642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8" t="s">
        <v>989</v>
      </c>
      <c r="H2171" s="13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15"/>
        <v>45201</v>
      </c>
      <c r="L2171" s="5">
        <f t="shared" si="616"/>
        <v>10</v>
      </c>
      <c r="M2171" s="5">
        <f t="shared" si="617"/>
        <v>2023</v>
      </c>
      <c r="N2171" s="95">
        <v>702</v>
      </c>
      <c r="O2171" s="6">
        <f t="shared" si="640"/>
        <v>-702</v>
      </c>
      <c r="P2171" s="6">
        <f t="shared" si="639"/>
        <v>0</v>
      </c>
      <c r="Q2171" s="7">
        <f t="shared" si="625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41"/>
        <v>10</v>
      </c>
      <c r="C2172" s="5">
        <f t="shared" si="642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8" t="s">
        <v>44</v>
      </c>
      <c r="H2172" s="13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15"/>
        <v>45201</v>
      </c>
      <c r="L2172" s="5">
        <f t="shared" si="616"/>
        <v>10</v>
      </c>
      <c r="M2172" s="5">
        <f t="shared" si="617"/>
        <v>2023</v>
      </c>
      <c r="N2172" s="95">
        <v>516</v>
      </c>
      <c r="O2172" s="6">
        <f t="shared" si="640"/>
        <v>-516</v>
      </c>
      <c r="P2172" s="6">
        <f t="shared" si="639"/>
        <v>0</v>
      </c>
      <c r="Q2172" s="7">
        <f t="shared" si="625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41"/>
        <v>10</v>
      </c>
      <c r="C2173" s="5">
        <f t="shared" si="642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8" t="s">
        <v>1887</v>
      </c>
      <c r="H2173" s="13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15"/>
        <v>45201</v>
      </c>
      <c r="L2173" s="5">
        <f t="shared" si="616"/>
        <v>10</v>
      </c>
      <c r="M2173" s="5">
        <f t="shared" si="617"/>
        <v>2023</v>
      </c>
      <c r="N2173" s="95">
        <v>320</v>
      </c>
      <c r="O2173" s="6">
        <f t="shared" si="640"/>
        <v>-320</v>
      </c>
      <c r="P2173" s="6">
        <f t="shared" si="639"/>
        <v>0</v>
      </c>
      <c r="Q2173" s="7">
        <f t="shared" si="625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41"/>
        <v>10</v>
      </c>
      <c r="C2174" s="5">
        <f t="shared" si="642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8" t="s">
        <v>1716</v>
      </c>
      <c r="H2174" s="13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15"/>
        <v>45201</v>
      </c>
      <c r="L2174" s="5">
        <f t="shared" si="616"/>
        <v>10</v>
      </c>
      <c r="M2174" s="5">
        <f t="shared" si="617"/>
        <v>2023</v>
      </c>
      <c r="N2174" s="95">
        <v>165</v>
      </c>
      <c r="O2174" s="6">
        <f t="shared" si="640"/>
        <v>-165</v>
      </c>
      <c r="P2174" s="6">
        <f t="shared" si="639"/>
        <v>0</v>
      </c>
      <c r="Q2174" s="7">
        <f t="shared" si="625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41"/>
        <v>10</v>
      </c>
      <c r="C2175" s="5">
        <f t="shared" si="642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8" t="s">
        <v>17</v>
      </c>
      <c r="H2175" s="13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15"/>
        <v>45201</v>
      </c>
      <c r="L2175" s="5">
        <f t="shared" si="616"/>
        <v>10</v>
      </c>
      <c r="M2175" s="5">
        <f t="shared" si="617"/>
        <v>2023</v>
      </c>
      <c r="N2175" s="95">
        <v>105</v>
      </c>
      <c r="O2175" s="6">
        <f t="shared" si="640"/>
        <v>-105</v>
      </c>
      <c r="P2175" s="6">
        <f t="shared" si="639"/>
        <v>0</v>
      </c>
      <c r="Q2175" s="7">
        <f t="shared" si="625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41"/>
        <v>10</v>
      </c>
      <c r="C2176" s="5">
        <f t="shared" si="642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8" t="s">
        <v>1111</v>
      </c>
      <c r="H2176" s="13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15"/>
        <v>45201</v>
      </c>
      <c r="L2176" s="5">
        <f t="shared" si="616"/>
        <v>10</v>
      </c>
      <c r="M2176" s="5">
        <f t="shared" si="617"/>
        <v>2023</v>
      </c>
      <c r="N2176" s="95">
        <v>62.5</v>
      </c>
      <c r="O2176" s="6">
        <f t="shared" si="640"/>
        <v>-62.5</v>
      </c>
      <c r="P2176" s="6">
        <f t="shared" si="639"/>
        <v>0</v>
      </c>
      <c r="Q2176" s="7">
        <f t="shared" si="625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41"/>
        <v>10</v>
      </c>
      <c r="C2177" s="5">
        <f t="shared" si="642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13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15"/>
        <v>45202</v>
      </c>
      <c r="L2177" s="5">
        <f t="shared" si="616"/>
        <v>10</v>
      </c>
      <c r="M2177" s="5">
        <f t="shared" si="617"/>
        <v>2023</v>
      </c>
      <c r="N2177" s="95">
        <v>580</v>
      </c>
      <c r="O2177" s="6">
        <f t="shared" si="640"/>
        <v>-580</v>
      </c>
      <c r="P2177" s="6">
        <f t="shared" si="639"/>
        <v>0</v>
      </c>
      <c r="Q2177" s="7">
        <f t="shared" si="625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41"/>
        <v>10</v>
      </c>
      <c r="C2178" s="5">
        <f t="shared" si="642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13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15"/>
        <v>45202</v>
      </c>
      <c r="L2178" s="5">
        <f t="shared" si="616"/>
        <v>10</v>
      </c>
      <c r="M2178" s="5">
        <f t="shared" si="617"/>
        <v>2023</v>
      </c>
      <c r="N2178" s="95">
        <v>1032</v>
      </c>
      <c r="O2178" s="6">
        <f t="shared" si="640"/>
        <v>-1032</v>
      </c>
      <c r="P2178" s="6">
        <f t="shared" si="639"/>
        <v>0</v>
      </c>
      <c r="Q2178" s="7">
        <f t="shared" si="625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41"/>
        <v>10</v>
      </c>
      <c r="C2179" s="5">
        <f t="shared" si="642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13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43">A2179+J2179</f>
        <v>45202</v>
      </c>
      <c r="L2179" s="5">
        <f t="shared" ref="L2179:L2242" si="644">MONTH(K2179)</f>
        <v>10</v>
      </c>
      <c r="M2179" s="5">
        <f t="shared" ref="M2179:M2242" si="645">YEAR(K2179)</f>
        <v>2023</v>
      </c>
      <c r="N2179" s="95">
        <v>1804</v>
      </c>
      <c r="P2179" s="6">
        <f t="shared" si="639"/>
        <v>1804</v>
      </c>
      <c r="Q2179" s="7">
        <f t="shared" si="625"/>
        <v>3695872.1500000018</v>
      </c>
      <c r="R2179" s="44" t="str">
        <f>VLOOKUP(F2179,'Set up'!$A$2:$E$55,5,FALSE)</f>
        <v>Trsf</v>
      </c>
    </row>
    <row r="2180" spans="1:19" ht="15" customHeight="1" x14ac:dyDescent="0.3">
      <c r="A2180" s="4">
        <v>45202</v>
      </c>
      <c r="B2180" s="5">
        <f t="shared" si="641"/>
        <v>10</v>
      </c>
      <c r="C2180" s="5">
        <f t="shared" si="642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13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43"/>
        <v>45202</v>
      </c>
      <c r="L2180" s="5">
        <f t="shared" si="644"/>
        <v>10</v>
      </c>
      <c r="M2180" s="5">
        <f t="shared" si="645"/>
        <v>2023</v>
      </c>
      <c r="N2180" s="95">
        <v>390</v>
      </c>
      <c r="P2180" s="6">
        <f t="shared" si="639"/>
        <v>390</v>
      </c>
      <c r="Q2180" s="7">
        <f t="shared" si="625"/>
        <v>3696262.1500000018</v>
      </c>
      <c r="R2180" s="44" t="str">
        <f>VLOOKUP(F2180,'Set up'!$A$2:$E$55,5,FALSE)</f>
        <v>Trsf</v>
      </c>
    </row>
    <row r="2181" spans="1:19" ht="15" customHeight="1" x14ac:dyDescent="0.3">
      <c r="A2181" s="4">
        <v>45202</v>
      </c>
      <c r="B2181" s="5">
        <f t="shared" si="641"/>
        <v>10</v>
      </c>
      <c r="C2181" s="5">
        <f t="shared" si="642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13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43"/>
        <v>45202</v>
      </c>
      <c r="L2181" s="5">
        <f t="shared" si="644"/>
        <v>10</v>
      </c>
      <c r="M2181" s="5">
        <f t="shared" si="645"/>
        <v>2023</v>
      </c>
      <c r="N2181" s="95">
        <v>421.2</v>
      </c>
      <c r="P2181" s="6">
        <f t="shared" si="639"/>
        <v>421.2</v>
      </c>
      <c r="Q2181" s="7">
        <f t="shared" si="625"/>
        <v>3696683.350000002</v>
      </c>
      <c r="R2181" s="44" t="str">
        <f>VLOOKUP(F2181,'Set up'!$A$2:$E$55,5,FALSE)</f>
        <v>Trsf</v>
      </c>
    </row>
    <row r="2182" spans="1:19" ht="15" customHeight="1" x14ac:dyDescent="0.3">
      <c r="A2182" s="4">
        <v>45203</v>
      </c>
      <c r="B2182" s="5">
        <f t="shared" si="641"/>
        <v>10</v>
      </c>
      <c r="C2182" s="5">
        <f t="shared" si="642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99" t="s">
        <v>717</v>
      </c>
      <c r="H2182" s="13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43"/>
        <v>45203</v>
      </c>
      <c r="L2182" s="5">
        <f t="shared" si="644"/>
        <v>10</v>
      </c>
      <c r="M2182" s="5">
        <f t="shared" si="645"/>
        <v>2023</v>
      </c>
      <c r="N2182" s="95">
        <v>1738</v>
      </c>
      <c r="O2182" s="6">
        <f t="shared" ref="O2182:O2184" si="646">-N2182</f>
        <v>-1738</v>
      </c>
      <c r="P2182" s="6">
        <f t="shared" si="639"/>
        <v>0</v>
      </c>
      <c r="Q2182" s="7">
        <f t="shared" si="625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41"/>
        <v>10</v>
      </c>
      <c r="C2183" s="5">
        <f t="shared" si="642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8" t="s">
        <v>655</v>
      </c>
      <c r="H2183" s="13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43"/>
        <v>45203</v>
      </c>
      <c r="L2183" s="5">
        <f t="shared" si="644"/>
        <v>10</v>
      </c>
      <c r="M2183" s="5">
        <f t="shared" si="645"/>
        <v>2023</v>
      </c>
      <c r="N2183" s="95">
        <v>702</v>
      </c>
      <c r="O2183" s="6">
        <f t="shared" si="646"/>
        <v>-702</v>
      </c>
      <c r="P2183" s="6">
        <f t="shared" si="639"/>
        <v>0</v>
      </c>
      <c r="Q2183" s="7">
        <f t="shared" si="625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41"/>
        <v>10</v>
      </c>
      <c r="C2184" s="5">
        <f t="shared" si="642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8" t="s">
        <v>1062</v>
      </c>
      <c r="H2184" s="13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43"/>
        <v>45203</v>
      </c>
      <c r="L2184" s="5">
        <f t="shared" si="644"/>
        <v>10</v>
      </c>
      <c r="M2184" s="5">
        <f t="shared" si="645"/>
        <v>2023</v>
      </c>
      <c r="N2184" s="95">
        <v>95</v>
      </c>
      <c r="O2184" s="6">
        <f t="shared" si="646"/>
        <v>-95</v>
      </c>
      <c r="P2184" s="6">
        <f t="shared" si="639"/>
        <v>0</v>
      </c>
      <c r="Q2184" s="7">
        <f t="shared" si="625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41"/>
        <v>10</v>
      </c>
      <c r="C2185" s="5">
        <f t="shared" si="642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8" t="s">
        <v>1111</v>
      </c>
      <c r="H2185" s="13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43"/>
        <v>45204</v>
      </c>
      <c r="L2185" s="5">
        <f t="shared" si="644"/>
        <v>10</v>
      </c>
      <c r="M2185" s="5">
        <f t="shared" si="645"/>
        <v>2023</v>
      </c>
      <c r="N2185" s="95">
        <v>125</v>
      </c>
      <c r="O2185" s="6">
        <f>-N2185</f>
        <v>-125</v>
      </c>
      <c r="P2185" s="6">
        <f t="shared" si="639"/>
        <v>0</v>
      </c>
      <c r="Q2185" s="7">
        <f t="shared" si="625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41"/>
        <v>10</v>
      </c>
      <c r="C2186" s="5">
        <f t="shared" si="642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8" t="s">
        <v>1734</v>
      </c>
      <c r="H2186" s="13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43"/>
        <v>45204</v>
      </c>
      <c r="L2186" s="5">
        <f t="shared" si="644"/>
        <v>10</v>
      </c>
      <c r="M2186" s="5">
        <f t="shared" si="645"/>
        <v>2023</v>
      </c>
      <c r="N2186" s="95">
        <v>3256</v>
      </c>
      <c r="O2186" s="6">
        <f>-N2186</f>
        <v>-3256</v>
      </c>
      <c r="P2186" s="6">
        <f t="shared" si="639"/>
        <v>0</v>
      </c>
      <c r="Q2186" s="7">
        <f t="shared" si="625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41"/>
        <v>10</v>
      </c>
      <c r="C2187" s="5">
        <f t="shared" si="642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8" t="s">
        <v>914</v>
      </c>
      <c r="H2187" s="13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43"/>
        <v>45204</v>
      </c>
      <c r="L2187" s="5">
        <f t="shared" si="644"/>
        <v>10</v>
      </c>
      <c r="M2187" s="5">
        <f t="shared" si="645"/>
        <v>2023</v>
      </c>
      <c r="N2187" s="95">
        <v>1080</v>
      </c>
      <c r="O2187" s="6">
        <f>-N2187</f>
        <v>-1080</v>
      </c>
      <c r="P2187" s="6">
        <f t="shared" si="639"/>
        <v>0</v>
      </c>
      <c r="Q2187" s="7">
        <f t="shared" si="625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41"/>
        <v>10</v>
      </c>
      <c r="C2188" s="5">
        <f t="shared" si="642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8" t="s">
        <v>1923</v>
      </c>
      <c r="H2188" s="13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43"/>
        <v>45204</v>
      </c>
      <c r="L2188" s="5">
        <f t="shared" si="644"/>
        <v>10</v>
      </c>
      <c r="M2188" s="5">
        <f t="shared" si="645"/>
        <v>2023</v>
      </c>
      <c r="N2188" s="95">
        <v>702</v>
      </c>
      <c r="O2188" s="6">
        <f>-N2188</f>
        <v>-702</v>
      </c>
      <c r="P2188" s="6">
        <f t="shared" si="639"/>
        <v>0</v>
      </c>
      <c r="Q2188" s="7">
        <f t="shared" si="625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41"/>
        <v>10</v>
      </c>
      <c r="C2189" s="5">
        <f t="shared" si="642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8" t="s">
        <v>1074</v>
      </c>
      <c r="H2189" s="13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43"/>
        <v>45204</v>
      </c>
      <c r="L2189" s="5">
        <f t="shared" si="644"/>
        <v>10</v>
      </c>
      <c r="M2189" s="5">
        <f t="shared" si="645"/>
        <v>2023</v>
      </c>
      <c r="N2189" s="95">
        <v>1000</v>
      </c>
      <c r="O2189" s="6">
        <f>-N2189</f>
        <v>-1000</v>
      </c>
      <c r="P2189" s="6">
        <f t="shared" si="639"/>
        <v>0</v>
      </c>
      <c r="Q2189" s="7">
        <f t="shared" si="625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41"/>
        <v>10</v>
      </c>
      <c r="C2190" s="5">
        <f t="shared" si="642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8" t="s">
        <v>1998</v>
      </c>
      <c r="H2190" s="13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43"/>
        <v>45205</v>
      </c>
      <c r="L2190" s="5">
        <f t="shared" si="644"/>
        <v>10</v>
      </c>
      <c r="M2190" s="5">
        <f t="shared" si="645"/>
        <v>2023</v>
      </c>
      <c r="N2190" s="95">
        <v>3600</v>
      </c>
      <c r="P2190" s="6">
        <f t="shared" si="639"/>
        <v>3600</v>
      </c>
      <c r="Q2190" s="7">
        <f t="shared" si="625"/>
        <v>3708981.350000002</v>
      </c>
      <c r="R2190" s="44" t="str">
        <f>VLOOKUP(F2190,'Set up'!$A$2:$E$55,5,FALSE)</f>
        <v>Trsf</v>
      </c>
    </row>
    <row r="2191" spans="1:19" ht="15" customHeight="1" x14ac:dyDescent="0.3">
      <c r="A2191" s="4">
        <v>45205</v>
      </c>
      <c r="B2191" s="5">
        <f t="shared" si="641"/>
        <v>10</v>
      </c>
      <c r="C2191" s="5">
        <f t="shared" si="642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8" t="s">
        <v>914</v>
      </c>
      <c r="H2191" s="13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43"/>
        <v>45205</v>
      </c>
      <c r="L2191" s="5">
        <f t="shared" si="644"/>
        <v>10</v>
      </c>
      <c r="M2191" s="5">
        <f t="shared" si="645"/>
        <v>2023</v>
      </c>
      <c r="N2191" s="95">
        <v>468</v>
      </c>
      <c r="P2191" s="6">
        <f t="shared" si="639"/>
        <v>468</v>
      </c>
      <c r="Q2191" s="7">
        <f t="shared" si="625"/>
        <v>3709449.350000002</v>
      </c>
      <c r="R2191" s="44" t="str">
        <f>VLOOKUP(F2191,'Set up'!$A$2:$E$55,5,FALSE)</f>
        <v>Trsf</v>
      </c>
    </row>
    <row r="2192" spans="1:19" ht="15" customHeight="1" x14ac:dyDescent="0.3">
      <c r="A2192" s="4">
        <v>45205</v>
      </c>
      <c r="B2192" s="5">
        <f t="shared" si="641"/>
        <v>10</v>
      </c>
      <c r="C2192" s="5">
        <f t="shared" si="642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8" t="s">
        <v>1179</v>
      </c>
      <c r="H2192" s="13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43"/>
        <v>45325</v>
      </c>
      <c r="L2192" s="5">
        <f t="shared" si="644"/>
        <v>2</v>
      </c>
      <c r="M2192" s="5">
        <f t="shared" si="645"/>
        <v>2024</v>
      </c>
      <c r="N2192" s="95">
        <v>9636</v>
      </c>
      <c r="O2192" s="6">
        <f t="shared" ref="O2192:O2196" si="647">-N2192</f>
        <v>-9636</v>
      </c>
      <c r="P2192" s="6">
        <f t="shared" si="639"/>
        <v>0</v>
      </c>
      <c r="Q2192" s="7">
        <f t="shared" si="625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41"/>
        <v>10</v>
      </c>
      <c r="C2193" s="5">
        <f t="shared" si="642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8" t="s">
        <v>1544</v>
      </c>
      <c r="H2193" s="13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43"/>
        <v>45325</v>
      </c>
      <c r="L2193" s="5">
        <f t="shared" si="644"/>
        <v>2</v>
      </c>
      <c r="M2193" s="5">
        <f t="shared" si="645"/>
        <v>2024</v>
      </c>
      <c r="N2193" s="95">
        <v>900</v>
      </c>
      <c r="O2193" s="6">
        <f t="shared" si="647"/>
        <v>-900</v>
      </c>
      <c r="P2193" s="6">
        <f t="shared" si="639"/>
        <v>0</v>
      </c>
      <c r="Q2193" s="7">
        <f t="shared" si="625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41"/>
        <v>10</v>
      </c>
      <c r="C2194" s="5">
        <f t="shared" si="642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8" t="s">
        <v>792</v>
      </c>
      <c r="H2194" s="13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43"/>
        <v>45325</v>
      </c>
      <c r="L2194" s="5">
        <f t="shared" si="644"/>
        <v>2</v>
      </c>
      <c r="M2194" s="5">
        <f t="shared" si="645"/>
        <v>2024</v>
      </c>
      <c r="N2194" s="95">
        <v>575</v>
      </c>
      <c r="O2194" s="6">
        <f t="shared" si="647"/>
        <v>-575</v>
      </c>
      <c r="P2194" s="6">
        <f t="shared" si="639"/>
        <v>0</v>
      </c>
      <c r="Q2194" s="7">
        <f t="shared" ref="Q2194:Q2257" si="648">SUM(Q2193+N2194)</f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41"/>
        <v>10</v>
      </c>
      <c r="C2195" s="5">
        <f t="shared" si="642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8" t="s">
        <v>46</v>
      </c>
      <c r="H2195" s="13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43"/>
        <v>45325</v>
      </c>
      <c r="L2195" s="5">
        <f t="shared" si="644"/>
        <v>2</v>
      </c>
      <c r="M2195" s="5">
        <f t="shared" si="645"/>
        <v>2024</v>
      </c>
      <c r="N2195" s="95">
        <v>420</v>
      </c>
      <c r="O2195" s="6">
        <f t="shared" si="647"/>
        <v>-420</v>
      </c>
      <c r="P2195" s="6">
        <f t="shared" si="639"/>
        <v>0</v>
      </c>
      <c r="Q2195" s="7">
        <f t="shared" si="648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41"/>
        <v>10</v>
      </c>
      <c r="C2196" s="5">
        <f t="shared" si="642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8" t="s">
        <v>44</v>
      </c>
      <c r="H2196" s="13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43"/>
        <v>45325</v>
      </c>
      <c r="L2196" s="5">
        <f t="shared" si="644"/>
        <v>2</v>
      </c>
      <c r="M2196" s="5">
        <f t="shared" si="645"/>
        <v>2024</v>
      </c>
      <c r="N2196" s="95">
        <v>238</v>
      </c>
      <c r="O2196" s="6">
        <f t="shared" si="647"/>
        <v>-238</v>
      </c>
      <c r="P2196" s="6">
        <f t="shared" si="639"/>
        <v>0</v>
      </c>
      <c r="Q2196" s="7">
        <f t="shared" si="648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41"/>
        <v>10</v>
      </c>
      <c r="C2197" s="5">
        <f t="shared" si="642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8" t="s">
        <v>1111</v>
      </c>
      <c r="H2197" s="13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43"/>
        <v>45205</v>
      </c>
      <c r="L2197" s="5">
        <f t="shared" si="644"/>
        <v>10</v>
      </c>
      <c r="M2197" s="5">
        <f t="shared" si="645"/>
        <v>2023</v>
      </c>
      <c r="N2197" s="95">
        <v>250</v>
      </c>
      <c r="O2197" s="6">
        <f>-N2197</f>
        <v>-250</v>
      </c>
      <c r="P2197" s="6">
        <f t="shared" si="639"/>
        <v>0</v>
      </c>
      <c r="Q2197" s="7">
        <f t="shared" si="648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41"/>
        <v>10</v>
      </c>
      <c r="C2198" s="5">
        <f t="shared" si="642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8" t="s">
        <v>914</v>
      </c>
      <c r="H2198" s="13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43"/>
        <v>45205</v>
      </c>
      <c r="L2198" s="5">
        <f t="shared" si="644"/>
        <v>10</v>
      </c>
      <c r="M2198" s="5">
        <f t="shared" si="645"/>
        <v>2023</v>
      </c>
      <c r="N2198" s="95">
        <v>360</v>
      </c>
      <c r="O2198" s="6">
        <f>-N2198</f>
        <v>-360</v>
      </c>
      <c r="P2198" s="6">
        <f t="shared" si="639"/>
        <v>0</v>
      </c>
      <c r="Q2198" s="7">
        <f t="shared" si="648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41"/>
        <v>10</v>
      </c>
      <c r="C2199" s="5">
        <f t="shared" si="642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8" t="s">
        <v>95</v>
      </c>
      <c r="H2199" s="13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43"/>
        <v>45206</v>
      </c>
      <c r="L2199" s="5">
        <f t="shared" si="644"/>
        <v>10</v>
      </c>
      <c r="M2199" s="5">
        <f t="shared" si="645"/>
        <v>2023</v>
      </c>
      <c r="N2199" s="95">
        <v>3476</v>
      </c>
      <c r="O2199" s="6">
        <f>-N2199</f>
        <v>-3476</v>
      </c>
      <c r="P2199" s="6">
        <f t="shared" si="639"/>
        <v>0</v>
      </c>
      <c r="Q2199" s="7">
        <f t="shared" si="648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41"/>
        <v>10</v>
      </c>
      <c r="C2200" s="5">
        <f t="shared" si="642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8" t="s">
        <v>1797</v>
      </c>
      <c r="H2200" s="13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43"/>
        <v>45206</v>
      </c>
      <c r="L2200" s="5">
        <f t="shared" si="644"/>
        <v>10</v>
      </c>
      <c r="M2200" s="5">
        <f t="shared" si="645"/>
        <v>2023</v>
      </c>
      <c r="N2200" s="95">
        <v>702</v>
      </c>
      <c r="O2200" s="6">
        <f>-N2200</f>
        <v>-702</v>
      </c>
      <c r="P2200" s="6">
        <f t="shared" si="639"/>
        <v>0</v>
      </c>
      <c r="Q2200" s="7">
        <f t="shared" si="648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41"/>
        <v>10</v>
      </c>
      <c r="C2201" s="5">
        <f t="shared" si="642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8" t="s">
        <v>1913</v>
      </c>
      <c r="H2201" s="13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43"/>
        <v>45206</v>
      </c>
      <c r="L2201" s="5">
        <f t="shared" si="644"/>
        <v>10</v>
      </c>
      <c r="M2201" s="5">
        <f t="shared" si="645"/>
        <v>2023</v>
      </c>
      <c r="N2201" s="95">
        <v>421.2</v>
      </c>
      <c r="O2201" s="6">
        <f>-421</f>
        <v>-421</v>
      </c>
      <c r="P2201" s="6">
        <f t="shared" si="639"/>
        <v>0.19999999999998863</v>
      </c>
      <c r="Q2201" s="7">
        <f t="shared" si="648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41"/>
        <v>10</v>
      </c>
      <c r="C2202" s="5">
        <f t="shared" si="642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8" t="s">
        <v>46</v>
      </c>
      <c r="H2202" s="13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43"/>
        <v>45206</v>
      </c>
      <c r="L2202" s="5">
        <f t="shared" si="644"/>
        <v>10</v>
      </c>
      <c r="M2202" s="5">
        <f t="shared" si="645"/>
        <v>2023</v>
      </c>
      <c r="N2202" s="95">
        <v>210</v>
      </c>
      <c r="O2202" s="6">
        <f>-N2202</f>
        <v>-210</v>
      </c>
      <c r="P2202" s="6">
        <f t="shared" si="639"/>
        <v>0</v>
      </c>
      <c r="Q2202" s="7">
        <f t="shared" si="648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41"/>
        <v>10</v>
      </c>
      <c r="C2203" s="5">
        <f t="shared" si="642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8" t="s">
        <v>44</v>
      </c>
      <c r="H2203" s="13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43"/>
        <v>45206</v>
      </c>
      <c r="L2203" s="5">
        <f t="shared" si="644"/>
        <v>10</v>
      </c>
      <c r="M2203" s="5">
        <f t="shared" si="645"/>
        <v>2023</v>
      </c>
      <c r="N2203" s="95">
        <v>258</v>
      </c>
      <c r="O2203" s="6">
        <f>-N2203</f>
        <v>-258</v>
      </c>
      <c r="P2203" s="6">
        <f t="shared" si="639"/>
        <v>0</v>
      </c>
      <c r="Q2203" s="7">
        <f t="shared" si="648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41"/>
        <v>10</v>
      </c>
      <c r="C2204" s="5">
        <f t="shared" si="642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8" t="s">
        <v>1111</v>
      </c>
      <c r="H2204" s="13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43"/>
        <v>45211</v>
      </c>
      <c r="L2204" s="5">
        <f t="shared" si="644"/>
        <v>10</v>
      </c>
      <c r="M2204" s="5">
        <f t="shared" si="645"/>
        <v>2023</v>
      </c>
      <c r="N2204" s="95">
        <v>125</v>
      </c>
      <c r="O2204" s="6">
        <f>-N2204</f>
        <v>-125</v>
      </c>
      <c r="P2204" s="6">
        <f t="shared" si="639"/>
        <v>0</v>
      </c>
      <c r="Q2204" s="7">
        <f t="shared" si="648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41"/>
        <v>10</v>
      </c>
      <c r="C2205" s="5">
        <f t="shared" si="642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8" t="s">
        <v>2003</v>
      </c>
      <c r="H2205" s="13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43"/>
        <v>45211</v>
      </c>
      <c r="L2205" s="5">
        <f t="shared" si="644"/>
        <v>10</v>
      </c>
      <c r="M2205" s="5">
        <f t="shared" si="645"/>
        <v>2023</v>
      </c>
      <c r="N2205" s="95">
        <v>900</v>
      </c>
      <c r="O2205" s="6">
        <f>-N2205</f>
        <v>-900</v>
      </c>
      <c r="P2205" s="6">
        <f t="shared" si="639"/>
        <v>0</v>
      </c>
      <c r="Q2205" s="7">
        <f t="shared" si="648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41"/>
        <v>10</v>
      </c>
      <c r="C2206" s="5">
        <f t="shared" si="642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8" t="s">
        <v>1199</v>
      </c>
      <c r="H2206" s="13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43"/>
        <v>45209</v>
      </c>
      <c r="L2206" s="5">
        <f t="shared" si="644"/>
        <v>10</v>
      </c>
      <c r="M2206" s="5">
        <f t="shared" si="645"/>
        <v>2023</v>
      </c>
      <c r="N2206" s="95">
        <v>234</v>
      </c>
      <c r="P2206" s="6">
        <f t="shared" si="639"/>
        <v>234</v>
      </c>
      <c r="Q2206" s="7">
        <f t="shared" si="648"/>
        <v>3728154.5500000021</v>
      </c>
      <c r="R2206" s="44" t="str">
        <f>VLOOKUP(F2206,'Set up'!$A$2:$E$55,5,FALSE)</f>
        <v>Trsf</v>
      </c>
    </row>
    <row r="2207" spans="1:19" ht="15" customHeight="1" x14ac:dyDescent="0.3">
      <c r="A2207" s="4">
        <v>45209</v>
      </c>
      <c r="B2207" s="5">
        <f t="shared" si="641"/>
        <v>10</v>
      </c>
      <c r="C2207" s="5">
        <f t="shared" si="642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8" t="s">
        <v>567</v>
      </c>
      <c r="H2207" s="13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43"/>
        <v>45209</v>
      </c>
      <c r="L2207" s="5">
        <f t="shared" si="644"/>
        <v>10</v>
      </c>
      <c r="M2207" s="5">
        <f t="shared" si="645"/>
        <v>2023</v>
      </c>
      <c r="N2207" s="95">
        <v>110</v>
      </c>
      <c r="P2207" s="6">
        <f t="shared" si="639"/>
        <v>110</v>
      </c>
      <c r="Q2207" s="7">
        <f t="shared" si="648"/>
        <v>3728264.5500000021</v>
      </c>
      <c r="R2207" s="44" t="str">
        <f>VLOOKUP(F2207,'Set up'!$A$2:$E$55,5,FALSE)</f>
        <v>Trsf</v>
      </c>
    </row>
    <row r="2208" spans="1:19" ht="15" customHeight="1" x14ac:dyDescent="0.3">
      <c r="A2208" s="4" t="s">
        <v>2005</v>
      </c>
      <c r="B2208" s="5">
        <f t="shared" si="641"/>
        <v>10</v>
      </c>
      <c r="C2208" s="5">
        <f t="shared" si="642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8" t="s">
        <v>304</v>
      </c>
      <c r="H2208" s="13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43"/>
        <v>45210</v>
      </c>
      <c r="L2208" s="5">
        <f t="shared" si="644"/>
        <v>10</v>
      </c>
      <c r="M2208" s="5">
        <f t="shared" si="645"/>
        <v>2023</v>
      </c>
      <c r="N2208" s="95">
        <v>1694</v>
      </c>
      <c r="O2208" s="6">
        <f t="shared" ref="O2208:O2212" si="649">-N2208</f>
        <v>-1694</v>
      </c>
      <c r="P2208" s="6">
        <f t="shared" si="639"/>
        <v>0</v>
      </c>
      <c r="Q2208" s="7">
        <f t="shared" si="648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41"/>
        <v>10</v>
      </c>
      <c r="C2209" s="5">
        <f t="shared" si="642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8" t="s">
        <v>989</v>
      </c>
      <c r="H2209" s="13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43"/>
        <v>45210</v>
      </c>
      <c r="L2209" s="5">
        <f t="shared" si="644"/>
        <v>10</v>
      </c>
      <c r="M2209" s="5">
        <f t="shared" si="645"/>
        <v>2023</v>
      </c>
      <c r="N2209" s="95">
        <v>702</v>
      </c>
      <c r="O2209" s="6">
        <f t="shared" si="649"/>
        <v>-702</v>
      </c>
      <c r="P2209" s="6">
        <f t="shared" si="639"/>
        <v>0</v>
      </c>
      <c r="Q2209" s="7">
        <f t="shared" si="648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41"/>
        <v>10</v>
      </c>
      <c r="C2210" s="5">
        <f t="shared" si="642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8" t="s">
        <v>44</v>
      </c>
      <c r="H2210" s="13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43"/>
        <v>45210</v>
      </c>
      <c r="L2210" s="5">
        <f t="shared" si="644"/>
        <v>10</v>
      </c>
      <c r="M2210" s="5">
        <f t="shared" si="645"/>
        <v>2023</v>
      </c>
      <c r="N2210" s="95">
        <v>258</v>
      </c>
      <c r="O2210" s="6">
        <f t="shared" si="649"/>
        <v>-258</v>
      </c>
      <c r="P2210" s="6">
        <f t="shared" si="639"/>
        <v>0</v>
      </c>
      <c r="Q2210" s="7">
        <f t="shared" si="648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41"/>
        <v>10</v>
      </c>
      <c r="C2211" s="5">
        <f t="shared" si="642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8" t="s">
        <v>17</v>
      </c>
      <c r="H2211" s="13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43"/>
        <v>45210</v>
      </c>
      <c r="L2211" s="5">
        <f t="shared" si="644"/>
        <v>10</v>
      </c>
      <c r="M2211" s="5">
        <f t="shared" si="645"/>
        <v>2023</v>
      </c>
      <c r="N2211" s="95">
        <v>105</v>
      </c>
      <c r="O2211" s="6">
        <f t="shared" si="649"/>
        <v>-105</v>
      </c>
      <c r="P2211" s="6">
        <f t="shared" si="639"/>
        <v>0</v>
      </c>
      <c r="Q2211" s="7">
        <f t="shared" si="648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41"/>
        <v>10</v>
      </c>
      <c r="C2212" s="5">
        <f t="shared" si="642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8" t="s">
        <v>950</v>
      </c>
      <c r="H2212" s="13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43"/>
        <v>45210</v>
      </c>
      <c r="L2212" s="5">
        <f t="shared" si="644"/>
        <v>10</v>
      </c>
      <c r="M2212" s="5">
        <f t="shared" si="645"/>
        <v>2023</v>
      </c>
      <c r="N2212" s="95">
        <v>150</v>
      </c>
      <c r="O2212" s="6">
        <f t="shared" si="649"/>
        <v>-150</v>
      </c>
      <c r="P2212" s="6">
        <f t="shared" si="639"/>
        <v>0</v>
      </c>
      <c r="Q2212" s="7">
        <f t="shared" si="648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41"/>
        <v>10</v>
      </c>
      <c r="C2213" s="5">
        <f t="shared" si="642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8" t="s">
        <v>2007</v>
      </c>
      <c r="H2213" s="13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43"/>
        <v>45210</v>
      </c>
      <c r="L2213" s="5">
        <f t="shared" si="644"/>
        <v>10</v>
      </c>
      <c r="M2213" s="5">
        <f t="shared" si="645"/>
        <v>2023</v>
      </c>
      <c r="N2213" s="95">
        <v>1732.5</v>
      </c>
      <c r="O2213" s="6">
        <f>-241.7-1000-490.8</f>
        <v>-1732.5</v>
      </c>
      <c r="P2213" s="6">
        <f t="shared" si="639"/>
        <v>0</v>
      </c>
      <c r="Q2213" s="7">
        <f t="shared" si="648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41"/>
        <v>10</v>
      </c>
      <c r="C2214" s="5">
        <f t="shared" si="642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8" t="s">
        <v>1111</v>
      </c>
      <c r="H2214" s="13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43"/>
        <v>45210</v>
      </c>
      <c r="L2214" s="5">
        <f t="shared" si="644"/>
        <v>10</v>
      </c>
      <c r="M2214" s="5">
        <f t="shared" si="645"/>
        <v>2023</v>
      </c>
      <c r="N2214" s="95">
        <v>312.5</v>
      </c>
      <c r="O2214" s="6">
        <f t="shared" ref="O2214" si="650">-N2214</f>
        <v>-312.5</v>
      </c>
      <c r="P2214" s="6">
        <f t="shared" si="639"/>
        <v>0</v>
      </c>
      <c r="Q2214" s="7">
        <f t="shared" si="648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51">MONTH(A2215)</f>
        <v>10</v>
      </c>
      <c r="C2215" s="5">
        <f t="shared" ref="C2215:C2228" si="652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8" t="s">
        <v>708</v>
      </c>
      <c r="H2215" s="13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43"/>
        <v>45273</v>
      </c>
      <c r="L2215" s="5">
        <f t="shared" si="644"/>
        <v>12</v>
      </c>
      <c r="M2215" s="5">
        <f t="shared" si="645"/>
        <v>2023</v>
      </c>
      <c r="N2215" s="95">
        <v>594</v>
      </c>
      <c r="O2215" s="6">
        <f t="shared" ref="O2215:O2217" si="653">-N2215</f>
        <v>-594</v>
      </c>
      <c r="P2215" s="6">
        <f t="shared" si="639"/>
        <v>0</v>
      </c>
      <c r="Q2215" s="7">
        <f t="shared" si="648"/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51"/>
        <v>10</v>
      </c>
      <c r="C2216" s="5">
        <f t="shared" si="652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8" t="s">
        <v>1008</v>
      </c>
      <c r="H2216" s="13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43"/>
        <v>45273</v>
      </c>
      <c r="L2216" s="5">
        <f t="shared" si="644"/>
        <v>12</v>
      </c>
      <c r="M2216" s="5">
        <f t="shared" si="645"/>
        <v>2023</v>
      </c>
      <c r="N2216" s="95">
        <v>594</v>
      </c>
      <c r="O2216" s="6">
        <f t="shared" si="653"/>
        <v>-594</v>
      </c>
      <c r="P2216" s="6">
        <f t="shared" si="639"/>
        <v>0</v>
      </c>
      <c r="Q2216" s="7">
        <f t="shared" si="648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51"/>
        <v>10</v>
      </c>
      <c r="C2217" s="5">
        <f t="shared" si="652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8" t="s">
        <v>46</v>
      </c>
      <c r="H2217" s="13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43"/>
        <v>45273</v>
      </c>
      <c r="L2217" s="5">
        <f t="shared" si="644"/>
        <v>12</v>
      </c>
      <c r="M2217" s="5">
        <f t="shared" si="645"/>
        <v>2023</v>
      </c>
      <c r="N2217" s="95">
        <v>440</v>
      </c>
      <c r="O2217" s="6">
        <f t="shared" si="653"/>
        <v>-440</v>
      </c>
      <c r="P2217" s="6">
        <f t="shared" si="639"/>
        <v>0</v>
      </c>
      <c r="Q2217" s="7">
        <f t="shared" si="648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51"/>
        <v>10</v>
      </c>
      <c r="C2218" s="5">
        <f t="shared" si="652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8" t="s">
        <v>95</v>
      </c>
      <c r="H2218" s="13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43"/>
        <v>45213</v>
      </c>
      <c r="L2218" s="5">
        <f t="shared" si="644"/>
        <v>10</v>
      </c>
      <c r="M2218" s="5">
        <f t="shared" si="645"/>
        <v>2023</v>
      </c>
      <c r="N2218" s="95">
        <v>1738</v>
      </c>
      <c r="P2218" s="6">
        <f t="shared" si="639"/>
        <v>1738</v>
      </c>
      <c r="Q2218" s="7">
        <f t="shared" si="648"/>
        <v>3736584.5500000021</v>
      </c>
      <c r="R2218" s="44" t="str">
        <f>VLOOKUP(F2218,'Set up'!$A$2:$E$55,5,FALSE)</f>
        <v>Trsf</v>
      </c>
    </row>
    <row r="2219" spans="1:19" ht="15" customHeight="1" x14ac:dyDescent="0.3">
      <c r="A2219" s="4" t="s">
        <v>2010</v>
      </c>
      <c r="B2219" s="5">
        <f t="shared" si="651"/>
        <v>10</v>
      </c>
      <c r="C2219" s="5">
        <f t="shared" si="652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8" t="s">
        <v>95</v>
      </c>
      <c r="H2219" s="13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43"/>
        <v>45213</v>
      </c>
      <c r="L2219" s="5">
        <f t="shared" si="644"/>
        <v>10</v>
      </c>
      <c r="M2219" s="5">
        <f t="shared" si="645"/>
        <v>2023</v>
      </c>
      <c r="N2219" s="95">
        <v>1738</v>
      </c>
      <c r="P2219" s="6">
        <f t="shared" si="639"/>
        <v>1738</v>
      </c>
      <c r="Q2219" s="7">
        <f t="shared" si="648"/>
        <v>3738322.5500000021</v>
      </c>
      <c r="R2219" s="44" t="str">
        <f>VLOOKUP(F2219,'Set up'!$A$2:$E$55,5,FALSE)</f>
        <v>Trsf</v>
      </c>
    </row>
    <row r="2220" spans="1:19" ht="15" customHeight="1" x14ac:dyDescent="0.3">
      <c r="A2220" s="4">
        <v>45216</v>
      </c>
      <c r="B2220" s="5">
        <f t="shared" si="651"/>
        <v>10</v>
      </c>
      <c r="C2220" s="5">
        <f t="shared" si="652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8" t="s">
        <v>1111</v>
      </c>
      <c r="H2220" s="13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43"/>
        <v>45216</v>
      </c>
      <c r="L2220" s="5">
        <f t="shared" si="644"/>
        <v>10</v>
      </c>
      <c r="M2220" s="5">
        <f t="shared" si="645"/>
        <v>2023</v>
      </c>
      <c r="N2220" s="95">
        <v>312.5</v>
      </c>
      <c r="O2220" s="6">
        <f>-N2220</f>
        <v>-312.5</v>
      </c>
      <c r="P2220" s="6">
        <f t="shared" si="639"/>
        <v>0</v>
      </c>
      <c r="Q2220" s="7">
        <f t="shared" si="648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51"/>
        <v>10</v>
      </c>
      <c r="C2221" s="5">
        <f t="shared" si="652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8" t="s">
        <v>1734</v>
      </c>
      <c r="H2221" s="13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43"/>
        <v>45216</v>
      </c>
      <c r="L2221" s="5">
        <f t="shared" si="644"/>
        <v>10</v>
      </c>
      <c r="M2221" s="5">
        <f t="shared" si="645"/>
        <v>2023</v>
      </c>
      <c r="N2221" s="95">
        <v>8140</v>
      </c>
      <c r="O2221" s="6">
        <f>-1340.2-6799.8</f>
        <v>-8140</v>
      </c>
      <c r="P2221" s="6">
        <f t="shared" si="639"/>
        <v>0</v>
      </c>
      <c r="Q2221" s="7">
        <f t="shared" si="648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51"/>
        <v>10</v>
      </c>
      <c r="C2222" s="5">
        <f t="shared" si="652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8" t="s">
        <v>914</v>
      </c>
      <c r="H2222" s="13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43"/>
        <v>45216</v>
      </c>
      <c r="L2222" s="5">
        <f t="shared" si="644"/>
        <v>10</v>
      </c>
      <c r="M2222" s="5">
        <f t="shared" si="645"/>
        <v>2023</v>
      </c>
      <c r="N2222" s="95">
        <v>2700</v>
      </c>
      <c r="O2222" s="6">
        <f>-N2222</f>
        <v>-2700</v>
      </c>
      <c r="P2222" s="6">
        <f t="shared" si="639"/>
        <v>0</v>
      </c>
      <c r="Q2222" s="7">
        <f t="shared" si="648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51"/>
        <v>10</v>
      </c>
      <c r="C2223" s="5">
        <f t="shared" si="652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8" t="s">
        <v>1923</v>
      </c>
      <c r="H2223" s="13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43"/>
        <v>45216</v>
      </c>
      <c r="L2223" s="5">
        <f t="shared" si="644"/>
        <v>10</v>
      </c>
      <c r="M2223" s="5">
        <f t="shared" si="645"/>
        <v>2023</v>
      </c>
      <c r="N2223" s="95">
        <v>1638</v>
      </c>
      <c r="O2223" s="6">
        <f>-N2223</f>
        <v>-1638</v>
      </c>
      <c r="P2223" s="6">
        <f t="shared" si="639"/>
        <v>0</v>
      </c>
      <c r="Q2223" s="7">
        <f t="shared" si="648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51"/>
        <v>10</v>
      </c>
      <c r="C2224" s="5">
        <f t="shared" si="652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8" t="s">
        <v>2003</v>
      </c>
      <c r="H2224" s="13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43"/>
        <v>45216</v>
      </c>
      <c r="L2224" s="5">
        <f t="shared" si="644"/>
        <v>10</v>
      </c>
      <c r="M2224" s="5">
        <f t="shared" si="645"/>
        <v>2023</v>
      </c>
      <c r="N2224" s="95">
        <v>1800</v>
      </c>
      <c r="O2224" s="6">
        <f>-N2224</f>
        <v>-1800</v>
      </c>
      <c r="P2224" s="6">
        <f t="shared" si="639"/>
        <v>0</v>
      </c>
      <c r="Q2224" s="7">
        <f t="shared" si="648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51"/>
        <v>10</v>
      </c>
      <c r="C2225" s="5">
        <f t="shared" si="652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8" t="s">
        <v>1062</v>
      </c>
      <c r="H2225" s="13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43"/>
        <v>45216</v>
      </c>
      <c r="L2225" s="5">
        <f t="shared" si="644"/>
        <v>10</v>
      </c>
      <c r="M2225" s="5">
        <f t="shared" si="645"/>
        <v>2023</v>
      </c>
      <c r="N2225" s="95">
        <v>380</v>
      </c>
      <c r="O2225" s="6">
        <f>-N2225</f>
        <v>-380</v>
      </c>
      <c r="P2225" s="6">
        <f t="shared" si="639"/>
        <v>0</v>
      </c>
      <c r="Q2225" s="7">
        <f t="shared" si="648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51"/>
        <v>10</v>
      </c>
      <c r="C2226" s="5">
        <f t="shared" si="652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8"/>
      <c r="H2226" s="13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43"/>
        <v>45278</v>
      </c>
      <c r="L2226" s="5">
        <f t="shared" si="644"/>
        <v>12</v>
      </c>
      <c r="M2226" s="5">
        <f t="shared" si="645"/>
        <v>2023</v>
      </c>
      <c r="N2226" s="95">
        <v>3212</v>
      </c>
      <c r="O2226" s="6">
        <f t="shared" ref="O2226:O2227" si="654">-N2226</f>
        <v>-3212</v>
      </c>
      <c r="P2226" s="6">
        <f t="shared" si="639"/>
        <v>0</v>
      </c>
      <c r="Q2226" s="7">
        <f t="shared" si="648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51"/>
        <v>10</v>
      </c>
      <c r="C2227" s="5">
        <f t="shared" si="652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8"/>
      <c r="H2227" s="13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43"/>
        <v>45278</v>
      </c>
      <c r="L2227" s="5">
        <f t="shared" si="644"/>
        <v>12</v>
      </c>
      <c r="M2227" s="5">
        <f t="shared" si="645"/>
        <v>2023</v>
      </c>
      <c r="N2227" s="95">
        <v>1606</v>
      </c>
      <c r="O2227" s="6">
        <f t="shared" si="654"/>
        <v>-1606</v>
      </c>
      <c r="P2227" s="6">
        <f t="shared" si="639"/>
        <v>0</v>
      </c>
      <c r="Q2227" s="7">
        <f t="shared" si="648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51"/>
        <v>10</v>
      </c>
      <c r="C2228" s="5">
        <f t="shared" si="652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8" t="s">
        <v>914</v>
      </c>
      <c r="H2228" s="13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43"/>
        <v>45219</v>
      </c>
      <c r="L2228" s="5">
        <f t="shared" si="644"/>
        <v>10</v>
      </c>
      <c r="M2228" s="5">
        <f t="shared" si="645"/>
        <v>2023</v>
      </c>
      <c r="N2228" s="95">
        <v>2700</v>
      </c>
      <c r="O2228" s="6">
        <f>-1682.2-1017.8</f>
        <v>-2700</v>
      </c>
      <c r="P2228" s="6">
        <f t="shared" si="639"/>
        <v>0</v>
      </c>
      <c r="Q2228" s="7">
        <f t="shared" si="648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55">MONTH(A2229)</f>
        <v>10</v>
      </c>
      <c r="C2229" s="5">
        <f t="shared" ref="C2229:C2258" si="65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13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43"/>
        <v>#N/A</v>
      </c>
      <c r="L2229" s="5" t="e">
        <f t="shared" si="644"/>
        <v>#N/A</v>
      </c>
      <c r="M2229" s="5" t="e">
        <f t="shared" si="645"/>
        <v>#N/A</v>
      </c>
      <c r="N2229" s="95">
        <v>0</v>
      </c>
      <c r="P2229" s="6">
        <f t="shared" ref="P2229:P2258" si="657">SUM(N2229+O2229)</f>
        <v>0</v>
      </c>
      <c r="Q2229" s="7">
        <f t="shared" si="648"/>
        <v>3760811.0500000021</v>
      </c>
      <c r="R2229" s="44" t="e">
        <f>VLOOKUP(F2229,'Set up'!$A$2:$E$55,5,FALSE)</f>
        <v>#N/A</v>
      </c>
    </row>
    <row r="2230" spans="1:19" ht="15" customHeight="1" x14ac:dyDescent="0.3">
      <c r="A2230" s="4">
        <v>45220</v>
      </c>
      <c r="B2230" s="5">
        <f t="shared" si="655"/>
        <v>10</v>
      </c>
      <c r="C2230" s="5">
        <f t="shared" si="65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13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43"/>
        <v>#N/A</v>
      </c>
      <c r="L2230" s="5" t="e">
        <f t="shared" si="644"/>
        <v>#N/A</v>
      </c>
      <c r="M2230" s="5" t="e">
        <f t="shared" si="645"/>
        <v>#N/A</v>
      </c>
      <c r="N2230" s="95">
        <v>0</v>
      </c>
      <c r="P2230" s="6">
        <f t="shared" si="657"/>
        <v>0</v>
      </c>
      <c r="Q2230" s="7">
        <f t="shared" si="648"/>
        <v>3760811.0500000021</v>
      </c>
      <c r="R2230" s="44" t="e">
        <f>VLOOKUP(F2230,'Set up'!$A$2:$E$55,5,FALSE)</f>
        <v>#N/A</v>
      </c>
    </row>
    <row r="2231" spans="1:19" ht="15" customHeight="1" x14ac:dyDescent="0.3">
      <c r="A2231" s="4">
        <v>45220</v>
      </c>
      <c r="B2231" s="5">
        <f t="shared" si="655"/>
        <v>10</v>
      </c>
      <c r="C2231" s="5">
        <f t="shared" si="65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13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43"/>
        <v>#N/A</v>
      </c>
      <c r="L2231" s="5" t="e">
        <f t="shared" si="644"/>
        <v>#N/A</v>
      </c>
      <c r="M2231" s="5" t="e">
        <f t="shared" si="645"/>
        <v>#N/A</v>
      </c>
      <c r="N2231" s="95">
        <v>0</v>
      </c>
      <c r="P2231" s="6">
        <f t="shared" si="657"/>
        <v>0</v>
      </c>
      <c r="Q2231" s="7">
        <f t="shared" si="648"/>
        <v>3760811.0500000021</v>
      </c>
      <c r="R2231" s="44" t="e">
        <f>VLOOKUP(F2231,'Set up'!$A$2:$E$55,5,FALSE)</f>
        <v>#N/A</v>
      </c>
    </row>
    <row r="2232" spans="1:19" ht="15" customHeight="1" x14ac:dyDescent="0.3">
      <c r="A2232" s="4">
        <v>45220</v>
      </c>
      <c r="B2232" s="5">
        <f t="shared" si="655"/>
        <v>10</v>
      </c>
      <c r="C2232" s="5">
        <f t="shared" si="65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13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43"/>
        <v>#N/A</v>
      </c>
      <c r="L2232" s="5" t="e">
        <f t="shared" si="644"/>
        <v>#N/A</v>
      </c>
      <c r="M2232" s="5" t="e">
        <f t="shared" si="645"/>
        <v>#N/A</v>
      </c>
      <c r="N2232" s="95">
        <v>0</v>
      </c>
      <c r="P2232" s="6">
        <f t="shared" si="657"/>
        <v>0</v>
      </c>
      <c r="Q2232" s="7">
        <f t="shared" si="648"/>
        <v>3760811.0500000021</v>
      </c>
      <c r="R2232" s="44" t="e">
        <f>VLOOKUP(F2232,'Set up'!$A$2:$E$55,5,FALSE)</f>
        <v>#N/A</v>
      </c>
    </row>
    <row r="2233" spans="1:19" ht="15" customHeight="1" x14ac:dyDescent="0.3">
      <c r="A2233" s="4">
        <v>45220</v>
      </c>
      <c r="B2233" s="5">
        <f t="shared" si="655"/>
        <v>10</v>
      </c>
      <c r="C2233" s="5">
        <f t="shared" si="65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13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43"/>
        <v>#N/A</v>
      </c>
      <c r="L2233" s="5" t="e">
        <f t="shared" si="644"/>
        <v>#N/A</v>
      </c>
      <c r="M2233" s="5" t="e">
        <f t="shared" si="645"/>
        <v>#N/A</v>
      </c>
      <c r="N2233" s="95">
        <v>0</v>
      </c>
      <c r="P2233" s="6">
        <f t="shared" si="657"/>
        <v>0</v>
      </c>
      <c r="Q2233" s="7">
        <f t="shared" si="648"/>
        <v>3760811.0500000021</v>
      </c>
      <c r="R2233" s="44" t="e">
        <f>VLOOKUP(F2233,'Set up'!$A$2:$E$55,5,FALSE)</f>
        <v>#N/A</v>
      </c>
    </row>
    <row r="2234" spans="1:19" ht="15" customHeight="1" x14ac:dyDescent="0.3">
      <c r="A2234" s="4">
        <v>45220</v>
      </c>
      <c r="B2234" s="5">
        <f t="shared" si="655"/>
        <v>10</v>
      </c>
      <c r="C2234" s="5">
        <f t="shared" si="65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13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43"/>
        <v>#N/A</v>
      </c>
      <c r="L2234" s="5" t="e">
        <f t="shared" si="644"/>
        <v>#N/A</v>
      </c>
      <c r="M2234" s="5" t="e">
        <f t="shared" si="645"/>
        <v>#N/A</v>
      </c>
      <c r="N2234" s="95">
        <v>0</v>
      </c>
      <c r="P2234" s="6">
        <f t="shared" si="657"/>
        <v>0</v>
      </c>
      <c r="Q2234" s="7">
        <f t="shared" si="648"/>
        <v>3760811.0500000021</v>
      </c>
      <c r="R2234" s="44" t="e">
        <f>VLOOKUP(F2234,'Set up'!$A$2:$E$55,5,FALSE)</f>
        <v>#N/A</v>
      </c>
    </row>
    <row r="2235" spans="1:19" ht="15" customHeight="1" x14ac:dyDescent="0.3">
      <c r="A2235" s="4">
        <v>45224</v>
      </c>
      <c r="B2235" s="5">
        <f t="shared" si="655"/>
        <v>10</v>
      </c>
      <c r="C2235" s="5">
        <f t="shared" si="65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8" t="s">
        <v>1111</v>
      </c>
      <c r="H2235" s="13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43"/>
        <v>45224</v>
      </c>
      <c r="L2235" s="5">
        <f t="shared" si="644"/>
        <v>10</v>
      </c>
      <c r="M2235" s="5">
        <f t="shared" si="645"/>
        <v>2023</v>
      </c>
      <c r="N2235" s="95">
        <v>250</v>
      </c>
      <c r="O2235" s="6">
        <f>-N2235</f>
        <v>-250</v>
      </c>
      <c r="P2235" s="6">
        <f t="shared" si="657"/>
        <v>0</v>
      </c>
      <c r="Q2235" s="7">
        <f t="shared" si="648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55"/>
        <v>10</v>
      </c>
      <c r="C2236" s="5">
        <f t="shared" si="65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8" t="s">
        <v>1734</v>
      </c>
      <c r="H2236" s="13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43"/>
        <v>45224</v>
      </c>
      <c r="L2236" s="5">
        <f t="shared" si="644"/>
        <v>10</v>
      </c>
      <c r="M2236" s="5">
        <f t="shared" si="645"/>
        <v>2023</v>
      </c>
      <c r="N2236" s="95">
        <v>6512</v>
      </c>
      <c r="O2236" s="6">
        <f>-232.2-3500-2779.8</f>
        <v>-6512</v>
      </c>
      <c r="P2236" s="6">
        <f t="shared" si="657"/>
        <v>0</v>
      </c>
      <c r="Q2236" s="7">
        <f t="shared" si="648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55"/>
        <v>10</v>
      </c>
      <c r="C2237" s="5">
        <f t="shared" si="65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8" t="s">
        <v>1923</v>
      </c>
      <c r="H2237" s="13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43"/>
        <v>45224</v>
      </c>
      <c r="L2237" s="5">
        <f t="shared" si="644"/>
        <v>10</v>
      </c>
      <c r="M2237" s="5">
        <f t="shared" si="645"/>
        <v>2023</v>
      </c>
      <c r="N2237" s="95">
        <v>1404</v>
      </c>
      <c r="O2237" s="6">
        <f>-N2237</f>
        <v>-1404</v>
      </c>
      <c r="P2237" s="6">
        <f t="shared" si="657"/>
        <v>0</v>
      </c>
      <c r="Q2237" s="7">
        <f t="shared" si="648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55"/>
        <v>10</v>
      </c>
      <c r="C2238" s="5">
        <f t="shared" si="65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8" t="s">
        <v>2024</v>
      </c>
      <c r="H2238" s="13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43"/>
        <v>45224</v>
      </c>
      <c r="L2238" s="5">
        <f t="shared" si="644"/>
        <v>10</v>
      </c>
      <c r="M2238" s="5">
        <f t="shared" si="645"/>
        <v>2023</v>
      </c>
      <c r="N2238" s="95">
        <v>2530</v>
      </c>
      <c r="O2238" s="6">
        <f t="shared" ref="O2238:O2246" si="658">-N2238</f>
        <v>-2530</v>
      </c>
      <c r="P2238" s="6">
        <f t="shared" si="657"/>
        <v>0</v>
      </c>
      <c r="Q2238" s="7">
        <f t="shared" si="648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55"/>
        <v>10</v>
      </c>
      <c r="C2239" s="5">
        <f t="shared" si="65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8" t="s">
        <v>2025</v>
      </c>
      <c r="H2239" s="13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43"/>
        <v>45224</v>
      </c>
      <c r="L2239" s="5">
        <f t="shared" si="644"/>
        <v>10</v>
      </c>
      <c r="M2239" s="5">
        <f t="shared" si="645"/>
        <v>2023</v>
      </c>
      <c r="N2239" s="95">
        <v>475.2</v>
      </c>
      <c r="O2239" s="6">
        <f t="shared" si="658"/>
        <v>-475.2</v>
      </c>
      <c r="P2239" s="6">
        <f t="shared" si="657"/>
        <v>0</v>
      </c>
      <c r="Q2239" s="7">
        <f t="shared" si="648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55"/>
        <v>10</v>
      </c>
      <c r="C2240" s="5">
        <f t="shared" si="65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8" t="s">
        <v>2026</v>
      </c>
      <c r="H2240" s="13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43"/>
        <v>45224</v>
      </c>
      <c r="L2240" s="5">
        <f t="shared" si="644"/>
        <v>10</v>
      </c>
      <c r="M2240" s="5">
        <f t="shared" si="645"/>
        <v>2023</v>
      </c>
      <c r="N2240" s="95">
        <v>120</v>
      </c>
      <c r="O2240" s="6">
        <f t="shared" si="658"/>
        <v>-120</v>
      </c>
      <c r="P2240" s="6">
        <f t="shared" si="657"/>
        <v>0</v>
      </c>
      <c r="Q2240" s="7">
        <f t="shared" si="648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55"/>
        <v>10</v>
      </c>
      <c r="C2241" s="5">
        <f t="shared" si="65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8" t="s">
        <v>2027</v>
      </c>
      <c r="H2241" s="13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43"/>
        <v>45224</v>
      </c>
      <c r="L2241" s="5">
        <f t="shared" si="644"/>
        <v>10</v>
      </c>
      <c r="M2241" s="5">
        <f t="shared" si="645"/>
        <v>2023</v>
      </c>
      <c r="N2241" s="95">
        <v>310</v>
      </c>
      <c r="O2241" s="6">
        <f t="shared" si="658"/>
        <v>-310</v>
      </c>
      <c r="P2241" s="6">
        <f t="shared" si="657"/>
        <v>0</v>
      </c>
      <c r="Q2241" s="7">
        <f t="shared" si="648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55"/>
        <v>10</v>
      </c>
      <c r="C2242" s="5">
        <f t="shared" si="65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8" t="s">
        <v>2028</v>
      </c>
      <c r="H2242" s="13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43"/>
        <v>45224</v>
      </c>
      <c r="L2242" s="5">
        <f t="shared" si="644"/>
        <v>10</v>
      </c>
      <c r="M2242" s="5">
        <f t="shared" si="645"/>
        <v>2023</v>
      </c>
      <c r="N2242" s="95">
        <v>100</v>
      </c>
      <c r="O2242" s="6">
        <f t="shared" si="658"/>
        <v>-100</v>
      </c>
      <c r="P2242" s="6">
        <f t="shared" si="657"/>
        <v>0</v>
      </c>
      <c r="Q2242" s="7">
        <f t="shared" si="648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55"/>
        <v>10</v>
      </c>
      <c r="C2243" s="5">
        <f t="shared" si="65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8" t="s">
        <v>67</v>
      </c>
      <c r="H2243" s="13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59">A2243+J2243</f>
        <v>45224</v>
      </c>
      <c r="L2243" s="5">
        <f t="shared" ref="L2243:L2306" si="660">MONTH(K2243)</f>
        <v>10</v>
      </c>
      <c r="M2243" s="5">
        <f t="shared" ref="M2243:M2306" si="661">YEAR(K2243)</f>
        <v>2023</v>
      </c>
      <c r="N2243" s="95">
        <v>1738</v>
      </c>
      <c r="O2243" s="6">
        <f t="shared" si="658"/>
        <v>-1738</v>
      </c>
      <c r="P2243" s="6">
        <f t="shared" si="657"/>
        <v>0</v>
      </c>
      <c r="Q2243" s="7">
        <f t="shared" si="648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55"/>
        <v>10</v>
      </c>
      <c r="C2244" s="5">
        <f t="shared" si="65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8" t="s">
        <v>914</v>
      </c>
      <c r="H2244" s="13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59"/>
        <v>45224</v>
      </c>
      <c r="L2244" s="5">
        <f t="shared" si="660"/>
        <v>10</v>
      </c>
      <c r="M2244" s="5">
        <f t="shared" si="661"/>
        <v>2023</v>
      </c>
      <c r="N2244" s="95">
        <v>468</v>
      </c>
      <c r="O2244" s="6">
        <f t="shared" si="658"/>
        <v>-468</v>
      </c>
      <c r="P2244" s="6">
        <f t="shared" si="657"/>
        <v>0</v>
      </c>
      <c r="Q2244" s="7">
        <f t="shared" si="648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55"/>
        <v>10</v>
      </c>
      <c r="C2245" s="5">
        <f t="shared" si="65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8" t="s">
        <v>1062</v>
      </c>
      <c r="H2245" s="13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59"/>
        <v>45224</v>
      </c>
      <c r="L2245" s="5">
        <f t="shared" si="660"/>
        <v>10</v>
      </c>
      <c r="M2245" s="5">
        <f t="shared" si="661"/>
        <v>2023</v>
      </c>
      <c r="N2245" s="95">
        <v>95</v>
      </c>
      <c r="O2245" s="6">
        <f t="shared" si="658"/>
        <v>-95</v>
      </c>
      <c r="P2245" s="6">
        <f t="shared" si="657"/>
        <v>0</v>
      </c>
      <c r="Q2245" s="7">
        <f t="shared" si="648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55"/>
        <v>10</v>
      </c>
      <c r="C2246" s="5">
        <f t="shared" si="65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8" t="s">
        <v>2031</v>
      </c>
      <c r="H2246" s="13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59"/>
        <v>45224</v>
      </c>
      <c r="L2246" s="5">
        <f t="shared" si="660"/>
        <v>10</v>
      </c>
      <c r="M2246" s="5">
        <f t="shared" si="661"/>
        <v>2023</v>
      </c>
      <c r="N2246" s="95">
        <v>260</v>
      </c>
      <c r="O2246" s="6">
        <f t="shared" si="658"/>
        <v>-260</v>
      </c>
      <c r="P2246" s="6">
        <f t="shared" si="657"/>
        <v>0</v>
      </c>
      <c r="Q2246" s="7">
        <f t="shared" si="648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55"/>
        <v>10</v>
      </c>
      <c r="C2247" s="5">
        <f t="shared" si="65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8" t="s">
        <v>95</v>
      </c>
      <c r="H2247" s="13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59"/>
        <v>45225</v>
      </c>
      <c r="L2247" s="5">
        <f t="shared" si="660"/>
        <v>10</v>
      </c>
      <c r="M2247" s="5">
        <f t="shared" si="661"/>
        <v>2023</v>
      </c>
      <c r="N2247" s="95">
        <v>1738</v>
      </c>
      <c r="P2247" s="6">
        <f t="shared" si="657"/>
        <v>1738</v>
      </c>
      <c r="Q2247" s="7">
        <f t="shared" si="648"/>
        <v>3776811.2500000023</v>
      </c>
      <c r="R2247" s="44" t="str">
        <f>VLOOKUP(F2247,'Set up'!$A$2:$E$55,5,FALSE)</f>
        <v>Trsf</v>
      </c>
    </row>
    <row r="2248" spans="1:19" ht="15" customHeight="1" x14ac:dyDescent="0.3">
      <c r="A2248" s="4">
        <v>45225</v>
      </c>
      <c r="B2248" s="5">
        <f t="shared" si="655"/>
        <v>10</v>
      </c>
      <c r="C2248" s="5">
        <f t="shared" si="65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8" t="s">
        <v>1412</v>
      </c>
      <c r="H2248" s="13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59"/>
        <v>45225</v>
      </c>
      <c r="L2248" s="5">
        <f t="shared" si="660"/>
        <v>10</v>
      </c>
      <c r="M2248" s="5">
        <f t="shared" si="661"/>
        <v>2023</v>
      </c>
      <c r="N2248" s="95">
        <v>405</v>
      </c>
      <c r="P2248" s="6">
        <f t="shared" si="657"/>
        <v>405</v>
      </c>
      <c r="Q2248" s="7">
        <f t="shared" si="648"/>
        <v>3777216.2500000023</v>
      </c>
      <c r="R2248" s="44" t="str">
        <f>VLOOKUP(F2248,'Set up'!$A$2:$E$55,5,FALSE)</f>
        <v>Trsf</v>
      </c>
    </row>
    <row r="2249" spans="1:19" ht="15" customHeight="1" x14ac:dyDescent="0.3">
      <c r="A2249" s="4">
        <v>45225</v>
      </c>
      <c r="B2249" s="5">
        <f t="shared" si="655"/>
        <v>10</v>
      </c>
      <c r="C2249" s="5">
        <f t="shared" si="65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8" t="s">
        <v>792</v>
      </c>
      <c r="H2249" s="13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59"/>
        <v>45225</v>
      </c>
      <c r="L2249" s="5">
        <f t="shared" si="660"/>
        <v>10</v>
      </c>
      <c r="M2249" s="5">
        <f t="shared" si="661"/>
        <v>2023</v>
      </c>
      <c r="N2249" s="95">
        <v>187.5</v>
      </c>
      <c r="P2249" s="6">
        <f t="shared" si="657"/>
        <v>187.5</v>
      </c>
      <c r="Q2249" s="7">
        <f t="shared" si="648"/>
        <v>3777403.7500000023</v>
      </c>
      <c r="R2249" s="44" t="str">
        <f>VLOOKUP(F2249,'Set up'!$A$2:$E$55,5,FALSE)</f>
        <v>Trsf</v>
      </c>
    </row>
    <row r="2250" spans="1:19" ht="15" customHeight="1" x14ac:dyDescent="0.3">
      <c r="A2250" s="4">
        <v>45225</v>
      </c>
      <c r="B2250" s="5">
        <f t="shared" si="655"/>
        <v>10</v>
      </c>
      <c r="C2250" s="5">
        <f t="shared" si="65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8" t="s">
        <v>46</v>
      </c>
      <c r="H2250" s="13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59"/>
        <v>45225</v>
      </c>
      <c r="L2250" s="5">
        <f t="shared" si="660"/>
        <v>10</v>
      </c>
      <c r="M2250" s="5">
        <f t="shared" si="661"/>
        <v>2023</v>
      </c>
      <c r="N2250" s="95">
        <v>105</v>
      </c>
      <c r="P2250" s="6">
        <f t="shared" si="657"/>
        <v>105</v>
      </c>
      <c r="Q2250" s="7">
        <f t="shared" si="648"/>
        <v>3777508.7500000023</v>
      </c>
      <c r="R2250" s="44" t="str">
        <f>VLOOKUP(F2250,'Set up'!$A$2:$E$55,5,FALSE)</f>
        <v>Trsf</v>
      </c>
    </row>
    <row r="2251" spans="1:19" ht="15" customHeight="1" x14ac:dyDescent="0.3">
      <c r="A2251" s="4">
        <v>45225</v>
      </c>
      <c r="B2251" s="5">
        <f t="shared" si="655"/>
        <v>10</v>
      </c>
      <c r="C2251" s="5">
        <f t="shared" si="65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8" t="s">
        <v>950</v>
      </c>
      <c r="H2251" s="13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59"/>
        <v>45225</v>
      </c>
      <c r="L2251" s="5">
        <f t="shared" si="660"/>
        <v>10</v>
      </c>
      <c r="M2251" s="5">
        <f t="shared" si="661"/>
        <v>2023</v>
      </c>
      <c r="N2251" s="95">
        <v>100</v>
      </c>
      <c r="P2251" s="6">
        <f t="shared" si="657"/>
        <v>100</v>
      </c>
      <c r="Q2251" s="7">
        <f t="shared" si="648"/>
        <v>3777608.7500000023</v>
      </c>
      <c r="R2251" s="44" t="str">
        <f>VLOOKUP(F2251,'Set up'!$A$2:$E$55,5,FALSE)</f>
        <v>Trsf</v>
      </c>
    </row>
    <row r="2252" spans="1:19" ht="15" customHeight="1" x14ac:dyDescent="0.3">
      <c r="A2252" s="4">
        <v>45225</v>
      </c>
      <c r="B2252" s="5">
        <f t="shared" si="655"/>
        <v>10</v>
      </c>
      <c r="C2252" s="5">
        <f t="shared" si="65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8" t="s">
        <v>1074</v>
      </c>
      <c r="H2252" s="13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59"/>
        <v>45225</v>
      </c>
      <c r="L2252" s="5">
        <f t="shared" si="660"/>
        <v>10</v>
      </c>
      <c r="M2252" s="5">
        <f t="shared" si="661"/>
        <v>2023</v>
      </c>
      <c r="N2252" s="95">
        <v>1000</v>
      </c>
      <c r="O2252" s="6">
        <f>-N2252</f>
        <v>-1000</v>
      </c>
      <c r="P2252" s="6">
        <f t="shared" si="657"/>
        <v>0</v>
      </c>
      <c r="Q2252" s="7">
        <f t="shared" si="648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55"/>
        <v>10</v>
      </c>
      <c r="C2253" s="5">
        <f t="shared" si="65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8" t="s">
        <v>44</v>
      </c>
      <c r="H2253" s="13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59"/>
        <v>45226</v>
      </c>
      <c r="L2253" s="5">
        <f t="shared" si="660"/>
        <v>10</v>
      </c>
      <c r="M2253" s="5">
        <f t="shared" si="661"/>
        <v>2023</v>
      </c>
      <c r="N2253" s="95">
        <v>258</v>
      </c>
      <c r="P2253" s="6">
        <f t="shared" si="657"/>
        <v>258</v>
      </c>
      <c r="Q2253" s="7">
        <f t="shared" si="648"/>
        <v>3778866.7500000023</v>
      </c>
      <c r="R2253" s="44" t="str">
        <f>VLOOKUP(F2253,'Set up'!$A$2:$E$55,5,FALSE)</f>
        <v>Trsf</v>
      </c>
    </row>
    <row r="2254" spans="1:19" ht="15" customHeight="1" x14ac:dyDescent="0.3">
      <c r="A2254" s="4">
        <v>45226</v>
      </c>
      <c r="B2254" s="5">
        <f t="shared" si="655"/>
        <v>10</v>
      </c>
      <c r="C2254" s="5">
        <f t="shared" si="65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8" t="s">
        <v>1470</v>
      </c>
      <c r="H2254" s="13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59"/>
        <v>45226</v>
      </c>
      <c r="L2254" s="5">
        <f t="shared" si="660"/>
        <v>10</v>
      </c>
      <c r="M2254" s="5">
        <f t="shared" si="661"/>
        <v>2023</v>
      </c>
      <c r="N2254" s="95">
        <v>390</v>
      </c>
      <c r="P2254" s="6">
        <f t="shared" si="657"/>
        <v>390</v>
      </c>
      <c r="Q2254" s="7">
        <f t="shared" si="648"/>
        <v>3779256.7500000023</v>
      </c>
      <c r="R2254" s="44" t="str">
        <f>VLOOKUP(F2254,'Set up'!$A$2:$E$55,5,FALSE)</f>
        <v>Trsf</v>
      </c>
    </row>
    <row r="2255" spans="1:19" ht="15" customHeight="1" x14ac:dyDescent="0.3">
      <c r="A2255" s="4">
        <v>45226</v>
      </c>
      <c r="B2255" s="5">
        <f t="shared" si="655"/>
        <v>10</v>
      </c>
      <c r="C2255" s="5">
        <f t="shared" si="65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13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59"/>
        <v>45226</v>
      </c>
      <c r="L2255" s="5">
        <f t="shared" si="660"/>
        <v>10</v>
      </c>
      <c r="M2255" s="5">
        <f t="shared" si="661"/>
        <v>2023</v>
      </c>
      <c r="N2255" s="95">
        <v>695</v>
      </c>
      <c r="O2255" s="6">
        <f>-196.7</f>
        <v>-196.7</v>
      </c>
      <c r="P2255" s="6">
        <f t="shared" si="657"/>
        <v>498.3</v>
      </c>
      <c r="Q2255" s="7">
        <f t="shared" si="648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55"/>
        <v>10</v>
      </c>
      <c r="C2256" s="5">
        <f t="shared" si="65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8" t="s">
        <v>1111</v>
      </c>
      <c r="H2256" s="13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59"/>
        <v>45227</v>
      </c>
      <c r="L2256" s="5">
        <f t="shared" si="660"/>
        <v>10</v>
      </c>
      <c r="M2256" s="5">
        <f t="shared" si="661"/>
        <v>2023</v>
      </c>
      <c r="N2256" s="95">
        <v>187.5</v>
      </c>
      <c r="O2256" s="6">
        <f>-N2256</f>
        <v>-187.5</v>
      </c>
      <c r="P2256" s="6">
        <f t="shared" si="657"/>
        <v>0</v>
      </c>
      <c r="Q2256" s="7">
        <f t="shared" si="648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55"/>
        <v>10</v>
      </c>
      <c r="C2257" s="5">
        <f t="shared" si="65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8" t="s">
        <v>1734</v>
      </c>
      <c r="H2257" s="13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59"/>
        <v>45227</v>
      </c>
      <c r="L2257" s="5">
        <f t="shared" si="660"/>
        <v>10</v>
      </c>
      <c r="M2257" s="5">
        <f t="shared" si="661"/>
        <v>2023</v>
      </c>
      <c r="N2257" s="95">
        <v>4884</v>
      </c>
      <c r="O2257" s="6">
        <f>-N2257</f>
        <v>-4884</v>
      </c>
      <c r="P2257" s="6">
        <f t="shared" si="657"/>
        <v>0</v>
      </c>
      <c r="Q2257" s="7">
        <f t="shared" si="648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55"/>
        <v>10</v>
      </c>
      <c r="C2258" s="5">
        <f t="shared" si="65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8" t="s">
        <v>914</v>
      </c>
      <c r="H2258" s="13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59"/>
        <v>45227</v>
      </c>
      <c r="L2258" s="5">
        <f t="shared" si="660"/>
        <v>10</v>
      </c>
      <c r="M2258" s="5">
        <f t="shared" si="661"/>
        <v>2023</v>
      </c>
      <c r="N2258" s="95">
        <v>1620</v>
      </c>
      <c r="O2258" s="6">
        <f>-N2258</f>
        <v>-1620</v>
      </c>
      <c r="P2258" s="6">
        <f t="shared" si="657"/>
        <v>0</v>
      </c>
      <c r="Q2258" s="7">
        <f t="shared" ref="Q2258:Q2321" si="662">SUM(Q2257+N2258)</f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63">MONTH(A2259)</f>
        <v>10</v>
      </c>
      <c r="C2259" s="5">
        <f t="shared" ref="C2259:C2260" si="66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8" t="s">
        <v>1923</v>
      </c>
      <c r="H2259" s="13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59"/>
        <v>45227</v>
      </c>
      <c r="L2259" s="5">
        <f t="shared" si="660"/>
        <v>10</v>
      </c>
      <c r="M2259" s="5">
        <f t="shared" si="661"/>
        <v>2023</v>
      </c>
      <c r="N2259" s="95">
        <v>936</v>
      </c>
      <c r="O2259" s="6">
        <f>-N2259</f>
        <v>-936</v>
      </c>
      <c r="P2259" s="6">
        <f t="shared" ref="P2259:P2322" si="665">SUM(N2259+O2259)</f>
        <v>0</v>
      </c>
      <c r="Q2259" s="7">
        <f t="shared" si="662"/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63"/>
        <v>10</v>
      </c>
      <c r="C2260" s="5">
        <f t="shared" si="66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8" t="s">
        <v>1895</v>
      </c>
      <c r="H2260" s="13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59"/>
        <v>45259</v>
      </c>
      <c r="L2260" s="5">
        <f t="shared" si="660"/>
        <v>11</v>
      </c>
      <c r="M2260" s="5">
        <f t="shared" si="661"/>
        <v>2023</v>
      </c>
      <c r="N2260" s="95">
        <v>8690</v>
      </c>
      <c r="O2260" s="6">
        <f t="shared" ref="O2260:O2268" si="666">-N2260</f>
        <v>-8690</v>
      </c>
      <c r="P2260" s="6">
        <f t="shared" si="665"/>
        <v>0</v>
      </c>
      <c r="Q2260" s="7">
        <f t="shared" si="662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67">MONTH(A2261)</f>
        <v>10</v>
      </c>
      <c r="C2261" s="5">
        <f t="shared" ref="C2261:C2268" si="66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8" t="s">
        <v>1546</v>
      </c>
      <c r="H2261" s="13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59"/>
        <v>45259</v>
      </c>
      <c r="L2261" s="5">
        <f t="shared" si="660"/>
        <v>11</v>
      </c>
      <c r="M2261" s="5">
        <f t="shared" si="661"/>
        <v>2023</v>
      </c>
      <c r="N2261" s="95">
        <v>2613</v>
      </c>
      <c r="O2261" s="6">
        <f t="shared" si="666"/>
        <v>-2613</v>
      </c>
      <c r="P2261" s="6">
        <f t="shared" si="665"/>
        <v>0</v>
      </c>
      <c r="Q2261" s="7">
        <f t="shared" si="662"/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67"/>
        <v>10</v>
      </c>
      <c r="C2262" s="5">
        <f t="shared" si="66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8" t="s">
        <v>708</v>
      </c>
      <c r="H2262" s="13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59"/>
        <v>45259</v>
      </c>
      <c r="L2262" s="5">
        <f t="shared" si="660"/>
        <v>11</v>
      </c>
      <c r="M2262" s="5">
        <f t="shared" si="661"/>
        <v>2023</v>
      </c>
      <c r="N2262" s="95">
        <v>842.4</v>
      </c>
      <c r="O2262" s="6">
        <f t="shared" si="666"/>
        <v>-842.4</v>
      </c>
      <c r="P2262" s="6">
        <f t="shared" si="665"/>
        <v>0</v>
      </c>
      <c r="Q2262" s="7">
        <f t="shared" si="662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67"/>
        <v>10</v>
      </c>
      <c r="C2263" s="5">
        <f t="shared" si="66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8" t="s">
        <v>1406</v>
      </c>
      <c r="H2263" s="13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59"/>
        <v>45259</v>
      </c>
      <c r="L2263" s="5">
        <f t="shared" si="660"/>
        <v>11</v>
      </c>
      <c r="M2263" s="5">
        <f t="shared" si="661"/>
        <v>2023</v>
      </c>
      <c r="N2263" s="95">
        <v>288</v>
      </c>
      <c r="O2263" s="6">
        <f t="shared" si="666"/>
        <v>-288</v>
      </c>
      <c r="P2263" s="6">
        <f t="shared" si="665"/>
        <v>0</v>
      </c>
      <c r="Q2263" s="7">
        <f t="shared" si="662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67"/>
        <v>10</v>
      </c>
      <c r="C2264" s="5">
        <f t="shared" si="66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8" t="s">
        <v>1111</v>
      </c>
      <c r="H2264" s="13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59"/>
        <v>45259</v>
      </c>
      <c r="L2264" s="5">
        <f t="shared" si="660"/>
        <v>11</v>
      </c>
      <c r="M2264" s="5">
        <f t="shared" si="661"/>
        <v>2023</v>
      </c>
      <c r="N2264" s="95">
        <v>625</v>
      </c>
      <c r="O2264" s="6">
        <f t="shared" si="666"/>
        <v>-625</v>
      </c>
      <c r="P2264" s="6">
        <f t="shared" si="665"/>
        <v>0</v>
      </c>
      <c r="Q2264" s="7">
        <f t="shared" si="662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67"/>
        <v>10</v>
      </c>
      <c r="C2265" s="5">
        <f t="shared" si="66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8" t="s">
        <v>44</v>
      </c>
      <c r="H2265" s="13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59"/>
        <v>45259</v>
      </c>
      <c r="L2265" s="5">
        <f t="shared" si="660"/>
        <v>11</v>
      </c>
      <c r="M2265" s="5">
        <f t="shared" si="661"/>
        <v>2023</v>
      </c>
      <c r="N2265" s="95">
        <v>260</v>
      </c>
      <c r="O2265" s="6">
        <f t="shared" si="666"/>
        <v>-260</v>
      </c>
      <c r="P2265" s="6">
        <f t="shared" si="665"/>
        <v>0</v>
      </c>
      <c r="Q2265" s="7">
        <f t="shared" si="662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67"/>
        <v>10</v>
      </c>
      <c r="C2266" s="5">
        <f t="shared" si="66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8" t="s">
        <v>1062</v>
      </c>
      <c r="H2266" s="13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59"/>
        <v>45259</v>
      </c>
      <c r="L2266" s="5">
        <f t="shared" si="660"/>
        <v>11</v>
      </c>
      <c r="M2266" s="5">
        <f t="shared" si="661"/>
        <v>2023</v>
      </c>
      <c r="N2266" s="95">
        <v>285</v>
      </c>
      <c r="O2266" s="6">
        <f t="shared" si="666"/>
        <v>-285</v>
      </c>
      <c r="P2266" s="6">
        <f t="shared" si="665"/>
        <v>0</v>
      </c>
      <c r="Q2266" s="7">
        <f t="shared" si="662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67"/>
        <v>10</v>
      </c>
      <c r="C2267" s="5">
        <f t="shared" si="66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8" t="s">
        <v>1547</v>
      </c>
      <c r="H2267" s="13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59"/>
        <v>45259</v>
      </c>
      <c r="L2267" s="5">
        <f t="shared" si="660"/>
        <v>11</v>
      </c>
      <c r="M2267" s="5">
        <f t="shared" si="661"/>
        <v>2023</v>
      </c>
      <c r="N2267" s="95">
        <v>930</v>
      </c>
      <c r="O2267" s="6">
        <f t="shared" si="666"/>
        <v>-930</v>
      </c>
      <c r="P2267" s="6">
        <f t="shared" si="665"/>
        <v>0</v>
      </c>
      <c r="Q2267" s="7">
        <f t="shared" si="662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67"/>
        <v>10</v>
      </c>
      <c r="C2268" s="5">
        <f t="shared" si="66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8" t="s">
        <v>1400</v>
      </c>
      <c r="H2268" s="13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59"/>
        <v>45259</v>
      </c>
      <c r="L2268" s="5">
        <f t="shared" si="660"/>
        <v>11</v>
      </c>
      <c r="M2268" s="5">
        <f t="shared" si="661"/>
        <v>2023</v>
      </c>
      <c r="N2268" s="95">
        <v>930</v>
      </c>
      <c r="O2268" s="6">
        <f t="shared" si="666"/>
        <v>-930</v>
      </c>
      <c r="P2268" s="6">
        <f t="shared" si="665"/>
        <v>0</v>
      </c>
      <c r="Q2268" s="7">
        <f t="shared" si="662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669">MONTH(A2269)</f>
        <v>10</v>
      </c>
      <c r="C2269" s="5">
        <f t="shared" ref="C2269" si="670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8" t="s">
        <v>1074</v>
      </c>
      <c r="H2269" s="13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59"/>
        <v>45229</v>
      </c>
      <c r="L2269" s="5">
        <f t="shared" si="660"/>
        <v>10</v>
      </c>
      <c r="M2269" s="5">
        <f t="shared" si="661"/>
        <v>2023</v>
      </c>
      <c r="N2269" s="95">
        <v>1000</v>
      </c>
      <c r="O2269" s="6">
        <f>-N2269</f>
        <v>-1000</v>
      </c>
      <c r="P2269" s="6">
        <f t="shared" si="665"/>
        <v>0</v>
      </c>
      <c r="Q2269" s="7">
        <f t="shared" si="662"/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671">MONTH(A2270)</f>
        <v>11</v>
      </c>
      <c r="C2270" s="5">
        <f t="shared" ref="C2270:C2333" si="672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8" t="s">
        <v>1739</v>
      </c>
      <c r="H2270" s="13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59"/>
        <v>45231</v>
      </c>
      <c r="L2270" s="5">
        <f t="shared" si="660"/>
        <v>11</v>
      </c>
      <c r="M2270" s="5">
        <f t="shared" si="661"/>
        <v>2023</v>
      </c>
      <c r="N2270" s="95">
        <v>1826</v>
      </c>
      <c r="O2270" s="6">
        <f t="shared" ref="O2270:O2277" si="673">-N2270</f>
        <v>-1826</v>
      </c>
      <c r="P2270" s="6">
        <f t="shared" si="665"/>
        <v>0</v>
      </c>
      <c r="Q2270" s="7">
        <f t="shared" si="66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671"/>
        <v>11</v>
      </c>
      <c r="C2271" s="5">
        <f t="shared" si="672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8" t="s">
        <v>1740</v>
      </c>
      <c r="H2271" s="13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59"/>
        <v>45231</v>
      </c>
      <c r="L2271" s="5">
        <f t="shared" si="660"/>
        <v>11</v>
      </c>
      <c r="M2271" s="5">
        <f t="shared" si="661"/>
        <v>2023</v>
      </c>
      <c r="N2271" s="95">
        <v>853.2</v>
      </c>
      <c r="O2271" s="6">
        <f t="shared" si="673"/>
        <v>-853.2</v>
      </c>
      <c r="P2271" s="6">
        <f t="shared" si="665"/>
        <v>0</v>
      </c>
      <c r="Q2271" s="7">
        <f t="shared" si="66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671"/>
        <v>11</v>
      </c>
      <c r="C2272" s="5">
        <f t="shared" si="672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8" t="s">
        <v>1741</v>
      </c>
      <c r="H2272" s="13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59"/>
        <v>45231</v>
      </c>
      <c r="L2272" s="5">
        <f t="shared" si="660"/>
        <v>11</v>
      </c>
      <c r="M2272" s="5">
        <f t="shared" si="661"/>
        <v>2023</v>
      </c>
      <c r="N2272" s="95">
        <v>426.6</v>
      </c>
      <c r="O2272" s="6">
        <f t="shared" si="673"/>
        <v>-426.6</v>
      </c>
      <c r="P2272" s="6">
        <f t="shared" si="665"/>
        <v>0</v>
      </c>
      <c r="Q2272" s="7">
        <f t="shared" si="66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671"/>
        <v>11</v>
      </c>
      <c r="C2273" s="5">
        <f t="shared" si="672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8" t="s">
        <v>44</v>
      </c>
      <c r="H2273" s="13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59"/>
        <v>45231</v>
      </c>
      <c r="L2273" s="5">
        <f t="shared" si="660"/>
        <v>11</v>
      </c>
      <c r="M2273" s="5">
        <f t="shared" si="661"/>
        <v>2023</v>
      </c>
      <c r="N2273" s="95">
        <v>516</v>
      </c>
      <c r="O2273" s="6">
        <f t="shared" si="673"/>
        <v>-516</v>
      </c>
      <c r="P2273" s="6">
        <f t="shared" si="665"/>
        <v>0</v>
      </c>
      <c r="Q2273" s="7">
        <f t="shared" si="66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671"/>
        <v>11</v>
      </c>
      <c r="C2274" s="5">
        <f t="shared" si="672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8" t="s">
        <v>17</v>
      </c>
      <c r="H2274" s="13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59"/>
        <v>45231</v>
      </c>
      <c r="L2274" s="5">
        <f t="shared" si="660"/>
        <v>11</v>
      </c>
      <c r="M2274" s="5">
        <f t="shared" si="661"/>
        <v>2023</v>
      </c>
      <c r="N2274" s="95">
        <v>110</v>
      </c>
      <c r="O2274" s="6">
        <f t="shared" si="673"/>
        <v>-110</v>
      </c>
      <c r="P2274" s="6">
        <f t="shared" si="665"/>
        <v>0</v>
      </c>
      <c r="Q2274" s="7">
        <f t="shared" si="66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671"/>
        <v>11</v>
      </c>
      <c r="C2275" s="5">
        <f t="shared" si="672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8" t="s">
        <v>1259</v>
      </c>
      <c r="H2275" s="13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59"/>
        <v>45233</v>
      </c>
      <c r="L2275" s="5">
        <f t="shared" si="660"/>
        <v>11</v>
      </c>
      <c r="M2275" s="5">
        <f t="shared" si="661"/>
        <v>2023</v>
      </c>
      <c r="N2275" s="95">
        <v>810</v>
      </c>
      <c r="O2275" s="6">
        <f t="shared" si="673"/>
        <v>-810</v>
      </c>
      <c r="P2275" s="6">
        <f t="shared" si="665"/>
        <v>0</v>
      </c>
      <c r="Q2275" s="7">
        <f t="shared" si="66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671"/>
        <v>11</v>
      </c>
      <c r="C2276" s="5">
        <f t="shared" si="672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8" t="s">
        <v>914</v>
      </c>
      <c r="H2276" s="13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59"/>
        <v>45233</v>
      </c>
      <c r="L2276" s="5">
        <f t="shared" si="660"/>
        <v>11</v>
      </c>
      <c r="M2276" s="5">
        <f t="shared" si="661"/>
        <v>2023</v>
      </c>
      <c r="N2276" s="95">
        <v>264</v>
      </c>
      <c r="O2276" s="6">
        <f t="shared" si="673"/>
        <v>-264</v>
      </c>
      <c r="P2276" s="6">
        <f t="shared" si="665"/>
        <v>0</v>
      </c>
      <c r="Q2276" s="7">
        <f t="shared" si="66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671"/>
        <v>11</v>
      </c>
      <c r="C2277" s="5">
        <f t="shared" si="672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8" t="s">
        <v>2028</v>
      </c>
      <c r="H2277" s="13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59"/>
        <v>45233</v>
      </c>
      <c r="L2277" s="5">
        <f t="shared" si="660"/>
        <v>11</v>
      </c>
      <c r="M2277" s="5">
        <f t="shared" si="661"/>
        <v>2023</v>
      </c>
      <c r="N2277" s="95">
        <v>100</v>
      </c>
      <c r="O2277" s="6">
        <f t="shared" si="673"/>
        <v>-100</v>
      </c>
      <c r="P2277" s="6">
        <f t="shared" si="665"/>
        <v>0</v>
      </c>
      <c r="Q2277" s="7">
        <f t="shared" si="66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671"/>
        <v>11</v>
      </c>
      <c r="C2278" s="5">
        <f t="shared" si="672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8" t="s">
        <v>95</v>
      </c>
      <c r="H2278" s="13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59"/>
        <v>45233</v>
      </c>
      <c r="L2278" s="5">
        <f t="shared" si="660"/>
        <v>11</v>
      </c>
      <c r="M2278" s="5">
        <f t="shared" si="661"/>
        <v>2023</v>
      </c>
      <c r="N2278" s="95">
        <v>1738</v>
      </c>
      <c r="P2278" s="6">
        <f t="shared" si="665"/>
        <v>1738</v>
      </c>
      <c r="Q2278" s="7">
        <f t="shared" si="662"/>
        <v>3810686.4500000025</v>
      </c>
      <c r="R2278" s="44" t="str">
        <f>VLOOKUP(F2278,'Set up'!$A$2:$E$55,5,FALSE)</f>
        <v>Trsf</v>
      </c>
    </row>
    <row r="2279" spans="1:19" ht="15" customHeight="1" x14ac:dyDescent="0.3">
      <c r="A2279" s="4">
        <v>45233</v>
      </c>
      <c r="B2279" s="5">
        <f t="shared" si="671"/>
        <v>11</v>
      </c>
      <c r="C2279" s="5">
        <f t="shared" si="672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8" t="s">
        <v>1412</v>
      </c>
      <c r="H2279" s="13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59"/>
        <v>45233</v>
      </c>
      <c r="L2279" s="5">
        <f t="shared" si="660"/>
        <v>11</v>
      </c>
      <c r="M2279" s="5">
        <f t="shared" si="661"/>
        <v>2023</v>
      </c>
      <c r="N2279" s="95">
        <v>405</v>
      </c>
      <c r="P2279" s="6">
        <f t="shared" si="665"/>
        <v>405</v>
      </c>
      <c r="Q2279" s="7">
        <f t="shared" si="662"/>
        <v>3811091.4500000025</v>
      </c>
      <c r="R2279" s="44" t="str">
        <f>VLOOKUP(F2279,'Set up'!$A$2:$E$55,5,FALSE)</f>
        <v>Trsf</v>
      </c>
    </row>
    <row r="2280" spans="1:19" ht="15" customHeight="1" x14ac:dyDescent="0.3">
      <c r="A2280" s="4">
        <v>45233</v>
      </c>
      <c r="B2280" s="5">
        <f t="shared" si="671"/>
        <v>11</v>
      </c>
      <c r="C2280" s="5">
        <f t="shared" si="672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8" t="s">
        <v>792</v>
      </c>
      <c r="H2280" s="13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59"/>
        <v>45233</v>
      </c>
      <c r="L2280" s="5">
        <f t="shared" si="660"/>
        <v>11</v>
      </c>
      <c r="M2280" s="5">
        <f t="shared" si="661"/>
        <v>2023</v>
      </c>
      <c r="N2280" s="95">
        <v>125</v>
      </c>
      <c r="P2280" s="6">
        <f t="shared" si="665"/>
        <v>125</v>
      </c>
      <c r="Q2280" s="7">
        <f t="shared" si="662"/>
        <v>3811216.4500000025</v>
      </c>
      <c r="R2280" s="44" t="str">
        <f>VLOOKUP(F2280,'Set up'!$A$2:$E$55,5,FALSE)</f>
        <v>Trsf</v>
      </c>
    </row>
    <row r="2281" spans="1:19" ht="15" customHeight="1" x14ac:dyDescent="0.3">
      <c r="A2281" s="4">
        <v>45233</v>
      </c>
      <c r="B2281" s="5">
        <f t="shared" si="671"/>
        <v>11</v>
      </c>
      <c r="C2281" s="5">
        <f t="shared" si="672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8" t="s">
        <v>1887</v>
      </c>
      <c r="H2281" s="13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59"/>
        <v>45233</v>
      </c>
      <c r="L2281" s="5">
        <f t="shared" si="660"/>
        <v>11</v>
      </c>
      <c r="M2281" s="5">
        <f t="shared" si="661"/>
        <v>2023</v>
      </c>
      <c r="N2281" s="95">
        <v>150</v>
      </c>
      <c r="P2281" s="6">
        <f t="shared" si="665"/>
        <v>150</v>
      </c>
      <c r="Q2281" s="7">
        <f t="shared" si="662"/>
        <v>3811366.4500000025</v>
      </c>
      <c r="R2281" s="44" t="str">
        <f>VLOOKUP(F2281,'Set up'!$A$2:$E$55,5,FALSE)</f>
        <v>Trsf</v>
      </c>
    </row>
    <row r="2282" spans="1:19" ht="15" customHeight="1" x14ac:dyDescent="0.3">
      <c r="A2282" s="4">
        <v>45234</v>
      </c>
      <c r="B2282" s="5">
        <f t="shared" si="671"/>
        <v>11</v>
      </c>
      <c r="C2282" s="5">
        <f t="shared" si="672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8" t="s">
        <v>2007</v>
      </c>
      <c r="H2282" s="13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59"/>
        <v>45234</v>
      </c>
      <c r="L2282" s="5">
        <f t="shared" si="660"/>
        <v>11</v>
      </c>
      <c r="M2282" s="5">
        <f t="shared" si="661"/>
        <v>2023</v>
      </c>
      <c r="N2282" s="95">
        <v>1777.5</v>
      </c>
      <c r="P2282" s="6">
        <f t="shared" si="665"/>
        <v>1777.5</v>
      </c>
      <c r="Q2282" s="7">
        <f t="shared" si="662"/>
        <v>3813143.9500000025</v>
      </c>
      <c r="R2282" s="44" t="str">
        <f>VLOOKUP(F2282,'Set up'!$A$2:$E$55,5,FALSE)</f>
        <v>Trsf</v>
      </c>
    </row>
    <row r="2283" spans="1:19" ht="15" customHeight="1" x14ac:dyDescent="0.3">
      <c r="A2283" s="4">
        <v>45234</v>
      </c>
      <c r="B2283" s="5">
        <f t="shared" si="671"/>
        <v>11</v>
      </c>
      <c r="C2283" s="5">
        <f t="shared" si="672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8" t="s">
        <v>1432</v>
      </c>
      <c r="H2283" s="13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59"/>
        <v>45234</v>
      </c>
      <c r="L2283" s="5">
        <f t="shared" si="660"/>
        <v>11</v>
      </c>
      <c r="M2283" s="5">
        <f t="shared" si="661"/>
        <v>2023</v>
      </c>
      <c r="N2283" s="95">
        <v>219</v>
      </c>
      <c r="P2283" s="6">
        <f t="shared" si="665"/>
        <v>219</v>
      </c>
      <c r="Q2283" s="7">
        <f t="shared" si="662"/>
        <v>3813362.9500000025</v>
      </c>
      <c r="R2283" s="44" t="str">
        <f>VLOOKUP(F2283,'Set up'!$A$2:$E$55,5,FALSE)</f>
        <v>Trsf</v>
      </c>
    </row>
    <row r="2284" spans="1:19" ht="15" customHeight="1" x14ac:dyDescent="0.3">
      <c r="A2284" s="4">
        <v>45234</v>
      </c>
      <c r="B2284" s="5">
        <f t="shared" si="671"/>
        <v>11</v>
      </c>
      <c r="C2284" s="5">
        <f t="shared" si="672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8" t="s">
        <v>1797</v>
      </c>
      <c r="H2284" s="13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59"/>
        <v>45234</v>
      </c>
      <c r="L2284" s="5">
        <f t="shared" si="660"/>
        <v>11</v>
      </c>
      <c r="M2284" s="5">
        <f t="shared" si="661"/>
        <v>2023</v>
      </c>
      <c r="N2284" s="95">
        <v>438</v>
      </c>
      <c r="P2284" s="6">
        <f t="shared" si="665"/>
        <v>438</v>
      </c>
      <c r="Q2284" s="7">
        <f t="shared" si="662"/>
        <v>3813800.9500000025</v>
      </c>
      <c r="R2284" s="44" t="str">
        <f>VLOOKUP(F2284,'Set up'!$A$2:$E$55,5,FALSE)</f>
        <v>Trsf</v>
      </c>
    </row>
    <row r="2285" spans="1:19" ht="15" customHeight="1" x14ac:dyDescent="0.3">
      <c r="A2285" s="4">
        <v>45234</v>
      </c>
      <c r="B2285" s="5">
        <f t="shared" si="671"/>
        <v>11</v>
      </c>
      <c r="C2285" s="5">
        <f t="shared" si="672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8" t="s">
        <v>1818</v>
      </c>
      <c r="H2285" s="13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59"/>
        <v>45234</v>
      </c>
      <c r="L2285" s="5">
        <f t="shared" si="660"/>
        <v>11</v>
      </c>
      <c r="M2285" s="5">
        <f t="shared" si="661"/>
        <v>2023</v>
      </c>
      <c r="N2285" s="95">
        <v>236</v>
      </c>
      <c r="P2285" s="6">
        <f t="shared" si="665"/>
        <v>236</v>
      </c>
      <c r="Q2285" s="7">
        <f t="shared" si="662"/>
        <v>3814036.9500000025</v>
      </c>
      <c r="R2285" s="44" t="str">
        <f>VLOOKUP(F2285,'Set up'!$A$2:$E$55,5,FALSE)</f>
        <v>Trsf</v>
      </c>
    </row>
    <row r="2286" spans="1:19" ht="15" customHeight="1" x14ac:dyDescent="0.3">
      <c r="A2286" s="4">
        <v>45234</v>
      </c>
      <c r="B2286" s="5">
        <f t="shared" si="671"/>
        <v>11</v>
      </c>
      <c r="C2286" s="5">
        <f t="shared" si="672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8" t="s">
        <v>1062</v>
      </c>
      <c r="H2286" s="13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59"/>
        <v>45234</v>
      </c>
      <c r="L2286" s="5">
        <f t="shared" si="660"/>
        <v>11</v>
      </c>
      <c r="M2286" s="5">
        <f t="shared" si="661"/>
        <v>2023</v>
      </c>
      <c r="N2286" s="95">
        <v>95</v>
      </c>
      <c r="P2286" s="6">
        <f t="shared" si="665"/>
        <v>95</v>
      </c>
      <c r="Q2286" s="7">
        <f t="shared" si="662"/>
        <v>3814131.9500000025</v>
      </c>
      <c r="R2286" s="44" t="str">
        <f>VLOOKUP(F2286,'Set up'!$A$2:$E$55,5,FALSE)</f>
        <v>Trsf</v>
      </c>
    </row>
    <row r="2287" spans="1:19" ht="15" customHeight="1" x14ac:dyDescent="0.3">
      <c r="A2287" s="4">
        <v>45234</v>
      </c>
      <c r="B2287" s="5">
        <f t="shared" si="671"/>
        <v>11</v>
      </c>
      <c r="C2287" s="5">
        <f t="shared" si="672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8" t="s">
        <v>1111</v>
      </c>
      <c r="H2287" s="13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59"/>
        <v>45234</v>
      </c>
      <c r="L2287" s="5">
        <f t="shared" si="660"/>
        <v>11</v>
      </c>
      <c r="M2287" s="5">
        <f t="shared" si="661"/>
        <v>2023</v>
      </c>
      <c r="N2287" s="95">
        <v>312.5</v>
      </c>
      <c r="P2287" s="6">
        <f t="shared" si="665"/>
        <v>312.5</v>
      </c>
      <c r="Q2287" s="7">
        <f t="shared" si="662"/>
        <v>3814444.4500000025</v>
      </c>
      <c r="R2287" s="44" t="str">
        <f>VLOOKUP(F2287,'Set up'!$A$2:$E$55,5,FALSE)</f>
        <v>Trsf</v>
      </c>
    </row>
    <row r="2288" spans="1:19" ht="15" customHeight="1" x14ac:dyDescent="0.3">
      <c r="A2288" s="4">
        <v>45236</v>
      </c>
      <c r="B2288" s="5">
        <f t="shared" si="671"/>
        <v>11</v>
      </c>
      <c r="C2288" s="5">
        <f t="shared" si="672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8" t="s">
        <v>1111</v>
      </c>
      <c r="H2288" s="13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59"/>
        <v>45236</v>
      </c>
      <c r="L2288" s="5">
        <f t="shared" si="660"/>
        <v>11</v>
      </c>
      <c r="M2288" s="5">
        <f t="shared" si="661"/>
        <v>2023</v>
      </c>
      <c r="N2288" s="95">
        <v>437.5</v>
      </c>
      <c r="O2288" s="6">
        <f>-N2288</f>
        <v>-437.5</v>
      </c>
      <c r="P2288" s="6">
        <f t="shared" si="665"/>
        <v>0</v>
      </c>
      <c r="Q2288" s="7">
        <f t="shared" si="66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671"/>
        <v>11</v>
      </c>
      <c r="C2289" s="5">
        <f t="shared" si="672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8" t="s">
        <v>1734</v>
      </c>
      <c r="H2289" s="13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59"/>
        <v>45236</v>
      </c>
      <c r="L2289" s="5">
        <f t="shared" si="660"/>
        <v>11</v>
      </c>
      <c r="M2289" s="5">
        <f t="shared" si="661"/>
        <v>2023</v>
      </c>
      <c r="N2289" s="95">
        <v>11242</v>
      </c>
      <c r="O2289" s="6">
        <f>-2251.2-6500-2490.8</f>
        <v>-11242</v>
      </c>
      <c r="P2289" s="6">
        <f t="shared" si="665"/>
        <v>0</v>
      </c>
      <c r="Q2289" s="7">
        <f t="shared" si="66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671"/>
        <v>11</v>
      </c>
      <c r="C2290" s="5">
        <f t="shared" si="672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8" t="s">
        <v>914</v>
      </c>
      <c r="H2290" s="13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59"/>
        <v>45236</v>
      </c>
      <c r="L2290" s="5">
        <f t="shared" si="660"/>
        <v>11</v>
      </c>
      <c r="M2290" s="5">
        <f t="shared" si="661"/>
        <v>2023</v>
      </c>
      <c r="N2290" s="95">
        <v>3828</v>
      </c>
      <c r="O2290" s="6">
        <f>-N2290</f>
        <v>-3828</v>
      </c>
      <c r="P2290" s="6">
        <f t="shared" si="665"/>
        <v>0</v>
      </c>
      <c r="Q2290" s="7">
        <f t="shared" si="66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671"/>
        <v>11</v>
      </c>
      <c r="C2291" s="5">
        <f t="shared" si="672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8" t="s">
        <v>1923</v>
      </c>
      <c r="H2291" s="13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59"/>
        <v>45236</v>
      </c>
      <c r="L2291" s="5">
        <f t="shared" si="660"/>
        <v>11</v>
      </c>
      <c r="M2291" s="5">
        <f t="shared" si="661"/>
        <v>2023</v>
      </c>
      <c r="N2291" s="95">
        <v>2574</v>
      </c>
      <c r="O2291" s="6">
        <f>-N2291</f>
        <v>-2574</v>
      </c>
      <c r="P2291" s="6">
        <f t="shared" si="665"/>
        <v>0</v>
      </c>
      <c r="Q2291" s="7">
        <f t="shared" si="66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671"/>
        <v>11</v>
      </c>
      <c r="C2292" s="5">
        <f t="shared" si="672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8" t="s">
        <v>1074</v>
      </c>
      <c r="H2292" s="13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59"/>
        <v>45236</v>
      </c>
      <c r="L2292" s="5">
        <f t="shared" si="660"/>
        <v>11</v>
      </c>
      <c r="M2292" s="5">
        <f t="shared" si="661"/>
        <v>2023</v>
      </c>
      <c r="N2292" s="95">
        <v>1000</v>
      </c>
      <c r="O2292" s="6">
        <f>-N2292</f>
        <v>-1000</v>
      </c>
      <c r="P2292" s="6">
        <f t="shared" si="665"/>
        <v>0</v>
      </c>
      <c r="Q2292" s="7">
        <f t="shared" si="66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671"/>
        <v>11</v>
      </c>
      <c r="C2293" s="5">
        <f t="shared" si="672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8" t="s">
        <v>1062</v>
      </c>
      <c r="H2293" s="13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59"/>
        <v>45236</v>
      </c>
      <c r="L2293" s="5">
        <f t="shared" si="660"/>
        <v>11</v>
      </c>
      <c r="M2293" s="5">
        <f t="shared" si="661"/>
        <v>2023</v>
      </c>
      <c r="N2293" s="95">
        <v>380</v>
      </c>
      <c r="O2293" s="6">
        <f>-N2293</f>
        <v>-380</v>
      </c>
      <c r="P2293" s="6">
        <f t="shared" si="665"/>
        <v>0</v>
      </c>
      <c r="Q2293" s="7">
        <f t="shared" si="66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671"/>
        <v>11</v>
      </c>
      <c r="C2294" s="5">
        <f t="shared" si="672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8" t="s">
        <v>67</v>
      </c>
      <c r="H2294" s="13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59"/>
        <v>45237</v>
      </c>
      <c r="L2294" s="5">
        <f t="shared" si="660"/>
        <v>11</v>
      </c>
      <c r="M2294" s="5">
        <f t="shared" si="661"/>
        <v>2023</v>
      </c>
      <c r="N2294" s="95">
        <v>1738</v>
      </c>
      <c r="O2294" s="6">
        <f t="shared" ref="O2294:O2298" si="674">-N2294</f>
        <v>-1738</v>
      </c>
      <c r="P2294" s="6">
        <f t="shared" si="665"/>
        <v>0</v>
      </c>
      <c r="Q2294" s="7">
        <f t="shared" si="66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671"/>
        <v>11</v>
      </c>
      <c r="C2295" s="5">
        <f t="shared" si="672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8" t="s">
        <v>914</v>
      </c>
      <c r="H2295" s="13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59"/>
        <v>45237</v>
      </c>
      <c r="L2295" s="5">
        <f t="shared" si="660"/>
        <v>11</v>
      </c>
      <c r="M2295" s="5">
        <f t="shared" si="661"/>
        <v>2023</v>
      </c>
      <c r="N2295" s="95">
        <v>450</v>
      </c>
      <c r="O2295" s="6">
        <f t="shared" si="674"/>
        <v>-450</v>
      </c>
      <c r="P2295" s="6">
        <f t="shared" si="665"/>
        <v>0</v>
      </c>
      <c r="Q2295" s="7">
        <f t="shared" si="66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671"/>
        <v>11</v>
      </c>
      <c r="C2296" s="5">
        <f t="shared" si="672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8" t="s">
        <v>2102</v>
      </c>
      <c r="H2296" s="13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59"/>
        <v>45237</v>
      </c>
      <c r="L2296" s="5">
        <f t="shared" si="660"/>
        <v>11</v>
      </c>
      <c r="M2296" s="5">
        <f t="shared" si="661"/>
        <v>2023</v>
      </c>
      <c r="N2296" s="95">
        <v>277.5</v>
      </c>
      <c r="O2296" s="6">
        <f t="shared" si="674"/>
        <v>-277.5</v>
      </c>
      <c r="P2296" s="6">
        <f t="shared" si="665"/>
        <v>0</v>
      </c>
      <c r="Q2296" s="7">
        <f t="shared" si="66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671"/>
        <v>11</v>
      </c>
      <c r="C2297" s="5">
        <f t="shared" si="672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8" t="s">
        <v>1062</v>
      </c>
      <c r="H2297" s="13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59"/>
        <v>45237</v>
      </c>
      <c r="L2297" s="5">
        <f t="shared" si="660"/>
        <v>11</v>
      </c>
      <c r="M2297" s="5">
        <f t="shared" si="661"/>
        <v>2023</v>
      </c>
      <c r="N2297" s="95">
        <v>95</v>
      </c>
      <c r="O2297" s="6">
        <f t="shared" si="674"/>
        <v>-95</v>
      </c>
      <c r="P2297" s="6">
        <f t="shared" si="665"/>
        <v>0</v>
      </c>
      <c r="Q2297" s="7">
        <f t="shared" si="66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671"/>
        <v>11</v>
      </c>
      <c r="C2298" s="5">
        <f t="shared" si="672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8" t="s">
        <v>44</v>
      </c>
      <c r="H2298" s="13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59"/>
        <v>45237</v>
      </c>
      <c r="L2298" s="5">
        <f t="shared" si="660"/>
        <v>11</v>
      </c>
      <c r="M2298" s="5">
        <f t="shared" si="661"/>
        <v>2023</v>
      </c>
      <c r="N2298" s="95">
        <v>258</v>
      </c>
      <c r="O2298" s="6">
        <f t="shared" si="674"/>
        <v>-258</v>
      </c>
      <c r="P2298" s="6">
        <f t="shared" si="665"/>
        <v>0</v>
      </c>
      <c r="Q2298" s="7">
        <f t="shared" si="66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671"/>
        <v>11</v>
      </c>
      <c r="C2299" s="5">
        <f t="shared" si="672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8" t="s">
        <v>304</v>
      </c>
      <c r="H2299" s="13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59"/>
        <v>45239</v>
      </c>
      <c r="L2299" s="5">
        <f t="shared" si="660"/>
        <v>11</v>
      </c>
      <c r="M2299" s="5">
        <f t="shared" si="661"/>
        <v>2023</v>
      </c>
      <c r="N2299" s="95">
        <v>3212</v>
      </c>
      <c r="O2299" s="6">
        <f t="shared" ref="O2299:O2305" si="675">-N2299</f>
        <v>-3212</v>
      </c>
      <c r="P2299" s="6">
        <f t="shared" si="665"/>
        <v>0</v>
      </c>
      <c r="Q2299" s="7">
        <f t="shared" si="66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671"/>
        <v>11</v>
      </c>
      <c r="C2300" s="5">
        <f t="shared" si="672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8" t="s">
        <v>2104</v>
      </c>
      <c r="H2300" s="13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59"/>
        <v>45239</v>
      </c>
      <c r="L2300" s="5">
        <f t="shared" si="660"/>
        <v>11</v>
      </c>
      <c r="M2300" s="5">
        <f t="shared" si="661"/>
        <v>2023</v>
      </c>
      <c r="N2300" s="95">
        <v>1295</v>
      </c>
      <c r="O2300" s="6">
        <f t="shared" si="675"/>
        <v>-1295</v>
      </c>
      <c r="P2300" s="6">
        <f t="shared" si="665"/>
        <v>0</v>
      </c>
      <c r="Q2300" s="7">
        <f t="shared" si="66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671"/>
        <v>11</v>
      </c>
      <c r="C2301" s="5">
        <f t="shared" si="672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8" t="s">
        <v>44</v>
      </c>
      <c r="H2301" s="13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59"/>
        <v>45239</v>
      </c>
      <c r="L2301" s="5">
        <f t="shared" si="660"/>
        <v>11</v>
      </c>
      <c r="M2301" s="5">
        <f t="shared" si="661"/>
        <v>2023</v>
      </c>
      <c r="N2301" s="95">
        <v>516</v>
      </c>
      <c r="O2301" s="6">
        <f t="shared" si="675"/>
        <v>-516</v>
      </c>
      <c r="P2301" s="6">
        <f t="shared" si="665"/>
        <v>0</v>
      </c>
      <c r="Q2301" s="7">
        <f t="shared" si="66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671"/>
        <v>11</v>
      </c>
      <c r="C2302" s="5">
        <f t="shared" si="672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8" t="s">
        <v>17</v>
      </c>
      <c r="H2302" s="13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59"/>
        <v>45239</v>
      </c>
      <c r="L2302" s="5">
        <f t="shared" si="660"/>
        <v>11</v>
      </c>
      <c r="M2302" s="5">
        <f t="shared" si="661"/>
        <v>2023</v>
      </c>
      <c r="N2302" s="95">
        <v>105</v>
      </c>
      <c r="O2302" s="6">
        <f t="shared" si="675"/>
        <v>-105</v>
      </c>
      <c r="P2302" s="6">
        <f t="shared" si="665"/>
        <v>0</v>
      </c>
      <c r="Q2302" s="7">
        <f t="shared" si="66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671"/>
        <v>11</v>
      </c>
      <c r="C2303" s="5">
        <f t="shared" si="672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8" t="s">
        <v>1887</v>
      </c>
      <c r="H2303" s="13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59"/>
        <v>45239</v>
      </c>
      <c r="L2303" s="5">
        <f t="shared" si="660"/>
        <v>11</v>
      </c>
      <c r="M2303" s="5">
        <f t="shared" si="661"/>
        <v>2023</v>
      </c>
      <c r="N2303" s="95">
        <v>320</v>
      </c>
      <c r="O2303" s="6">
        <f t="shared" si="675"/>
        <v>-320</v>
      </c>
      <c r="P2303" s="6">
        <f t="shared" si="665"/>
        <v>0</v>
      </c>
      <c r="Q2303" s="7">
        <f t="shared" si="66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671"/>
        <v>11</v>
      </c>
      <c r="C2304" s="5">
        <f t="shared" si="672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8" t="s">
        <v>1716</v>
      </c>
      <c r="H2304" s="13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59"/>
        <v>45239</v>
      </c>
      <c r="L2304" s="5">
        <f t="shared" si="660"/>
        <v>11</v>
      </c>
      <c r="M2304" s="5">
        <f t="shared" si="661"/>
        <v>2023</v>
      </c>
      <c r="N2304" s="95">
        <v>165</v>
      </c>
      <c r="O2304" s="6">
        <f t="shared" si="675"/>
        <v>-165</v>
      </c>
      <c r="P2304" s="6">
        <f t="shared" si="665"/>
        <v>0</v>
      </c>
      <c r="Q2304" s="7">
        <f t="shared" si="66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671"/>
        <v>11</v>
      </c>
      <c r="C2305" s="5">
        <f t="shared" si="672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8" t="s">
        <v>1406</v>
      </c>
      <c r="H2305" s="13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59"/>
        <v>45239</v>
      </c>
      <c r="L2305" s="5">
        <f t="shared" si="660"/>
        <v>11</v>
      </c>
      <c r="M2305" s="5">
        <f t="shared" si="661"/>
        <v>2023</v>
      </c>
      <c r="N2305" s="95">
        <v>192</v>
      </c>
      <c r="O2305" s="6">
        <f t="shared" si="675"/>
        <v>-192</v>
      </c>
      <c r="P2305" s="6">
        <f t="shared" si="665"/>
        <v>0</v>
      </c>
      <c r="Q2305" s="7">
        <f t="shared" si="66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671"/>
        <v>11</v>
      </c>
      <c r="C2306" s="5">
        <f t="shared" si="672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8" t="s">
        <v>1074</v>
      </c>
      <c r="H2306" s="13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59"/>
        <v>45240</v>
      </c>
      <c r="L2306" s="5">
        <f t="shared" si="660"/>
        <v>11</v>
      </c>
      <c r="M2306" s="5">
        <f t="shared" si="661"/>
        <v>2023</v>
      </c>
      <c r="N2306" s="95">
        <v>1000</v>
      </c>
      <c r="O2306" s="6">
        <f t="shared" ref="O2306:O2311" si="676">-N2306</f>
        <v>-1000</v>
      </c>
      <c r="P2306" s="6">
        <f t="shared" si="665"/>
        <v>0</v>
      </c>
      <c r="Q2306" s="7">
        <f t="shared" si="66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671"/>
        <v>11</v>
      </c>
      <c r="C2307" s="5">
        <f t="shared" si="672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8" t="s">
        <v>1111</v>
      </c>
      <c r="H2307" s="13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677">A2307+J2307</f>
        <v>45240</v>
      </c>
      <c r="L2307" s="5">
        <f t="shared" ref="L2307:L2370" si="678">MONTH(K2307)</f>
        <v>11</v>
      </c>
      <c r="M2307" s="5">
        <f t="shared" ref="M2307:M2370" si="679">YEAR(K2307)</f>
        <v>2023</v>
      </c>
      <c r="N2307" s="95">
        <v>125</v>
      </c>
      <c r="O2307" s="6">
        <f t="shared" si="676"/>
        <v>-125</v>
      </c>
      <c r="P2307" s="6">
        <f t="shared" si="665"/>
        <v>0</v>
      </c>
      <c r="Q2307" s="7">
        <f t="shared" si="66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671"/>
        <v>11</v>
      </c>
      <c r="C2308" s="5">
        <f t="shared" si="672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8" t="s">
        <v>1734</v>
      </c>
      <c r="H2308" s="13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677"/>
        <v>45245</v>
      </c>
      <c r="L2308" s="5">
        <f t="shared" si="678"/>
        <v>11</v>
      </c>
      <c r="M2308" s="5">
        <f t="shared" si="679"/>
        <v>2023</v>
      </c>
      <c r="N2308" s="95">
        <v>3212</v>
      </c>
      <c r="O2308" s="6">
        <f t="shared" si="676"/>
        <v>-3212</v>
      </c>
      <c r="P2308" s="6">
        <f t="shared" si="665"/>
        <v>0</v>
      </c>
      <c r="Q2308" s="7">
        <f t="shared" si="66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671"/>
        <v>11</v>
      </c>
      <c r="C2309" s="5">
        <f t="shared" si="672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8" t="s">
        <v>2108</v>
      </c>
      <c r="H2309" s="13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677"/>
        <v>45245</v>
      </c>
      <c r="L2309" s="5">
        <f t="shared" si="678"/>
        <v>11</v>
      </c>
      <c r="M2309" s="5">
        <f t="shared" si="679"/>
        <v>2023</v>
      </c>
      <c r="N2309" s="95">
        <v>1287.5999999999999</v>
      </c>
      <c r="O2309" s="6">
        <f t="shared" si="676"/>
        <v>-1287.5999999999999</v>
      </c>
      <c r="P2309" s="6">
        <f t="shared" si="665"/>
        <v>0</v>
      </c>
      <c r="Q2309" s="7">
        <f t="shared" si="66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671"/>
        <v>11</v>
      </c>
      <c r="C2310" s="5">
        <f t="shared" si="672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8" t="s">
        <v>1923</v>
      </c>
      <c r="H2310" s="13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677"/>
        <v>45245</v>
      </c>
      <c r="L2310" s="5">
        <f t="shared" si="678"/>
        <v>11</v>
      </c>
      <c r="M2310" s="5">
        <f t="shared" si="679"/>
        <v>2023</v>
      </c>
      <c r="N2310" s="95">
        <v>702</v>
      </c>
      <c r="O2310" s="6">
        <f t="shared" si="676"/>
        <v>-702</v>
      </c>
      <c r="P2310" s="6">
        <f t="shared" si="665"/>
        <v>0</v>
      </c>
      <c r="Q2310" s="7">
        <f t="shared" si="66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671"/>
        <v>11</v>
      </c>
      <c r="C2311" s="5">
        <f t="shared" si="672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8" t="s">
        <v>1074</v>
      </c>
      <c r="H2311" s="13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677"/>
        <v>45245</v>
      </c>
      <c r="L2311" s="5">
        <f t="shared" si="678"/>
        <v>11</v>
      </c>
      <c r="M2311" s="5">
        <f t="shared" si="679"/>
        <v>2023</v>
      </c>
      <c r="N2311" s="95">
        <v>1000</v>
      </c>
      <c r="O2311" s="6">
        <f t="shared" si="676"/>
        <v>-1000</v>
      </c>
      <c r="P2311" s="6">
        <f t="shared" si="665"/>
        <v>0</v>
      </c>
      <c r="Q2311" s="7">
        <f t="shared" si="66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671"/>
        <v>11</v>
      </c>
      <c r="C2312" s="5">
        <f t="shared" si="672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8" t="s">
        <v>2110</v>
      </c>
      <c r="H2312" s="13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677"/>
        <v>45245</v>
      </c>
      <c r="L2312" s="5">
        <f t="shared" si="678"/>
        <v>11</v>
      </c>
      <c r="M2312" s="5">
        <f t="shared" si="679"/>
        <v>2023</v>
      </c>
      <c r="N2312" s="95">
        <v>567.6</v>
      </c>
      <c r="O2312" s="6">
        <f t="shared" ref="O2312:O2319" si="680">-N2312</f>
        <v>-567.6</v>
      </c>
      <c r="P2312" s="6">
        <f t="shared" si="665"/>
        <v>0</v>
      </c>
      <c r="Q2312" s="7">
        <f t="shared" si="66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671"/>
        <v>11</v>
      </c>
      <c r="C2313" s="5">
        <f t="shared" si="672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8" t="s">
        <v>1179</v>
      </c>
      <c r="H2313" s="13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677"/>
        <v>45365</v>
      </c>
      <c r="L2313" s="5">
        <f t="shared" si="678"/>
        <v>3</v>
      </c>
      <c r="M2313" s="5">
        <f t="shared" si="679"/>
        <v>2024</v>
      </c>
      <c r="N2313" s="95">
        <v>8030</v>
      </c>
      <c r="O2313" s="6">
        <f t="shared" si="680"/>
        <v>-8030</v>
      </c>
      <c r="P2313" s="6">
        <f t="shared" si="665"/>
        <v>0</v>
      </c>
      <c r="Q2313" s="7">
        <f t="shared" si="66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671"/>
        <v>11</v>
      </c>
      <c r="C2314" s="5">
        <f t="shared" si="672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8" t="s">
        <v>2108</v>
      </c>
      <c r="H2314" s="13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677"/>
        <v>45365</v>
      </c>
      <c r="L2314" s="5">
        <f t="shared" si="678"/>
        <v>3</v>
      </c>
      <c r="M2314" s="5">
        <f t="shared" si="679"/>
        <v>2024</v>
      </c>
      <c r="N2314" s="95">
        <v>2146</v>
      </c>
      <c r="O2314" s="6">
        <f t="shared" si="680"/>
        <v>-2146</v>
      </c>
      <c r="P2314" s="6">
        <f t="shared" si="665"/>
        <v>0</v>
      </c>
      <c r="Q2314" s="7">
        <f t="shared" si="66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671"/>
        <v>11</v>
      </c>
      <c r="C2315" s="5">
        <f t="shared" si="672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8" t="s">
        <v>792</v>
      </c>
      <c r="H2315" s="13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677"/>
        <v>45365</v>
      </c>
      <c r="L2315" s="5">
        <f t="shared" si="678"/>
        <v>3</v>
      </c>
      <c r="M2315" s="5">
        <f t="shared" si="679"/>
        <v>2024</v>
      </c>
      <c r="N2315" s="95">
        <v>575</v>
      </c>
      <c r="O2315" s="6">
        <f t="shared" si="680"/>
        <v>-575</v>
      </c>
      <c r="P2315" s="6">
        <f t="shared" si="665"/>
        <v>0</v>
      </c>
      <c r="Q2315" s="7">
        <f t="shared" si="66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671"/>
        <v>11</v>
      </c>
      <c r="C2316" s="5">
        <f t="shared" si="672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8" t="s">
        <v>46</v>
      </c>
      <c r="H2316" s="13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677"/>
        <v>45365</v>
      </c>
      <c r="L2316" s="5">
        <f t="shared" si="678"/>
        <v>3</v>
      </c>
      <c r="M2316" s="5">
        <f t="shared" si="679"/>
        <v>2024</v>
      </c>
      <c r="N2316" s="95">
        <v>840</v>
      </c>
      <c r="O2316" s="6">
        <f t="shared" si="680"/>
        <v>-840</v>
      </c>
      <c r="P2316" s="6">
        <f t="shared" si="665"/>
        <v>0</v>
      </c>
      <c r="Q2316" s="7">
        <f t="shared" si="66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671"/>
        <v>11</v>
      </c>
      <c r="C2317" s="5">
        <f t="shared" si="672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8" t="s">
        <v>945</v>
      </c>
      <c r="H2317" s="13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677"/>
        <v>45365</v>
      </c>
      <c r="L2317" s="5">
        <f t="shared" si="678"/>
        <v>3</v>
      </c>
      <c r="M2317" s="5">
        <f t="shared" si="679"/>
        <v>2024</v>
      </c>
      <c r="N2317" s="95">
        <v>420</v>
      </c>
      <c r="O2317" s="6">
        <f t="shared" si="680"/>
        <v>-420</v>
      </c>
      <c r="P2317" s="6">
        <f t="shared" si="665"/>
        <v>0</v>
      </c>
      <c r="Q2317" s="7">
        <f t="shared" si="66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671"/>
        <v>11</v>
      </c>
      <c r="C2318" s="5">
        <f t="shared" si="672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8" t="s">
        <v>615</v>
      </c>
      <c r="H2318" s="13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677"/>
        <v>45365</v>
      </c>
      <c r="L2318" s="5">
        <f t="shared" si="678"/>
        <v>3</v>
      </c>
      <c r="M2318" s="5">
        <f t="shared" si="679"/>
        <v>2024</v>
      </c>
      <c r="N2318" s="95">
        <v>395</v>
      </c>
      <c r="O2318" s="6">
        <f t="shared" si="680"/>
        <v>-395</v>
      </c>
      <c r="P2318" s="6">
        <f t="shared" si="665"/>
        <v>0</v>
      </c>
      <c r="Q2318" s="7">
        <f t="shared" si="66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671"/>
        <v>11</v>
      </c>
      <c r="C2319" s="5">
        <f t="shared" si="672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8" t="s">
        <v>2113</v>
      </c>
      <c r="H2319" s="13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677"/>
        <v>45365</v>
      </c>
      <c r="L2319" s="5">
        <f t="shared" si="678"/>
        <v>3</v>
      </c>
      <c r="M2319" s="5">
        <f t="shared" si="679"/>
        <v>2024</v>
      </c>
      <c r="N2319" s="95">
        <v>1597.5</v>
      </c>
      <c r="O2319" s="6">
        <f t="shared" si="680"/>
        <v>-1597.5</v>
      </c>
      <c r="P2319" s="6">
        <f t="shared" si="665"/>
        <v>0</v>
      </c>
      <c r="Q2319" s="7">
        <f t="shared" si="66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671"/>
        <v>11</v>
      </c>
      <c r="C2320" s="5">
        <f t="shared" si="672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8" t="s">
        <v>95</v>
      </c>
      <c r="H2320" s="13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677"/>
        <v>45245</v>
      </c>
      <c r="L2320" s="5">
        <f t="shared" si="678"/>
        <v>11</v>
      </c>
      <c r="M2320" s="5">
        <f t="shared" si="679"/>
        <v>2023</v>
      </c>
      <c r="N2320" s="95">
        <v>1738</v>
      </c>
      <c r="P2320" s="6">
        <f t="shared" si="665"/>
        <v>1738</v>
      </c>
      <c r="Q2320" s="7">
        <f t="shared" si="662"/>
        <v>3866165.1500000027</v>
      </c>
      <c r="R2320" s="44" t="str">
        <f>VLOOKUP(F2320,'Set up'!$A$2:$E$55,5,FALSE)</f>
        <v>Trsf</v>
      </c>
    </row>
    <row r="2321" spans="1:19" ht="15" customHeight="1" x14ac:dyDescent="0.3">
      <c r="A2321" s="4">
        <v>45245</v>
      </c>
      <c r="B2321" s="5">
        <f t="shared" si="671"/>
        <v>11</v>
      </c>
      <c r="C2321" s="5">
        <f t="shared" si="672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8" t="s">
        <v>1412</v>
      </c>
      <c r="H2321" s="13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677"/>
        <v>45245</v>
      </c>
      <c r="L2321" s="5">
        <f t="shared" si="678"/>
        <v>11</v>
      </c>
      <c r="M2321" s="5">
        <f t="shared" si="679"/>
        <v>2023</v>
      </c>
      <c r="N2321" s="95">
        <v>405</v>
      </c>
      <c r="P2321" s="6">
        <f t="shared" si="665"/>
        <v>405</v>
      </c>
      <c r="Q2321" s="7">
        <f t="shared" si="662"/>
        <v>3866570.1500000027</v>
      </c>
      <c r="R2321" s="44" t="str">
        <f>VLOOKUP(F2321,'Set up'!$A$2:$E$55,5,FALSE)</f>
        <v>Trsf</v>
      </c>
    </row>
    <row r="2322" spans="1:19" ht="15" customHeight="1" x14ac:dyDescent="0.3">
      <c r="A2322" s="4">
        <v>45245</v>
      </c>
      <c r="B2322" s="5">
        <f t="shared" si="671"/>
        <v>11</v>
      </c>
      <c r="C2322" s="5">
        <f t="shared" si="672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8" t="s">
        <v>792</v>
      </c>
      <c r="H2322" s="13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677"/>
        <v>45245</v>
      </c>
      <c r="L2322" s="5">
        <f t="shared" si="678"/>
        <v>11</v>
      </c>
      <c r="M2322" s="5">
        <f t="shared" si="679"/>
        <v>2023</v>
      </c>
      <c r="N2322" s="95">
        <v>187.5</v>
      </c>
      <c r="P2322" s="6">
        <f t="shared" si="665"/>
        <v>187.5</v>
      </c>
      <c r="Q2322" s="7">
        <f t="shared" ref="Q2322:Q2385" si="681">SUM(Q2321+N2322)</f>
        <v>3866757.6500000027</v>
      </c>
      <c r="R2322" s="44" t="str">
        <f>VLOOKUP(F2322,'Set up'!$A$2:$E$55,5,FALSE)</f>
        <v>Trsf</v>
      </c>
    </row>
    <row r="2323" spans="1:19" ht="15" customHeight="1" x14ac:dyDescent="0.3">
      <c r="A2323" s="4">
        <v>45245</v>
      </c>
      <c r="B2323" s="5">
        <f t="shared" si="671"/>
        <v>11</v>
      </c>
      <c r="C2323" s="5">
        <f t="shared" si="672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8" t="s">
        <v>46</v>
      </c>
      <c r="H2323" s="13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677"/>
        <v>45245</v>
      </c>
      <c r="L2323" s="5">
        <f t="shared" si="678"/>
        <v>11</v>
      </c>
      <c r="M2323" s="5">
        <f t="shared" si="679"/>
        <v>2023</v>
      </c>
      <c r="N2323" s="95">
        <v>105</v>
      </c>
      <c r="P2323" s="6">
        <f t="shared" ref="P2323:P2386" si="682">SUM(N2323+O2323)</f>
        <v>105</v>
      </c>
      <c r="Q2323" s="7">
        <f t="shared" si="681"/>
        <v>3866862.6500000027</v>
      </c>
      <c r="R2323" s="44" t="str">
        <f>VLOOKUP(F2323,'Set up'!$A$2:$E$55,5,FALSE)</f>
        <v>Trsf</v>
      </c>
    </row>
    <row r="2324" spans="1:19" ht="15" customHeight="1" x14ac:dyDescent="0.3">
      <c r="A2324" s="4">
        <v>45245</v>
      </c>
      <c r="B2324" s="5">
        <f t="shared" si="671"/>
        <v>11</v>
      </c>
      <c r="C2324" s="5">
        <f t="shared" si="672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8" t="s">
        <v>1470</v>
      </c>
      <c r="H2324" s="13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677"/>
        <v>45245</v>
      </c>
      <c r="L2324" s="5">
        <f t="shared" si="678"/>
        <v>11</v>
      </c>
      <c r="M2324" s="5">
        <f t="shared" si="679"/>
        <v>2023</v>
      </c>
      <c r="N2324" s="95">
        <v>390</v>
      </c>
      <c r="P2324" s="6">
        <f t="shared" si="682"/>
        <v>390</v>
      </c>
      <c r="Q2324" s="7">
        <f t="shared" si="681"/>
        <v>3867252.6500000027</v>
      </c>
      <c r="R2324" s="44" t="str">
        <f>VLOOKUP(F2324,'Set up'!$A$2:$E$55,5,FALSE)</f>
        <v>Trsf</v>
      </c>
    </row>
    <row r="2325" spans="1:19" ht="15" customHeight="1" x14ac:dyDescent="0.3">
      <c r="A2325" s="4">
        <v>45245</v>
      </c>
      <c r="B2325" s="5">
        <f t="shared" si="671"/>
        <v>11</v>
      </c>
      <c r="C2325" s="5">
        <f t="shared" si="672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8" t="s">
        <v>1628</v>
      </c>
      <c r="H2325" s="13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677"/>
        <v>45245</v>
      </c>
      <c r="L2325" s="5">
        <f t="shared" si="678"/>
        <v>11</v>
      </c>
      <c r="M2325" s="5">
        <f t="shared" si="679"/>
        <v>2023</v>
      </c>
      <c r="N2325" s="95">
        <v>260</v>
      </c>
      <c r="P2325" s="6">
        <f t="shared" si="682"/>
        <v>260</v>
      </c>
      <c r="Q2325" s="7">
        <f t="shared" si="681"/>
        <v>3867512.6500000027</v>
      </c>
      <c r="R2325" s="44" t="str">
        <f>VLOOKUP(F2325,'Set up'!$A$2:$E$55,5,FALSE)</f>
        <v>Trsf</v>
      </c>
    </row>
    <row r="2326" spans="1:19" ht="15" customHeight="1" x14ac:dyDescent="0.3">
      <c r="A2326" s="4">
        <v>45247</v>
      </c>
      <c r="B2326" s="5">
        <f t="shared" si="671"/>
        <v>11</v>
      </c>
      <c r="C2326" s="5">
        <f t="shared" si="672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8" t="s">
        <v>1111</v>
      </c>
      <c r="H2326" s="13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677"/>
        <v>45247</v>
      </c>
      <c r="L2326" s="5">
        <f t="shared" si="678"/>
        <v>11</v>
      </c>
      <c r="M2326" s="5">
        <f t="shared" si="679"/>
        <v>2023</v>
      </c>
      <c r="N2326" s="95">
        <v>62.5</v>
      </c>
      <c r="O2326" s="6">
        <f>-N2326</f>
        <v>-62.5</v>
      </c>
      <c r="P2326" s="6">
        <f t="shared" si="682"/>
        <v>0</v>
      </c>
      <c r="Q2326" s="7">
        <f t="shared" si="681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671"/>
        <v>11</v>
      </c>
      <c r="C2327" s="5">
        <f t="shared" si="672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8" t="s">
        <v>1734</v>
      </c>
      <c r="H2327" s="13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677"/>
        <v>45247</v>
      </c>
      <c r="L2327" s="5">
        <f t="shared" si="678"/>
        <v>11</v>
      </c>
      <c r="M2327" s="5">
        <f t="shared" si="679"/>
        <v>2023</v>
      </c>
      <c r="N2327" s="95">
        <v>1606</v>
      </c>
      <c r="O2327" s="6">
        <f>-N2327</f>
        <v>-1606</v>
      </c>
      <c r="P2327" s="6">
        <f t="shared" si="682"/>
        <v>0</v>
      </c>
      <c r="Q2327" s="7">
        <f t="shared" si="681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671"/>
        <v>11</v>
      </c>
      <c r="C2328" s="5">
        <f t="shared" si="672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8" t="s">
        <v>2108</v>
      </c>
      <c r="H2328" s="13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677"/>
        <v>45247</v>
      </c>
      <c r="L2328" s="5">
        <f t="shared" si="678"/>
        <v>11</v>
      </c>
      <c r="M2328" s="5">
        <f t="shared" si="679"/>
        <v>2023</v>
      </c>
      <c r="N2328" s="95">
        <v>643.79999999999995</v>
      </c>
      <c r="O2328" s="6">
        <f>-N2328</f>
        <v>-643.79999999999995</v>
      </c>
      <c r="P2328" s="6">
        <f t="shared" si="682"/>
        <v>0</v>
      </c>
      <c r="Q2328" s="7">
        <f t="shared" si="681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671"/>
        <v>11</v>
      </c>
      <c r="C2329" s="5">
        <f t="shared" si="672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8" t="s">
        <v>1923</v>
      </c>
      <c r="H2329" s="13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677"/>
        <v>45247</v>
      </c>
      <c r="L2329" s="5">
        <f t="shared" si="678"/>
        <v>11</v>
      </c>
      <c r="M2329" s="5">
        <f t="shared" si="679"/>
        <v>2023</v>
      </c>
      <c r="N2329" s="95">
        <v>468</v>
      </c>
      <c r="O2329" s="6">
        <f>-N2329</f>
        <v>-468</v>
      </c>
      <c r="P2329" s="6">
        <f t="shared" si="682"/>
        <v>0</v>
      </c>
      <c r="Q2329" s="7">
        <f t="shared" si="681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671"/>
        <v>11</v>
      </c>
      <c r="C2330" s="5">
        <f t="shared" si="672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8" t="s">
        <v>304</v>
      </c>
      <c r="H2330" s="13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677"/>
        <v>45251</v>
      </c>
      <c r="L2330" s="5">
        <f t="shared" si="678"/>
        <v>11</v>
      </c>
      <c r="M2330" s="5">
        <f t="shared" si="679"/>
        <v>2023</v>
      </c>
      <c r="N2330" s="95">
        <v>3212</v>
      </c>
      <c r="O2330" s="6">
        <f t="shared" ref="O2330:O2334" si="683">-N2330</f>
        <v>-3212</v>
      </c>
      <c r="P2330" s="6">
        <f t="shared" si="682"/>
        <v>0</v>
      </c>
      <c r="Q2330" s="7">
        <f t="shared" si="681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671"/>
        <v>11</v>
      </c>
      <c r="C2331" s="5">
        <f t="shared" si="672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8" t="s">
        <v>2104</v>
      </c>
      <c r="H2331" s="13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677"/>
        <v>45251</v>
      </c>
      <c r="L2331" s="5">
        <f t="shared" si="678"/>
        <v>11</v>
      </c>
      <c r="M2331" s="5">
        <f t="shared" si="679"/>
        <v>2023</v>
      </c>
      <c r="N2331" s="95">
        <v>1036</v>
      </c>
      <c r="O2331" s="6">
        <f t="shared" si="683"/>
        <v>-1036</v>
      </c>
      <c r="P2331" s="6">
        <f t="shared" si="682"/>
        <v>0</v>
      </c>
      <c r="Q2331" s="7">
        <f t="shared" si="681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671"/>
        <v>11</v>
      </c>
      <c r="C2332" s="5">
        <f t="shared" si="672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8" t="s">
        <v>2110</v>
      </c>
      <c r="H2332" s="13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677"/>
        <v>45251</v>
      </c>
      <c r="L2332" s="5">
        <f t="shared" si="678"/>
        <v>11</v>
      </c>
      <c r="M2332" s="5">
        <f t="shared" si="679"/>
        <v>2023</v>
      </c>
      <c r="N2332" s="95">
        <v>851.4</v>
      </c>
      <c r="O2332" s="6">
        <f t="shared" si="683"/>
        <v>-851.4</v>
      </c>
      <c r="P2332" s="6">
        <f t="shared" si="682"/>
        <v>0</v>
      </c>
      <c r="Q2332" s="7">
        <f t="shared" si="681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671"/>
        <v>11</v>
      </c>
      <c r="C2333" s="5">
        <f t="shared" si="672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8" t="s">
        <v>17</v>
      </c>
      <c r="H2333" s="13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677"/>
        <v>45251</v>
      </c>
      <c r="L2333" s="5">
        <f t="shared" si="678"/>
        <v>11</v>
      </c>
      <c r="M2333" s="5">
        <f t="shared" si="679"/>
        <v>2023</v>
      </c>
      <c r="N2333" s="95">
        <v>105</v>
      </c>
      <c r="O2333" s="6">
        <f t="shared" si="683"/>
        <v>-105</v>
      </c>
      <c r="P2333" s="6">
        <f t="shared" si="682"/>
        <v>0</v>
      </c>
      <c r="Q2333" s="7">
        <f t="shared" si="681"/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684">MONTH(A2334)</f>
        <v>11</v>
      </c>
      <c r="C2334" s="5">
        <f t="shared" ref="C2334:C2362" si="685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8" t="s">
        <v>1887</v>
      </c>
      <c r="H2334" s="13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677"/>
        <v>45251</v>
      </c>
      <c r="L2334" s="5">
        <f t="shared" si="678"/>
        <v>11</v>
      </c>
      <c r="M2334" s="5">
        <f t="shared" si="679"/>
        <v>2023</v>
      </c>
      <c r="N2334" s="95">
        <v>640</v>
      </c>
      <c r="O2334" s="6">
        <f t="shared" si="683"/>
        <v>-640</v>
      </c>
      <c r="P2334" s="6">
        <f t="shared" si="682"/>
        <v>0</v>
      </c>
      <c r="Q2334" s="7">
        <f t="shared" si="681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684"/>
        <v>11</v>
      </c>
      <c r="C2335" s="5">
        <f t="shared" si="685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8" t="s">
        <v>1111</v>
      </c>
      <c r="H2335" s="13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677"/>
        <v>45251</v>
      </c>
      <c r="L2335" s="5">
        <f t="shared" si="678"/>
        <v>11</v>
      </c>
      <c r="M2335" s="5">
        <f t="shared" si="679"/>
        <v>2023</v>
      </c>
      <c r="N2335" s="95">
        <v>125</v>
      </c>
      <c r="O2335" s="6">
        <f>-N2335</f>
        <v>-125</v>
      </c>
      <c r="P2335" s="6">
        <f t="shared" si="682"/>
        <v>0</v>
      </c>
      <c r="Q2335" s="7">
        <f t="shared" si="681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684"/>
        <v>11</v>
      </c>
      <c r="C2336" s="5">
        <f t="shared" si="685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8" t="s">
        <v>1734</v>
      </c>
      <c r="H2336" s="13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677"/>
        <v>45251</v>
      </c>
      <c r="L2336" s="5">
        <f t="shared" si="678"/>
        <v>11</v>
      </c>
      <c r="M2336" s="5">
        <f t="shared" si="679"/>
        <v>2023</v>
      </c>
      <c r="N2336" s="95">
        <v>3212</v>
      </c>
      <c r="O2336" s="6">
        <f>-N2336</f>
        <v>-3212</v>
      </c>
      <c r="P2336" s="6">
        <f t="shared" si="682"/>
        <v>0</v>
      </c>
      <c r="Q2336" s="7">
        <f t="shared" si="681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684"/>
        <v>11</v>
      </c>
      <c r="C2337" s="5">
        <f t="shared" si="685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8" t="s">
        <v>95</v>
      </c>
      <c r="H2337" s="13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677"/>
        <v>45252</v>
      </c>
      <c r="L2337" s="5">
        <f t="shared" si="678"/>
        <v>11</v>
      </c>
      <c r="M2337" s="5">
        <f t="shared" si="679"/>
        <v>2023</v>
      </c>
      <c r="N2337" s="95">
        <v>1738</v>
      </c>
      <c r="O2337" s="6">
        <f>-N2337</f>
        <v>-1738</v>
      </c>
      <c r="P2337" s="6">
        <f t="shared" si="682"/>
        <v>0</v>
      </c>
      <c r="Q2337" s="7">
        <f t="shared" si="681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684"/>
        <v>11</v>
      </c>
      <c r="C2338" s="5">
        <f t="shared" si="685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8" t="s">
        <v>1797</v>
      </c>
      <c r="H2338" s="13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677"/>
        <v>45252</v>
      </c>
      <c r="L2338" s="5">
        <f t="shared" si="678"/>
        <v>11</v>
      </c>
      <c r="M2338" s="5">
        <f t="shared" si="679"/>
        <v>2023</v>
      </c>
      <c r="N2338" s="95">
        <v>675</v>
      </c>
      <c r="O2338" s="6">
        <f>-N2338</f>
        <v>-675</v>
      </c>
      <c r="P2338" s="6">
        <f t="shared" si="682"/>
        <v>0</v>
      </c>
      <c r="Q2338" s="7">
        <f t="shared" si="681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684"/>
        <v>11</v>
      </c>
      <c r="C2339" s="5">
        <f t="shared" si="685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8" t="s">
        <v>1111</v>
      </c>
      <c r="H2339" s="13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677"/>
        <v>45254</v>
      </c>
      <c r="L2339" s="5">
        <f t="shared" si="678"/>
        <v>11</v>
      </c>
      <c r="M2339" s="5">
        <f t="shared" si="679"/>
        <v>2023</v>
      </c>
      <c r="N2339" s="95">
        <v>187.5</v>
      </c>
      <c r="O2339" s="6">
        <f>-N2339</f>
        <v>-187.5</v>
      </c>
      <c r="P2339" s="6">
        <f t="shared" si="682"/>
        <v>0</v>
      </c>
      <c r="Q2339" s="7">
        <f t="shared" si="681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684"/>
        <v>11</v>
      </c>
      <c r="C2340" s="5">
        <f t="shared" si="685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8" t="s">
        <v>1734</v>
      </c>
      <c r="H2340" s="13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677"/>
        <v>45254</v>
      </c>
      <c r="L2340" s="5">
        <f t="shared" si="678"/>
        <v>11</v>
      </c>
      <c r="M2340" s="5">
        <f t="shared" si="679"/>
        <v>2023</v>
      </c>
      <c r="N2340" s="95">
        <v>4818</v>
      </c>
      <c r="O2340" s="6">
        <f>-3095.8-1722.2</f>
        <v>-4818</v>
      </c>
      <c r="P2340" s="6">
        <f t="shared" si="682"/>
        <v>0</v>
      </c>
      <c r="Q2340" s="7">
        <f t="shared" si="681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684"/>
        <v>11</v>
      </c>
      <c r="C2341" s="5">
        <f t="shared" si="685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8" t="s">
        <v>2108</v>
      </c>
      <c r="H2341" s="13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677"/>
        <v>45254</v>
      </c>
      <c r="L2341" s="5">
        <f t="shared" si="678"/>
        <v>11</v>
      </c>
      <c r="M2341" s="5">
        <f t="shared" si="679"/>
        <v>2023</v>
      </c>
      <c r="N2341" s="95">
        <v>1931.4</v>
      </c>
      <c r="O2341" s="6">
        <f>-N2341</f>
        <v>-1931.4</v>
      </c>
      <c r="P2341" s="6">
        <f t="shared" si="682"/>
        <v>0</v>
      </c>
      <c r="Q2341" s="7">
        <f t="shared" si="681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684"/>
        <v>11</v>
      </c>
      <c r="C2342" s="5">
        <f t="shared" si="685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8" t="s">
        <v>1923</v>
      </c>
      <c r="H2342" s="13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677"/>
        <v>45254</v>
      </c>
      <c r="L2342" s="5">
        <f t="shared" si="678"/>
        <v>11</v>
      </c>
      <c r="M2342" s="5">
        <f t="shared" si="679"/>
        <v>2023</v>
      </c>
      <c r="N2342" s="95">
        <v>936</v>
      </c>
      <c r="O2342" s="6">
        <f>-N2342</f>
        <v>-936</v>
      </c>
      <c r="P2342" s="6">
        <f t="shared" si="682"/>
        <v>0</v>
      </c>
      <c r="Q2342" s="7">
        <f t="shared" si="681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684"/>
        <v>11</v>
      </c>
      <c r="C2343" s="5">
        <f t="shared" si="685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8" t="s">
        <v>1074</v>
      </c>
      <c r="H2343" s="13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677"/>
        <v>45254</v>
      </c>
      <c r="L2343" s="5">
        <f t="shared" si="678"/>
        <v>11</v>
      </c>
      <c r="M2343" s="5">
        <f t="shared" si="679"/>
        <v>2023</v>
      </c>
      <c r="N2343" s="95">
        <v>1000</v>
      </c>
      <c r="O2343" s="6">
        <f>-N2343</f>
        <v>-1000</v>
      </c>
      <c r="P2343" s="6">
        <f t="shared" si="682"/>
        <v>0</v>
      </c>
      <c r="Q2343" s="7">
        <f t="shared" si="681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684"/>
        <v>11</v>
      </c>
      <c r="C2344" s="5">
        <f t="shared" si="685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8" t="s">
        <v>67</v>
      </c>
      <c r="H2344" s="13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677"/>
        <v>45255</v>
      </c>
      <c r="L2344" s="5">
        <f t="shared" si="678"/>
        <v>11</v>
      </c>
      <c r="M2344" s="5">
        <f t="shared" si="679"/>
        <v>2023</v>
      </c>
      <c r="N2344" s="95">
        <v>1738</v>
      </c>
      <c r="O2344" s="6">
        <f t="shared" ref="O2344:O2347" si="686">-N2344</f>
        <v>-1738</v>
      </c>
      <c r="P2344" s="6">
        <f t="shared" si="682"/>
        <v>0</v>
      </c>
      <c r="Q2344" s="7">
        <f t="shared" si="681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684"/>
        <v>11</v>
      </c>
      <c r="C2345" s="5">
        <f t="shared" si="685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8" t="s">
        <v>914</v>
      </c>
      <c r="H2345" s="13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677"/>
        <v>45255</v>
      </c>
      <c r="L2345" s="5">
        <f t="shared" si="678"/>
        <v>11</v>
      </c>
      <c r="M2345" s="5">
        <f t="shared" si="679"/>
        <v>2023</v>
      </c>
      <c r="N2345" s="95">
        <v>450</v>
      </c>
      <c r="O2345" s="6">
        <f t="shared" si="686"/>
        <v>-450</v>
      </c>
      <c r="P2345" s="6">
        <f t="shared" si="682"/>
        <v>0</v>
      </c>
      <c r="Q2345" s="7">
        <f t="shared" si="681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684"/>
        <v>11</v>
      </c>
      <c r="C2346" s="5">
        <f t="shared" si="685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8" t="s">
        <v>801</v>
      </c>
      <c r="H2346" s="13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677"/>
        <v>45255</v>
      </c>
      <c r="L2346" s="5">
        <f t="shared" si="678"/>
        <v>11</v>
      </c>
      <c r="M2346" s="5">
        <f t="shared" si="679"/>
        <v>2023</v>
      </c>
      <c r="N2346" s="95">
        <v>225</v>
      </c>
      <c r="O2346" s="6">
        <f t="shared" si="686"/>
        <v>-225</v>
      </c>
      <c r="P2346" s="6">
        <f t="shared" si="682"/>
        <v>0</v>
      </c>
      <c r="Q2346" s="7">
        <f t="shared" si="681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684"/>
        <v>11</v>
      </c>
      <c r="C2347" s="5">
        <f t="shared" si="685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8" t="s">
        <v>1062</v>
      </c>
      <c r="H2347" s="13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677"/>
        <v>45255</v>
      </c>
      <c r="L2347" s="5">
        <f t="shared" si="678"/>
        <v>11</v>
      </c>
      <c r="M2347" s="5">
        <f t="shared" si="679"/>
        <v>2023</v>
      </c>
      <c r="N2347" s="95">
        <v>95</v>
      </c>
      <c r="O2347" s="6">
        <f t="shared" si="686"/>
        <v>-95</v>
      </c>
      <c r="P2347" s="6">
        <f t="shared" si="682"/>
        <v>0</v>
      </c>
      <c r="Q2347" s="7">
        <f t="shared" si="681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684"/>
        <v>11</v>
      </c>
      <c r="C2348" s="5">
        <f t="shared" si="685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8" t="s">
        <v>67</v>
      </c>
      <c r="H2348" s="13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677"/>
        <v>45257</v>
      </c>
      <c r="L2348" s="5">
        <f t="shared" si="678"/>
        <v>11</v>
      </c>
      <c r="M2348" s="5">
        <f t="shared" si="679"/>
        <v>2023</v>
      </c>
      <c r="N2348" s="95">
        <v>3476</v>
      </c>
      <c r="P2348" s="6">
        <f t="shared" si="682"/>
        <v>3476</v>
      </c>
      <c r="Q2348" s="7">
        <f t="shared" si="681"/>
        <v>3896744.2500000023</v>
      </c>
      <c r="R2348" s="44" t="str">
        <f>VLOOKUP(F2348,'Set up'!$A$2:$E$55,5,FALSE)</f>
        <v>Trsf</v>
      </c>
    </row>
    <row r="2349" spans="1:19" ht="15" customHeight="1" x14ac:dyDescent="0.3">
      <c r="A2349" s="4">
        <v>45257</v>
      </c>
      <c r="B2349" s="5">
        <f t="shared" si="684"/>
        <v>11</v>
      </c>
      <c r="C2349" s="5">
        <f t="shared" si="685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8" t="s">
        <v>2110</v>
      </c>
      <c r="H2349" s="13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677"/>
        <v>45257</v>
      </c>
      <c r="L2349" s="5">
        <f t="shared" si="678"/>
        <v>11</v>
      </c>
      <c r="M2349" s="5">
        <f t="shared" si="679"/>
        <v>2023</v>
      </c>
      <c r="N2349" s="95">
        <v>281.60000000000002</v>
      </c>
      <c r="P2349" s="6">
        <f t="shared" si="682"/>
        <v>281.60000000000002</v>
      </c>
      <c r="Q2349" s="7">
        <f t="shared" si="681"/>
        <v>3897025.8500000024</v>
      </c>
      <c r="R2349" s="44" t="str">
        <f>VLOOKUP(F2349,'Set up'!$A$2:$E$55,5,FALSE)</f>
        <v>Trsf</v>
      </c>
    </row>
    <row r="2350" spans="1:19" ht="15" customHeight="1" x14ac:dyDescent="0.3">
      <c r="A2350" s="4">
        <v>45257</v>
      </c>
      <c r="B2350" s="5">
        <f t="shared" si="684"/>
        <v>11</v>
      </c>
      <c r="C2350" s="5">
        <f t="shared" si="685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8" t="s">
        <v>1461</v>
      </c>
      <c r="H2350" s="13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677"/>
        <v>45257</v>
      </c>
      <c r="L2350" s="5">
        <f t="shared" si="678"/>
        <v>11</v>
      </c>
      <c r="M2350" s="5">
        <f t="shared" si="679"/>
        <v>2023</v>
      </c>
      <c r="N2350" s="95">
        <v>170</v>
      </c>
      <c r="P2350" s="6">
        <f t="shared" si="682"/>
        <v>170</v>
      </c>
      <c r="Q2350" s="7">
        <f t="shared" si="681"/>
        <v>3897195.8500000024</v>
      </c>
      <c r="R2350" s="44" t="str">
        <f>VLOOKUP(F2350,'Set up'!$A$2:$E$55,5,FALSE)</f>
        <v>Trsf</v>
      </c>
    </row>
    <row r="2351" spans="1:19" ht="15" customHeight="1" x14ac:dyDescent="0.3">
      <c r="A2351" s="4">
        <v>45257</v>
      </c>
      <c r="B2351" s="5">
        <f t="shared" si="684"/>
        <v>11</v>
      </c>
      <c r="C2351" s="5">
        <f t="shared" si="685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8" t="s">
        <v>1745</v>
      </c>
      <c r="H2351" s="13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677"/>
        <v>45257</v>
      </c>
      <c r="L2351" s="5">
        <f t="shared" si="678"/>
        <v>11</v>
      </c>
      <c r="M2351" s="5">
        <f t="shared" si="679"/>
        <v>2023</v>
      </c>
      <c r="N2351" s="95">
        <v>1059.5</v>
      </c>
      <c r="P2351" s="6">
        <f t="shared" si="682"/>
        <v>1059.5</v>
      </c>
      <c r="Q2351" s="7">
        <f t="shared" si="681"/>
        <v>3898255.3500000024</v>
      </c>
      <c r="R2351" s="44" t="str">
        <f>VLOOKUP(F2351,'Set up'!$A$2:$E$55,5,FALSE)</f>
        <v>Trsf</v>
      </c>
    </row>
    <row r="2352" spans="1:19" ht="15" customHeight="1" x14ac:dyDescent="0.3">
      <c r="A2352" s="4">
        <v>45258</v>
      </c>
      <c r="B2352" s="5">
        <f t="shared" si="684"/>
        <v>11</v>
      </c>
      <c r="C2352" s="5">
        <f t="shared" si="685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8" t="s">
        <v>1111</v>
      </c>
      <c r="H2352" s="13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677"/>
        <v>45258</v>
      </c>
      <c r="L2352" s="5">
        <f t="shared" si="678"/>
        <v>11</v>
      </c>
      <c r="M2352" s="5">
        <f t="shared" si="679"/>
        <v>2023</v>
      </c>
      <c r="N2352" s="95">
        <v>187.5</v>
      </c>
      <c r="O2352" s="6">
        <f>-N2352</f>
        <v>-187.5</v>
      </c>
      <c r="P2352" s="6">
        <f t="shared" si="682"/>
        <v>0</v>
      </c>
      <c r="Q2352" s="7">
        <f t="shared" si="681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684"/>
        <v>11</v>
      </c>
      <c r="C2353" s="5">
        <f t="shared" si="685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8" t="s">
        <v>1734</v>
      </c>
      <c r="H2353" s="13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677"/>
        <v>45258</v>
      </c>
      <c r="L2353" s="5">
        <f t="shared" si="678"/>
        <v>11</v>
      </c>
      <c r="M2353" s="5">
        <f t="shared" si="679"/>
        <v>2023</v>
      </c>
      <c r="N2353" s="95">
        <v>4818</v>
      </c>
      <c r="O2353" s="6">
        <f>-N2353</f>
        <v>-4818</v>
      </c>
      <c r="P2353" s="6">
        <f t="shared" si="682"/>
        <v>0</v>
      </c>
      <c r="Q2353" s="7">
        <f t="shared" si="681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684"/>
        <v>11</v>
      </c>
      <c r="C2354" s="5">
        <f t="shared" si="685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8" t="s">
        <v>2108</v>
      </c>
      <c r="H2354" s="13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677"/>
        <v>45258</v>
      </c>
      <c r="L2354" s="5">
        <f t="shared" si="678"/>
        <v>11</v>
      </c>
      <c r="M2354" s="5">
        <f t="shared" si="679"/>
        <v>2023</v>
      </c>
      <c r="N2354" s="95">
        <v>1931.4</v>
      </c>
      <c r="O2354" s="6">
        <f>-N2354</f>
        <v>-1931.4</v>
      </c>
      <c r="P2354" s="6">
        <f t="shared" si="682"/>
        <v>0</v>
      </c>
      <c r="Q2354" s="7">
        <f t="shared" si="681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684"/>
        <v>11</v>
      </c>
      <c r="C2355" s="5">
        <f t="shared" si="685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8" t="s">
        <v>1923</v>
      </c>
      <c r="H2355" s="13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677"/>
        <v>45258</v>
      </c>
      <c r="L2355" s="5">
        <f t="shared" si="678"/>
        <v>11</v>
      </c>
      <c r="M2355" s="5">
        <f t="shared" si="679"/>
        <v>2023</v>
      </c>
      <c r="N2355" s="95">
        <v>936</v>
      </c>
      <c r="O2355" s="6">
        <f>-N2355</f>
        <v>-936</v>
      </c>
      <c r="P2355" s="6">
        <f t="shared" si="682"/>
        <v>0</v>
      </c>
      <c r="Q2355" s="7">
        <f t="shared" si="681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684"/>
        <v>11</v>
      </c>
      <c r="C2356" s="5">
        <f t="shared" si="685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8" t="s">
        <v>1062</v>
      </c>
      <c r="H2356" s="13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677"/>
        <v>45258</v>
      </c>
      <c r="L2356" s="5">
        <f t="shared" si="678"/>
        <v>11</v>
      </c>
      <c r="M2356" s="5">
        <f t="shared" si="679"/>
        <v>2023</v>
      </c>
      <c r="N2356" s="95">
        <v>380</v>
      </c>
      <c r="O2356" s="6">
        <f>-N2356</f>
        <v>-380</v>
      </c>
      <c r="P2356" s="6">
        <f t="shared" si="682"/>
        <v>0</v>
      </c>
      <c r="Q2356" s="7">
        <f t="shared" si="681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684"/>
        <v>11</v>
      </c>
      <c r="C2357" s="5">
        <f t="shared" si="685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8" t="s">
        <v>95</v>
      </c>
      <c r="H2357" s="13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677"/>
        <v>45259</v>
      </c>
      <c r="L2357" s="5">
        <f t="shared" si="678"/>
        <v>11</v>
      </c>
      <c r="M2357" s="5">
        <f t="shared" si="679"/>
        <v>2023</v>
      </c>
      <c r="N2357" s="95">
        <v>1738</v>
      </c>
      <c r="P2357" s="6">
        <f t="shared" si="682"/>
        <v>1738</v>
      </c>
      <c r="Q2357" s="7">
        <f t="shared" si="681"/>
        <v>3908246.2500000023</v>
      </c>
      <c r="R2357" s="44" t="str">
        <f>VLOOKUP(F2357,'Set up'!$A$2:$E$55,5,FALSE)</f>
        <v>Trsf</v>
      </c>
    </row>
    <row r="2358" spans="1:19" ht="15" customHeight="1" x14ac:dyDescent="0.3">
      <c r="A2358" s="4">
        <v>45259</v>
      </c>
      <c r="B2358" s="5">
        <f t="shared" si="684"/>
        <v>11</v>
      </c>
      <c r="C2358" s="5">
        <f t="shared" si="685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8" t="s">
        <v>1412</v>
      </c>
      <c r="H2358" s="13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677"/>
        <v>45259</v>
      </c>
      <c r="L2358" s="5">
        <f t="shared" si="678"/>
        <v>11</v>
      </c>
      <c r="M2358" s="5">
        <f t="shared" si="679"/>
        <v>2023</v>
      </c>
      <c r="N2358" s="95">
        <v>405</v>
      </c>
      <c r="P2358" s="6">
        <f t="shared" si="682"/>
        <v>405</v>
      </c>
      <c r="Q2358" s="7">
        <f t="shared" si="681"/>
        <v>3908651.2500000023</v>
      </c>
      <c r="R2358" s="44" t="str">
        <f>VLOOKUP(F2358,'Set up'!$A$2:$E$55,5,FALSE)</f>
        <v>Trsf</v>
      </c>
    </row>
    <row r="2359" spans="1:19" ht="15" customHeight="1" x14ac:dyDescent="0.3">
      <c r="A2359" s="4">
        <v>45259</v>
      </c>
      <c r="B2359" s="5">
        <f t="shared" si="684"/>
        <v>11</v>
      </c>
      <c r="C2359" s="5">
        <f t="shared" si="685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8" t="s">
        <v>792</v>
      </c>
      <c r="H2359" s="13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677"/>
        <v>45259</v>
      </c>
      <c r="L2359" s="5">
        <f t="shared" si="678"/>
        <v>11</v>
      </c>
      <c r="M2359" s="5">
        <f t="shared" si="679"/>
        <v>2023</v>
      </c>
      <c r="N2359" s="95">
        <v>187.5</v>
      </c>
      <c r="P2359" s="6">
        <f t="shared" si="682"/>
        <v>187.5</v>
      </c>
      <c r="Q2359" s="7">
        <f t="shared" si="681"/>
        <v>3908838.7500000023</v>
      </c>
      <c r="R2359" s="44" t="str">
        <f>VLOOKUP(F2359,'Set up'!$A$2:$E$55,5,FALSE)</f>
        <v>Trsf</v>
      </c>
    </row>
    <row r="2360" spans="1:19" ht="15" customHeight="1" x14ac:dyDescent="0.3">
      <c r="A2360" s="4">
        <v>45259</v>
      </c>
      <c r="B2360" s="5">
        <f t="shared" si="684"/>
        <v>11</v>
      </c>
      <c r="C2360" s="5">
        <f t="shared" si="685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8" t="s">
        <v>2128</v>
      </c>
      <c r="H2360" s="13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677"/>
        <v>45259</v>
      </c>
      <c r="L2360" s="5">
        <f t="shared" si="678"/>
        <v>11</v>
      </c>
      <c r="M2360" s="5">
        <f t="shared" si="679"/>
        <v>2023</v>
      </c>
      <c r="N2360" s="95">
        <v>283.8</v>
      </c>
      <c r="P2360" s="6">
        <f t="shared" si="682"/>
        <v>283.8</v>
      </c>
      <c r="Q2360" s="7">
        <f t="shared" si="681"/>
        <v>3909122.5500000021</v>
      </c>
      <c r="R2360" s="44" t="str">
        <f>VLOOKUP(F2360,'Set up'!$A$2:$E$55,5,FALSE)</f>
        <v>Trsf</v>
      </c>
    </row>
    <row r="2361" spans="1:19" ht="15" customHeight="1" x14ac:dyDescent="0.3">
      <c r="A2361" s="4">
        <v>45259</v>
      </c>
      <c r="B2361" s="5">
        <f t="shared" si="684"/>
        <v>11</v>
      </c>
      <c r="C2361" s="5">
        <f t="shared" si="685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8" t="s">
        <v>1470</v>
      </c>
      <c r="H2361" s="13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677"/>
        <v>45259</v>
      </c>
      <c r="L2361" s="5">
        <f t="shared" si="678"/>
        <v>11</v>
      </c>
      <c r="M2361" s="5">
        <f t="shared" si="679"/>
        <v>2023</v>
      </c>
      <c r="N2361" s="95">
        <v>390</v>
      </c>
      <c r="P2361" s="6">
        <f t="shared" si="682"/>
        <v>390</v>
      </c>
      <c r="Q2361" s="7">
        <f t="shared" si="681"/>
        <v>3909512.5500000021</v>
      </c>
      <c r="R2361" s="44" t="str">
        <f>VLOOKUP(F2361,'Set up'!$A$2:$E$55,5,FALSE)</f>
        <v>Trsf</v>
      </c>
    </row>
    <row r="2362" spans="1:19" ht="15" customHeight="1" x14ac:dyDescent="0.3">
      <c r="A2362" s="4">
        <v>45259</v>
      </c>
      <c r="B2362" s="5">
        <f t="shared" si="684"/>
        <v>11</v>
      </c>
      <c r="C2362" s="5">
        <f t="shared" si="685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8" t="s">
        <v>945</v>
      </c>
      <c r="H2362" s="13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677"/>
        <v>45259</v>
      </c>
      <c r="L2362" s="5">
        <f t="shared" si="678"/>
        <v>11</v>
      </c>
      <c r="M2362" s="5">
        <f t="shared" si="679"/>
        <v>2023</v>
      </c>
      <c r="N2362" s="95">
        <v>420</v>
      </c>
      <c r="P2362" s="6">
        <f t="shared" si="682"/>
        <v>420</v>
      </c>
      <c r="Q2362" s="7">
        <f t="shared" si="681"/>
        <v>3909932.5500000021</v>
      </c>
      <c r="R2362" s="44" t="str">
        <f>VLOOKUP(F2362,'Set up'!$A$2:$E$55,5,FALSE)</f>
        <v>Trsf</v>
      </c>
    </row>
    <row r="2363" spans="1:19" ht="15" customHeight="1" x14ac:dyDescent="0.3">
      <c r="A2363" s="4">
        <v>45261</v>
      </c>
      <c r="B2363" s="5">
        <f t="shared" ref="B2363:B2426" si="687">MONTH(A2363)</f>
        <v>12</v>
      </c>
      <c r="C2363" s="5">
        <f t="shared" ref="C2363:C2426" si="688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8" t="s">
        <v>1179</v>
      </c>
      <c r="H2363" s="13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677"/>
        <v>45381</v>
      </c>
      <c r="L2363" s="5">
        <f t="shared" si="678"/>
        <v>3</v>
      </c>
      <c r="M2363" s="5">
        <f t="shared" si="679"/>
        <v>2024</v>
      </c>
      <c r="N2363" s="95">
        <v>9636</v>
      </c>
      <c r="O2363" s="6">
        <f t="shared" ref="O2363:O2368" si="689">-N2363</f>
        <v>-9636</v>
      </c>
      <c r="P2363" s="6">
        <f t="shared" si="682"/>
        <v>0</v>
      </c>
      <c r="Q2363" s="7">
        <f t="shared" si="681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687"/>
        <v>12</v>
      </c>
      <c r="C2364" s="5">
        <f t="shared" si="688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8" t="s">
        <v>1393</v>
      </c>
      <c r="H2364" s="13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677"/>
        <v>45381</v>
      </c>
      <c r="L2364" s="5">
        <f t="shared" si="678"/>
        <v>3</v>
      </c>
      <c r="M2364" s="5">
        <f t="shared" si="679"/>
        <v>2024</v>
      </c>
      <c r="N2364" s="95">
        <v>1740</v>
      </c>
      <c r="O2364" s="6">
        <f t="shared" si="689"/>
        <v>-1740</v>
      </c>
      <c r="P2364" s="6">
        <f t="shared" si="682"/>
        <v>0</v>
      </c>
      <c r="Q2364" s="7">
        <f t="shared" si="681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687"/>
        <v>12</v>
      </c>
      <c r="C2365" s="5">
        <f t="shared" si="688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8" t="s">
        <v>792</v>
      </c>
      <c r="H2365" s="13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677"/>
        <v>45381</v>
      </c>
      <c r="L2365" s="5">
        <f t="shared" si="678"/>
        <v>3</v>
      </c>
      <c r="M2365" s="5">
        <f t="shared" si="679"/>
        <v>2024</v>
      </c>
      <c r="N2365" s="95">
        <v>575</v>
      </c>
      <c r="O2365" s="6">
        <f t="shared" si="689"/>
        <v>-575</v>
      </c>
      <c r="P2365" s="6">
        <f t="shared" si="682"/>
        <v>0</v>
      </c>
      <c r="Q2365" s="7">
        <f t="shared" si="681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687"/>
        <v>12</v>
      </c>
      <c r="C2366" s="5">
        <f t="shared" si="688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8" t="s">
        <v>46</v>
      </c>
      <c r="H2366" s="13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677"/>
        <v>45381</v>
      </c>
      <c r="L2366" s="5">
        <f t="shared" si="678"/>
        <v>3</v>
      </c>
      <c r="M2366" s="5">
        <f t="shared" si="679"/>
        <v>2024</v>
      </c>
      <c r="N2366" s="95">
        <v>420</v>
      </c>
      <c r="O2366" s="6">
        <f t="shared" si="689"/>
        <v>-420</v>
      </c>
      <c r="P2366" s="6">
        <f t="shared" si="682"/>
        <v>0</v>
      </c>
      <c r="Q2366" s="7">
        <f t="shared" si="681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687"/>
        <v>12</v>
      </c>
      <c r="C2367" s="5">
        <f t="shared" si="688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8" t="s">
        <v>1094</v>
      </c>
      <c r="H2367" s="13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677"/>
        <v>45381</v>
      </c>
      <c r="L2367" s="5">
        <f t="shared" si="678"/>
        <v>3</v>
      </c>
      <c r="M2367" s="5">
        <f t="shared" si="679"/>
        <v>2024</v>
      </c>
      <c r="N2367" s="95">
        <v>230.4</v>
      </c>
      <c r="O2367" s="6">
        <f t="shared" si="689"/>
        <v>-230.4</v>
      </c>
      <c r="P2367" s="6">
        <f t="shared" si="682"/>
        <v>0</v>
      </c>
      <c r="Q2367" s="7">
        <f t="shared" si="681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687"/>
        <v>12</v>
      </c>
      <c r="C2368" s="5">
        <f t="shared" si="688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8" t="s">
        <v>615</v>
      </c>
      <c r="H2368" s="13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677"/>
        <v>45381</v>
      </c>
      <c r="L2368" s="5">
        <f t="shared" si="678"/>
        <v>3</v>
      </c>
      <c r="M2368" s="5">
        <f t="shared" si="679"/>
        <v>2024</v>
      </c>
      <c r="N2368" s="95">
        <v>395</v>
      </c>
      <c r="O2368" s="6">
        <f t="shared" si="689"/>
        <v>-395</v>
      </c>
      <c r="P2368" s="6">
        <f t="shared" si="682"/>
        <v>0</v>
      </c>
      <c r="Q2368" s="7">
        <f t="shared" si="681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687"/>
        <v>12</v>
      </c>
      <c r="C2369" s="5">
        <f t="shared" si="688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8" t="s">
        <v>1111</v>
      </c>
      <c r="H2369" s="13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677"/>
        <v>45261</v>
      </c>
      <c r="L2369" s="5">
        <f t="shared" si="678"/>
        <v>12</v>
      </c>
      <c r="M2369" s="5">
        <f t="shared" si="679"/>
        <v>2023</v>
      </c>
      <c r="N2369" s="95">
        <v>125</v>
      </c>
      <c r="O2369" s="6">
        <f>-N2369</f>
        <v>-125</v>
      </c>
      <c r="P2369" s="6">
        <f t="shared" si="682"/>
        <v>0</v>
      </c>
      <c r="Q2369" s="7">
        <f t="shared" si="681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687"/>
        <v>12</v>
      </c>
      <c r="C2370" s="5">
        <f t="shared" si="688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8" t="s">
        <v>1734</v>
      </c>
      <c r="H2370" s="13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677"/>
        <v>45261</v>
      </c>
      <c r="L2370" s="5">
        <f t="shared" si="678"/>
        <v>12</v>
      </c>
      <c r="M2370" s="5">
        <f t="shared" si="679"/>
        <v>2023</v>
      </c>
      <c r="N2370" s="95">
        <v>3212</v>
      </c>
      <c r="O2370" s="6">
        <f>-N2370</f>
        <v>-3212</v>
      </c>
      <c r="P2370" s="6">
        <f t="shared" si="682"/>
        <v>0</v>
      </c>
      <c r="Q2370" s="7">
        <f t="shared" si="681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687"/>
        <v>12</v>
      </c>
      <c r="C2371" s="5">
        <f t="shared" si="688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8" t="s">
        <v>1393</v>
      </c>
      <c r="H2371" s="13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690">A2371+J2371</f>
        <v>45261</v>
      </c>
      <c r="L2371" s="5">
        <f t="shared" ref="L2371:L2434" si="691">MONTH(K2371)</f>
        <v>12</v>
      </c>
      <c r="M2371" s="5">
        <f t="shared" ref="M2371:M2434" si="692">YEAR(K2371)</f>
        <v>2023</v>
      </c>
      <c r="N2371" s="95">
        <v>870</v>
      </c>
      <c r="O2371" s="6">
        <f>-N2371</f>
        <v>-870</v>
      </c>
      <c r="P2371" s="6">
        <f t="shared" si="682"/>
        <v>0</v>
      </c>
      <c r="Q2371" s="7">
        <f t="shared" si="681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687"/>
        <v>12</v>
      </c>
      <c r="C2372" s="5">
        <f t="shared" si="688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8" t="s">
        <v>1923</v>
      </c>
      <c r="H2372" s="13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690"/>
        <v>45261</v>
      </c>
      <c r="L2372" s="5">
        <f t="shared" si="691"/>
        <v>12</v>
      </c>
      <c r="M2372" s="5">
        <f t="shared" si="692"/>
        <v>2023</v>
      </c>
      <c r="N2372" s="95">
        <v>702</v>
      </c>
      <c r="O2372" s="6">
        <f>-N2372</f>
        <v>-702</v>
      </c>
      <c r="P2372" s="6">
        <f t="shared" si="682"/>
        <v>0</v>
      </c>
      <c r="Q2372" s="7">
        <f t="shared" si="681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687"/>
        <v>12</v>
      </c>
      <c r="C2373" s="5">
        <f t="shared" si="688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8" t="s">
        <v>1393</v>
      </c>
      <c r="H2373" s="13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690"/>
        <v>45261</v>
      </c>
      <c r="L2373" s="5">
        <f t="shared" si="691"/>
        <v>12</v>
      </c>
      <c r="M2373" s="5">
        <f t="shared" si="692"/>
        <v>2023</v>
      </c>
      <c r="N2373" s="95">
        <v>237</v>
      </c>
      <c r="O2373" s="6">
        <f t="shared" ref="O2373:O2385" si="693">-N2373</f>
        <v>-237</v>
      </c>
      <c r="P2373" s="6">
        <f t="shared" si="682"/>
        <v>0</v>
      </c>
      <c r="Q2373" s="7">
        <f t="shared" si="681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687"/>
        <v>12</v>
      </c>
      <c r="C2374" s="5">
        <f t="shared" si="688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8" t="s">
        <v>304</v>
      </c>
      <c r="H2374" s="13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690"/>
        <v>45262</v>
      </c>
      <c r="L2374" s="5">
        <f t="shared" si="691"/>
        <v>12</v>
      </c>
      <c r="M2374" s="5">
        <f t="shared" si="692"/>
        <v>2023</v>
      </c>
      <c r="N2374" s="95">
        <v>1606</v>
      </c>
      <c r="O2374" s="6">
        <f t="shared" si="693"/>
        <v>-1606</v>
      </c>
      <c r="P2374" s="6">
        <f t="shared" si="682"/>
        <v>0</v>
      </c>
      <c r="Q2374" s="7">
        <f t="shared" si="681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687"/>
        <v>12</v>
      </c>
      <c r="C2375" s="5">
        <f t="shared" si="688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8" t="s">
        <v>2113</v>
      </c>
      <c r="H2375" s="13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690"/>
        <v>45262</v>
      </c>
      <c r="L2375" s="5">
        <f t="shared" si="691"/>
        <v>12</v>
      </c>
      <c r="M2375" s="5">
        <f t="shared" si="692"/>
        <v>2023</v>
      </c>
      <c r="N2375" s="95">
        <v>1597.5</v>
      </c>
      <c r="O2375" s="6">
        <f t="shared" si="693"/>
        <v>-1597.5</v>
      </c>
      <c r="P2375" s="6">
        <f t="shared" si="682"/>
        <v>0</v>
      </c>
      <c r="Q2375" s="7">
        <f t="shared" si="681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687"/>
        <v>12</v>
      </c>
      <c r="C2376" s="5">
        <f t="shared" si="688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8" t="s">
        <v>1393</v>
      </c>
      <c r="H2376" s="13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690"/>
        <v>45262</v>
      </c>
      <c r="L2376" s="5">
        <f t="shared" si="691"/>
        <v>12</v>
      </c>
      <c r="M2376" s="5">
        <f t="shared" si="692"/>
        <v>2023</v>
      </c>
      <c r="N2376" s="95">
        <v>840</v>
      </c>
      <c r="O2376" s="6">
        <f t="shared" si="693"/>
        <v>-840</v>
      </c>
      <c r="P2376" s="6">
        <f t="shared" si="682"/>
        <v>0</v>
      </c>
      <c r="Q2376" s="7">
        <f t="shared" si="681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687"/>
        <v>12</v>
      </c>
      <c r="C2377" s="5">
        <f t="shared" si="688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8" t="s">
        <v>2110</v>
      </c>
      <c r="H2377" s="13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690"/>
        <v>45262</v>
      </c>
      <c r="L2377" s="5">
        <f t="shared" si="691"/>
        <v>12</v>
      </c>
      <c r="M2377" s="5">
        <f t="shared" si="692"/>
        <v>2023</v>
      </c>
      <c r="N2377" s="95">
        <v>851.4</v>
      </c>
      <c r="O2377" s="6">
        <f t="shared" si="693"/>
        <v>-851.4</v>
      </c>
      <c r="P2377" s="6">
        <f t="shared" si="682"/>
        <v>0</v>
      </c>
      <c r="Q2377" s="7">
        <f t="shared" si="681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687"/>
        <v>12</v>
      </c>
      <c r="C2378" s="5">
        <f t="shared" si="688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8" t="s">
        <v>17</v>
      </c>
      <c r="H2378" s="13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690"/>
        <v>45262</v>
      </c>
      <c r="L2378" s="5">
        <f t="shared" si="691"/>
        <v>12</v>
      </c>
      <c r="M2378" s="5">
        <f t="shared" si="692"/>
        <v>2023</v>
      </c>
      <c r="N2378" s="95">
        <v>105</v>
      </c>
      <c r="O2378" s="6">
        <f t="shared" si="693"/>
        <v>-105</v>
      </c>
      <c r="P2378" s="6">
        <f t="shared" si="682"/>
        <v>0</v>
      </c>
      <c r="Q2378" s="7">
        <f t="shared" si="681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687"/>
        <v>12</v>
      </c>
      <c r="C2379" s="5">
        <f t="shared" si="688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8" t="s">
        <v>1887</v>
      </c>
      <c r="H2379" s="13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690"/>
        <v>45262</v>
      </c>
      <c r="L2379" s="5">
        <f t="shared" si="691"/>
        <v>12</v>
      </c>
      <c r="M2379" s="5">
        <f t="shared" si="692"/>
        <v>2023</v>
      </c>
      <c r="N2379" s="95">
        <v>480</v>
      </c>
      <c r="O2379" s="6">
        <f t="shared" si="693"/>
        <v>-480</v>
      </c>
      <c r="P2379" s="6">
        <f t="shared" si="682"/>
        <v>0</v>
      </c>
      <c r="Q2379" s="7">
        <f t="shared" si="681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687"/>
        <v>12</v>
      </c>
      <c r="C2380" s="5">
        <f t="shared" si="688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8" t="s">
        <v>67</v>
      </c>
      <c r="H2380" s="13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690"/>
        <v>45262</v>
      </c>
      <c r="L2380" s="5">
        <f t="shared" si="691"/>
        <v>12</v>
      </c>
      <c r="M2380" s="5">
        <f t="shared" si="692"/>
        <v>2023</v>
      </c>
      <c r="N2380" s="95">
        <v>1738</v>
      </c>
      <c r="O2380" s="6">
        <f t="shared" si="693"/>
        <v>-1738</v>
      </c>
      <c r="P2380" s="6">
        <f t="shared" si="682"/>
        <v>0</v>
      </c>
      <c r="Q2380" s="7">
        <f t="shared" si="681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687"/>
        <v>12</v>
      </c>
      <c r="C2381" s="5">
        <f t="shared" si="688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8" t="s">
        <v>2199</v>
      </c>
      <c r="H2381" s="13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690"/>
        <v>45262</v>
      </c>
      <c r="L2381" s="5">
        <f t="shared" si="691"/>
        <v>12</v>
      </c>
      <c r="M2381" s="5">
        <f t="shared" si="692"/>
        <v>2023</v>
      </c>
      <c r="N2381" s="95">
        <v>277.5</v>
      </c>
      <c r="O2381" s="6">
        <f t="shared" si="693"/>
        <v>-277.5</v>
      </c>
      <c r="P2381" s="6">
        <f t="shared" si="682"/>
        <v>0</v>
      </c>
      <c r="Q2381" s="7">
        <f t="shared" si="681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687"/>
        <v>12</v>
      </c>
      <c r="C2382" s="5">
        <f t="shared" si="688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8" t="s">
        <v>1544</v>
      </c>
      <c r="H2382" s="13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690"/>
        <v>45262</v>
      </c>
      <c r="L2382" s="5">
        <f t="shared" si="691"/>
        <v>12</v>
      </c>
      <c r="M2382" s="5">
        <f t="shared" si="692"/>
        <v>2023</v>
      </c>
      <c r="N2382" s="95">
        <v>450</v>
      </c>
      <c r="O2382" s="6">
        <f t="shared" si="693"/>
        <v>-450</v>
      </c>
      <c r="P2382" s="6">
        <f t="shared" si="682"/>
        <v>0</v>
      </c>
      <c r="Q2382" s="7">
        <f t="shared" si="681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687"/>
        <v>12</v>
      </c>
      <c r="C2383" s="5">
        <f t="shared" si="688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8" t="s">
        <v>1062</v>
      </c>
      <c r="H2383" s="13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690"/>
        <v>45262</v>
      </c>
      <c r="L2383" s="5">
        <f t="shared" si="691"/>
        <v>12</v>
      </c>
      <c r="M2383" s="5">
        <f t="shared" si="692"/>
        <v>2023</v>
      </c>
      <c r="N2383" s="95">
        <v>95</v>
      </c>
      <c r="O2383" s="6">
        <f t="shared" si="693"/>
        <v>-95</v>
      </c>
      <c r="P2383" s="6">
        <f t="shared" si="682"/>
        <v>0</v>
      </c>
      <c r="Q2383" s="7">
        <f t="shared" si="681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687"/>
        <v>12</v>
      </c>
      <c r="C2384" s="5">
        <f t="shared" si="688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8" t="s">
        <v>2200</v>
      </c>
      <c r="H2384" s="13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690"/>
        <v>45262</v>
      </c>
      <c r="L2384" s="5">
        <f t="shared" si="691"/>
        <v>12</v>
      </c>
      <c r="M2384" s="5">
        <f t="shared" si="692"/>
        <v>2023</v>
      </c>
      <c r="N2384" s="95">
        <v>312.5</v>
      </c>
      <c r="O2384" s="6">
        <f t="shared" si="693"/>
        <v>-312.5</v>
      </c>
      <c r="P2384" s="6">
        <f t="shared" si="682"/>
        <v>0</v>
      </c>
      <c r="Q2384" s="7">
        <f t="shared" si="681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687"/>
        <v>12</v>
      </c>
      <c r="C2385" s="5">
        <f t="shared" si="688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8" t="s">
        <v>2201</v>
      </c>
      <c r="H2385" s="13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690"/>
        <v>45262</v>
      </c>
      <c r="L2385" s="5">
        <f t="shared" si="691"/>
        <v>12</v>
      </c>
      <c r="M2385" s="5">
        <f t="shared" si="692"/>
        <v>2023</v>
      </c>
      <c r="N2385" s="95">
        <v>576</v>
      </c>
      <c r="O2385" s="6">
        <f t="shared" si="693"/>
        <v>-576</v>
      </c>
      <c r="P2385" s="6">
        <f t="shared" si="682"/>
        <v>0</v>
      </c>
      <c r="Q2385" s="7">
        <f t="shared" si="681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687"/>
        <v>12</v>
      </c>
      <c r="C2386" s="5">
        <f t="shared" si="688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8" t="s">
        <v>1111</v>
      </c>
      <c r="H2386" s="13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690"/>
        <v>45264</v>
      </c>
      <c r="L2386" s="5">
        <f t="shared" si="691"/>
        <v>12</v>
      </c>
      <c r="M2386" s="5">
        <f t="shared" si="692"/>
        <v>2023</v>
      </c>
      <c r="N2386" s="95">
        <v>250</v>
      </c>
      <c r="O2386" s="6">
        <f>-248.5-1.5</f>
        <v>-250</v>
      </c>
      <c r="P2386" s="6">
        <f t="shared" si="682"/>
        <v>0</v>
      </c>
      <c r="Q2386" s="7">
        <f t="shared" ref="Q2386:Q2449" si="694">SUM(Q2385+N2386)</f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687"/>
        <v>12</v>
      </c>
      <c r="C2387" s="5">
        <f t="shared" si="688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8" t="s">
        <v>1734</v>
      </c>
      <c r="H2387" s="13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690"/>
        <v>45264</v>
      </c>
      <c r="L2387" s="5">
        <f t="shared" si="691"/>
        <v>12</v>
      </c>
      <c r="M2387" s="5">
        <f t="shared" si="692"/>
        <v>2023</v>
      </c>
      <c r="N2387" s="95">
        <v>6424</v>
      </c>
      <c r="O2387" s="6">
        <f>-N2387</f>
        <v>-6424</v>
      </c>
      <c r="P2387" s="6">
        <f t="shared" ref="P2387:P2452" si="695">SUM(N2387+O2387)</f>
        <v>0</v>
      </c>
      <c r="Q2387" s="7">
        <f t="shared" si="694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687"/>
        <v>12</v>
      </c>
      <c r="C2388" s="5">
        <f t="shared" si="688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8" t="s">
        <v>1544</v>
      </c>
      <c r="H2388" s="13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690"/>
        <v>45264</v>
      </c>
      <c r="L2388" s="5">
        <f t="shared" si="691"/>
        <v>12</v>
      </c>
      <c r="M2388" s="5">
        <f t="shared" si="692"/>
        <v>2023</v>
      </c>
      <c r="N2388" s="95">
        <v>2088</v>
      </c>
      <c r="O2388" s="6">
        <f>-N2388</f>
        <v>-2088</v>
      </c>
      <c r="P2388" s="6">
        <f t="shared" si="695"/>
        <v>0</v>
      </c>
      <c r="Q2388" s="7">
        <f t="shared" si="694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687"/>
        <v>12</v>
      </c>
      <c r="C2389" s="5">
        <f t="shared" si="688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8" t="s">
        <v>1923</v>
      </c>
      <c r="H2389" s="13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690"/>
        <v>45264</v>
      </c>
      <c r="L2389" s="5">
        <f t="shared" si="691"/>
        <v>12</v>
      </c>
      <c r="M2389" s="5">
        <f t="shared" si="692"/>
        <v>2023</v>
      </c>
      <c r="N2389" s="95">
        <v>1170</v>
      </c>
      <c r="O2389" s="6">
        <f>-N2389</f>
        <v>-1170</v>
      </c>
      <c r="P2389" s="6">
        <f t="shared" si="695"/>
        <v>0</v>
      </c>
      <c r="Q2389" s="7">
        <f t="shared" si="694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687"/>
        <v>12</v>
      </c>
      <c r="C2390" s="5">
        <f t="shared" si="688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8" t="s">
        <v>67</v>
      </c>
      <c r="H2390" s="13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690"/>
        <v>45267</v>
      </c>
      <c r="L2390" s="5">
        <f t="shared" si="691"/>
        <v>12</v>
      </c>
      <c r="M2390" s="5">
        <f t="shared" si="692"/>
        <v>2023</v>
      </c>
      <c r="N2390" s="95">
        <v>1738</v>
      </c>
      <c r="O2390" s="6">
        <f t="shared" ref="O2390:O2393" si="696">-N2390</f>
        <v>-1738</v>
      </c>
      <c r="P2390" s="6">
        <f t="shared" si="695"/>
        <v>0</v>
      </c>
      <c r="Q2390" s="7">
        <f t="shared" si="694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687"/>
        <v>12</v>
      </c>
      <c r="C2391" s="5">
        <f t="shared" si="688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8" t="s">
        <v>2199</v>
      </c>
      <c r="H2391" s="13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690"/>
        <v>45267</v>
      </c>
      <c r="L2391" s="5">
        <f t="shared" si="691"/>
        <v>12</v>
      </c>
      <c r="M2391" s="5">
        <f t="shared" si="692"/>
        <v>2023</v>
      </c>
      <c r="N2391" s="95">
        <v>555</v>
      </c>
      <c r="O2391" s="6">
        <f t="shared" si="696"/>
        <v>-555</v>
      </c>
      <c r="P2391" s="6">
        <f t="shared" si="695"/>
        <v>0</v>
      </c>
      <c r="Q2391" s="7">
        <f t="shared" si="694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687"/>
        <v>12</v>
      </c>
      <c r="C2392" s="5">
        <f t="shared" si="688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8" t="s">
        <v>1062</v>
      </c>
      <c r="H2392" s="13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690"/>
        <v>45267</v>
      </c>
      <c r="L2392" s="5">
        <f t="shared" si="691"/>
        <v>12</v>
      </c>
      <c r="M2392" s="5">
        <f t="shared" si="692"/>
        <v>2023</v>
      </c>
      <c r="N2392" s="95">
        <v>95</v>
      </c>
      <c r="O2392" s="6">
        <f t="shared" si="696"/>
        <v>-95</v>
      </c>
      <c r="P2392" s="6">
        <f t="shared" si="695"/>
        <v>0</v>
      </c>
      <c r="Q2392" s="7">
        <f t="shared" si="694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687"/>
        <v>12</v>
      </c>
      <c r="C2393" s="5">
        <f t="shared" si="688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8" t="s">
        <v>2200</v>
      </c>
      <c r="H2393" s="13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690"/>
        <v>45267</v>
      </c>
      <c r="L2393" s="5">
        <f t="shared" si="691"/>
        <v>12</v>
      </c>
      <c r="M2393" s="5">
        <f t="shared" si="692"/>
        <v>2023</v>
      </c>
      <c r="N2393" s="95">
        <v>312.5</v>
      </c>
      <c r="O2393" s="6">
        <f t="shared" si="696"/>
        <v>-312.5</v>
      </c>
      <c r="P2393" s="6">
        <f t="shared" si="695"/>
        <v>0</v>
      </c>
      <c r="Q2393" s="7">
        <f t="shared" si="694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687"/>
        <v>12</v>
      </c>
      <c r="C2394" s="5">
        <f t="shared" si="688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8" t="s">
        <v>2202</v>
      </c>
      <c r="H2394" s="13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690"/>
        <v>45268</v>
      </c>
      <c r="L2394" s="5">
        <f t="shared" si="691"/>
        <v>12</v>
      </c>
      <c r="M2394" s="5">
        <f t="shared" si="692"/>
        <v>2023</v>
      </c>
      <c r="N2394" s="95">
        <v>250</v>
      </c>
      <c r="P2394" s="6">
        <f t="shared" si="695"/>
        <v>250</v>
      </c>
      <c r="Q2394" s="7">
        <f t="shared" si="694"/>
        <v>3949886.350000002</v>
      </c>
      <c r="R2394" s="44" t="str">
        <f>VLOOKUP(F2394,'Set up'!$A$2:$E$55,5,FALSE)</f>
        <v>Trsf</v>
      </c>
    </row>
    <row r="2395" spans="1:19" ht="15" customHeight="1" x14ac:dyDescent="0.3">
      <c r="A2395" s="4">
        <v>45268</v>
      </c>
      <c r="B2395" s="5">
        <f t="shared" si="687"/>
        <v>12</v>
      </c>
      <c r="C2395" s="5">
        <f t="shared" si="688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8" t="s">
        <v>1998</v>
      </c>
      <c r="H2395" s="13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690"/>
        <v>45268</v>
      </c>
      <c r="L2395" s="5">
        <f t="shared" si="691"/>
        <v>12</v>
      </c>
      <c r="M2395" s="5">
        <f t="shared" si="692"/>
        <v>2023</v>
      </c>
      <c r="N2395" s="95">
        <v>3600</v>
      </c>
      <c r="P2395" s="6">
        <f t="shared" si="695"/>
        <v>3600</v>
      </c>
      <c r="Q2395" s="7">
        <f t="shared" si="694"/>
        <v>3953486.350000002</v>
      </c>
      <c r="R2395" s="44" t="str">
        <f>VLOOKUP(F2395,'Set up'!$A$2:$E$55,5,FALSE)</f>
        <v>Trsf</v>
      </c>
    </row>
    <row r="2396" spans="1:19" ht="15" customHeight="1" x14ac:dyDescent="0.3">
      <c r="A2396" s="4">
        <v>45268</v>
      </c>
      <c r="B2396" s="5">
        <f t="shared" si="687"/>
        <v>12</v>
      </c>
      <c r="C2396" s="5">
        <f t="shared" si="688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8" t="s">
        <v>1544</v>
      </c>
      <c r="H2396" s="13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690"/>
        <v>45268</v>
      </c>
      <c r="L2396" s="5">
        <f t="shared" si="691"/>
        <v>12</v>
      </c>
      <c r="M2396" s="5">
        <f t="shared" si="692"/>
        <v>2023</v>
      </c>
      <c r="N2396" s="95">
        <v>468</v>
      </c>
      <c r="P2396" s="6">
        <f t="shared" si="695"/>
        <v>468</v>
      </c>
      <c r="Q2396" s="7">
        <f t="shared" si="694"/>
        <v>3953954.350000002</v>
      </c>
      <c r="R2396" s="44" t="str">
        <f>VLOOKUP(F2396,'Set up'!$A$2:$E$55,5,FALSE)</f>
        <v>Trsf</v>
      </c>
    </row>
    <row r="2397" spans="1:19" ht="15" customHeight="1" x14ac:dyDescent="0.3">
      <c r="A2397" s="4">
        <v>45268</v>
      </c>
      <c r="B2397" s="5">
        <f t="shared" si="687"/>
        <v>12</v>
      </c>
      <c r="C2397" s="5">
        <f t="shared" si="688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8" t="s">
        <v>95</v>
      </c>
      <c r="H2397" s="13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690"/>
        <v>45268</v>
      </c>
      <c r="L2397" s="5">
        <f t="shared" si="691"/>
        <v>12</v>
      </c>
      <c r="M2397" s="5">
        <f t="shared" si="692"/>
        <v>2023</v>
      </c>
      <c r="N2397" s="95">
        <v>1738</v>
      </c>
      <c r="P2397" s="6">
        <f t="shared" si="695"/>
        <v>1738</v>
      </c>
      <c r="Q2397" s="7">
        <f t="shared" si="694"/>
        <v>3955692.350000002</v>
      </c>
      <c r="R2397" s="44" t="str">
        <f>VLOOKUP(F2397,'Set up'!$A$2:$E$55,5,FALSE)</f>
        <v>Trsf</v>
      </c>
    </row>
    <row r="2398" spans="1:19" ht="15" customHeight="1" x14ac:dyDescent="0.3">
      <c r="A2398" s="4">
        <v>45268</v>
      </c>
      <c r="B2398" s="5">
        <f t="shared" si="687"/>
        <v>12</v>
      </c>
      <c r="C2398" s="5">
        <f t="shared" si="688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8" t="s">
        <v>1412</v>
      </c>
      <c r="H2398" s="13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690"/>
        <v>45268</v>
      </c>
      <c r="L2398" s="5">
        <f t="shared" si="691"/>
        <v>12</v>
      </c>
      <c r="M2398" s="5">
        <f t="shared" si="692"/>
        <v>2023</v>
      </c>
      <c r="N2398" s="95">
        <v>405</v>
      </c>
      <c r="P2398" s="6">
        <f t="shared" si="695"/>
        <v>405</v>
      </c>
      <c r="Q2398" s="7">
        <f t="shared" si="694"/>
        <v>3956097.350000002</v>
      </c>
      <c r="R2398" s="44" t="str">
        <f>VLOOKUP(F2398,'Set up'!$A$2:$E$55,5,FALSE)</f>
        <v>Trsf</v>
      </c>
    </row>
    <row r="2399" spans="1:19" ht="15" customHeight="1" x14ac:dyDescent="0.3">
      <c r="A2399" s="4">
        <v>45268</v>
      </c>
      <c r="B2399" s="5">
        <f t="shared" si="687"/>
        <v>12</v>
      </c>
      <c r="C2399" s="5">
        <f t="shared" si="688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8" t="s">
        <v>1661</v>
      </c>
      <c r="H2399" s="13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690"/>
        <v>45268</v>
      </c>
      <c r="L2399" s="5">
        <f t="shared" si="691"/>
        <v>12</v>
      </c>
      <c r="M2399" s="5">
        <f t="shared" si="692"/>
        <v>2023</v>
      </c>
      <c r="N2399" s="95">
        <v>160</v>
      </c>
      <c r="P2399" s="6">
        <f t="shared" si="695"/>
        <v>160</v>
      </c>
      <c r="Q2399" s="7">
        <f t="shared" si="694"/>
        <v>3956257.350000002</v>
      </c>
      <c r="R2399" s="44" t="str">
        <f>VLOOKUP(F2399,'Set up'!$A$2:$E$55,5,FALSE)</f>
        <v>Trsf</v>
      </c>
    </row>
    <row r="2400" spans="1:19" ht="15" customHeight="1" x14ac:dyDescent="0.3">
      <c r="A2400" s="4">
        <v>45268</v>
      </c>
      <c r="B2400" s="5">
        <f t="shared" si="687"/>
        <v>12</v>
      </c>
      <c r="C2400" s="5">
        <f t="shared" si="688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8" t="s">
        <v>1470</v>
      </c>
      <c r="H2400" s="13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690"/>
        <v>45268</v>
      </c>
      <c r="L2400" s="5">
        <f t="shared" si="691"/>
        <v>12</v>
      </c>
      <c r="M2400" s="5">
        <f t="shared" si="692"/>
        <v>2023</v>
      </c>
      <c r="N2400" s="95">
        <v>390</v>
      </c>
      <c r="P2400" s="6">
        <f t="shared" si="695"/>
        <v>390</v>
      </c>
      <c r="Q2400" s="7">
        <f t="shared" si="694"/>
        <v>3956647.350000002</v>
      </c>
      <c r="R2400" s="44" t="str">
        <f>VLOOKUP(F2400,'Set up'!$A$2:$E$55,5,FALSE)</f>
        <v>Trsf</v>
      </c>
    </row>
    <row r="2401" spans="1:19" ht="15" customHeight="1" x14ac:dyDescent="0.3">
      <c r="A2401" s="4">
        <v>45269</v>
      </c>
      <c r="B2401" s="5">
        <f t="shared" si="687"/>
        <v>12</v>
      </c>
      <c r="C2401" s="5">
        <f t="shared" si="688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8" t="s">
        <v>1111</v>
      </c>
      <c r="H2401" s="13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690"/>
        <v>45269</v>
      </c>
      <c r="L2401" s="5">
        <f t="shared" si="691"/>
        <v>12</v>
      </c>
      <c r="M2401" s="5">
        <f t="shared" si="692"/>
        <v>2023</v>
      </c>
      <c r="N2401" s="95">
        <v>250</v>
      </c>
      <c r="O2401" s="6">
        <f>-N2401</f>
        <v>-250</v>
      </c>
      <c r="P2401" s="6">
        <f t="shared" si="695"/>
        <v>0</v>
      </c>
      <c r="Q2401" s="7">
        <f t="shared" si="694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687"/>
        <v>12</v>
      </c>
      <c r="C2402" s="5">
        <f t="shared" si="688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8" t="s">
        <v>1734</v>
      </c>
      <c r="H2402" s="13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690"/>
        <v>45269</v>
      </c>
      <c r="L2402" s="5">
        <f t="shared" si="691"/>
        <v>12</v>
      </c>
      <c r="M2402" s="5">
        <f t="shared" si="692"/>
        <v>2023</v>
      </c>
      <c r="N2402" s="95">
        <v>6424</v>
      </c>
      <c r="O2402" s="6">
        <f>-N2402</f>
        <v>-6424</v>
      </c>
      <c r="P2402" s="6">
        <f t="shared" si="695"/>
        <v>0</v>
      </c>
      <c r="Q2402" s="7">
        <f t="shared" si="694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687"/>
        <v>12</v>
      </c>
      <c r="C2403" s="5">
        <f t="shared" si="688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8" t="s">
        <v>2108</v>
      </c>
      <c r="H2403" s="13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690"/>
        <v>45269</v>
      </c>
      <c r="L2403" s="5">
        <f t="shared" si="691"/>
        <v>12</v>
      </c>
      <c r="M2403" s="5">
        <f t="shared" si="692"/>
        <v>2023</v>
      </c>
      <c r="N2403" s="95">
        <v>3219</v>
      </c>
      <c r="O2403" s="6">
        <f>-N2403</f>
        <v>-3219</v>
      </c>
      <c r="P2403" s="6">
        <f t="shared" si="695"/>
        <v>0</v>
      </c>
      <c r="Q2403" s="7">
        <f t="shared" si="694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687"/>
        <v>12</v>
      </c>
      <c r="C2404" s="5">
        <f t="shared" si="688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8" t="s">
        <v>1923</v>
      </c>
      <c r="H2404" s="13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690"/>
        <v>45269</v>
      </c>
      <c r="L2404" s="5">
        <f t="shared" si="691"/>
        <v>12</v>
      </c>
      <c r="M2404" s="5">
        <f t="shared" si="692"/>
        <v>2023</v>
      </c>
      <c r="N2404" s="95">
        <v>702</v>
      </c>
      <c r="O2404" s="6">
        <f>-N2404</f>
        <v>-702</v>
      </c>
      <c r="P2404" s="6">
        <f t="shared" si="695"/>
        <v>0</v>
      </c>
      <c r="Q2404" s="7">
        <f t="shared" si="694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687"/>
        <v>12</v>
      </c>
      <c r="C2405" s="5">
        <f t="shared" si="688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8" t="s">
        <v>1062</v>
      </c>
      <c r="H2405" s="13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690"/>
        <v>45269</v>
      </c>
      <c r="L2405" s="5">
        <f t="shared" si="691"/>
        <v>12</v>
      </c>
      <c r="M2405" s="5">
        <f t="shared" si="692"/>
        <v>2023</v>
      </c>
      <c r="N2405" s="95">
        <v>380</v>
      </c>
      <c r="O2405" s="6">
        <f>-N2405</f>
        <v>-380</v>
      </c>
      <c r="P2405" s="6">
        <f t="shared" si="695"/>
        <v>0</v>
      </c>
      <c r="Q2405" s="7">
        <f t="shared" si="694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687"/>
        <v>12</v>
      </c>
      <c r="C2406" s="5">
        <f t="shared" si="688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8" t="s">
        <v>95</v>
      </c>
      <c r="H2406" s="13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690"/>
        <v>45333</v>
      </c>
      <c r="L2406" s="5">
        <f t="shared" si="691"/>
        <v>2</v>
      </c>
      <c r="M2406" s="5">
        <f t="shared" si="692"/>
        <v>2024</v>
      </c>
      <c r="N2406" s="95">
        <v>3212</v>
      </c>
      <c r="O2406" s="6">
        <f t="shared" ref="O2406:O2409" si="697">-N2406</f>
        <v>-3212</v>
      </c>
      <c r="P2406" s="6">
        <f t="shared" si="695"/>
        <v>0</v>
      </c>
      <c r="Q2406" s="7">
        <f t="shared" si="694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687"/>
        <v>12</v>
      </c>
      <c r="C2407" s="5">
        <f t="shared" si="688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8" t="s">
        <v>287</v>
      </c>
      <c r="H2407" s="13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690"/>
        <v>45333</v>
      </c>
      <c r="L2407" s="5">
        <f t="shared" si="691"/>
        <v>2</v>
      </c>
      <c r="M2407" s="5">
        <f t="shared" si="692"/>
        <v>2024</v>
      </c>
      <c r="N2407" s="95">
        <v>1606</v>
      </c>
      <c r="O2407" s="6">
        <f t="shared" si="697"/>
        <v>-1606</v>
      </c>
      <c r="P2407" s="6">
        <f t="shared" si="695"/>
        <v>0</v>
      </c>
      <c r="Q2407" s="7">
        <f t="shared" si="694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687"/>
        <v>12</v>
      </c>
      <c r="C2408" s="5">
        <f t="shared" si="688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8" t="s">
        <v>1412</v>
      </c>
      <c r="H2408" s="13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690"/>
        <v>45333</v>
      </c>
      <c r="L2408" s="5">
        <f t="shared" si="691"/>
        <v>2</v>
      </c>
      <c r="M2408" s="5">
        <f t="shared" si="692"/>
        <v>2024</v>
      </c>
      <c r="N2408" s="95">
        <v>626.4</v>
      </c>
      <c r="O2408" s="6">
        <f t="shared" si="697"/>
        <v>-626.4</v>
      </c>
      <c r="P2408" s="6">
        <f t="shared" si="695"/>
        <v>0</v>
      </c>
      <c r="Q2408" s="7">
        <f t="shared" si="694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687"/>
        <v>12</v>
      </c>
      <c r="C2409" s="5">
        <f t="shared" si="688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8" t="s">
        <v>2203</v>
      </c>
      <c r="H2409" s="13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690"/>
        <v>45333</v>
      </c>
      <c r="L2409" s="5">
        <f t="shared" si="691"/>
        <v>2</v>
      </c>
      <c r="M2409" s="5">
        <f t="shared" si="692"/>
        <v>2024</v>
      </c>
      <c r="N2409" s="95">
        <v>626.4</v>
      </c>
      <c r="O2409" s="6">
        <f t="shared" si="697"/>
        <v>-626.4</v>
      </c>
      <c r="P2409" s="6">
        <f t="shared" si="695"/>
        <v>0</v>
      </c>
      <c r="Q2409" s="7">
        <f t="shared" si="694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687"/>
        <v>12</v>
      </c>
      <c r="C2410" s="5">
        <f t="shared" si="688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8" t="s">
        <v>1111</v>
      </c>
      <c r="H2410" s="13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690"/>
        <v>45274</v>
      </c>
      <c r="L2410" s="5">
        <f t="shared" si="691"/>
        <v>12</v>
      </c>
      <c r="M2410" s="5">
        <f t="shared" si="692"/>
        <v>2023</v>
      </c>
      <c r="N2410" s="95">
        <v>125</v>
      </c>
      <c r="O2410" s="6">
        <f>-N2410</f>
        <v>-125</v>
      </c>
      <c r="P2410" s="6">
        <f t="shared" si="695"/>
        <v>0</v>
      </c>
      <c r="Q2410" s="7">
        <f t="shared" si="694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687"/>
        <v>12</v>
      </c>
      <c r="C2411" s="5">
        <f t="shared" si="688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8" t="s">
        <v>1734</v>
      </c>
      <c r="H2411" s="13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690"/>
        <v>45275</v>
      </c>
      <c r="L2411" s="5">
        <f t="shared" si="691"/>
        <v>12</v>
      </c>
      <c r="M2411" s="5">
        <f t="shared" si="692"/>
        <v>2023</v>
      </c>
      <c r="N2411" s="95">
        <v>3212</v>
      </c>
      <c r="O2411" s="6">
        <f>-2216.5</f>
        <v>-2216.5</v>
      </c>
      <c r="P2411" s="6">
        <f t="shared" si="695"/>
        <v>995.5</v>
      </c>
      <c r="Q2411" s="7">
        <f t="shared" si="694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687"/>
        <v>12</v>
      </c>
      <c r="C2412" s="5">
        <f t="shared" si="688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8" t="s">
        <v>2108</v>
      </c>
      <c r="H2412" s="13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690"/>
        <v>45275</v>
      </c>
      <c r="L2412" s="5">
        <f t="shared" si="691"/>
        <v>12</v>
      </c>
      <c r="M2412" s="5">
        <f t="shared" si="692"/>
        <v>2023</v>
      </c>
      <c r="N2412" s="95">
        <v>1502.2</v>
      </c>
      <c r="P2412" s="6">
        <f t="shared" si="695"/>
        <v>1502.2</v>
      </c>
      <c r="Q2412" s="7">
        <f t="shared" si="694"/>
        <v>3978532.350000002</v>
      </c>
      <c r="R2412" s="44" t="str">
        <f>VLOOKUP(F2412,'Set up'!$A$2:$E$55,5,FALSE)</f>
        <v>Trsf</v>
      </c>
    </row>
    <row r="2413" spans="1:19" ht="15" customHeight="1" x14ac:dyDescent="0.3">
      <c r="A2413" s="4">
        <v>45275</v>
      </c>
      <c r="B2413" s="5">
        <f t="shared" si="687"/>
        <v>12</v>
      </c>
      <c r="C2413" s="5">
        <f t="shared" si="688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8" t="s">
        <v>1923</v>
      </c>
      <c r="H2413" s="13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690"/>
        <v>45275</v>
      </c>
      <c r="L2413" s="5">
        <f t="shared" si="691"/>
        <v>12</v>
      </c>
      <c r="M2413" s="5">
        <f t="shared" si="692"/>
        <v>2023</v>
      </c>
      <c r="N2413" s="95">
        <v>936</v>
      </c>
      <c r="P2413" s="6">
        <f t="shared" si="695"/>
        <v>936</v>
      </c>
      <c r="Q2413" s="7">
        <f t="shared" si="694"/>
        <v>3979468.350000002</v>
      </c>
      <c r="R2413" s="44" t="str">
        <f>VLOOKUP(F2413,'Set up'!$A$2:$E$55,5,FALSE)</f>
        <v>Trsf</v>
      </c>
    </row>
    <row r="2414" spans="1:19" ht="15" customHeight="1" x14ac:dyDescent="0.3">
      <c r="A2414" s="4">
        <v>45275</v>
      </c>
      <c r="B2414" s="5">
        <f t="shared" si="687"/>
        <v>12</v>
      </c>
      <c r="C2414" s="5">
        <f t="shared" si="688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8" t="s">
        <v>1074</v>
      </c>
      <c r="H2414" s="13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690"/>
        <v>45275</v>
      </c>
      <c r="L2414" s="5">
        <f t="shared" si="691"/>
        <v>12</v>
      </c>
      <c r="M2414" s="5">
        <f t="shared" si="692"/>
        <v>2023</v>
      </c>
      <c r="N2414" s="95">
        <v>1000</v>
      </c>
      <c r="P2414" s="6">
        <f t="shared" si="695"/>
        <v>1000</v>
      </c>
      <c r="Q2414" s="7">
        <f t="shared" si="694"/>
        <v>3980468.350000002</v>
      </c>
      <c r="R2414" s="44" t="str">
        <f>VLOOKUP(F2414,'Set up'!$A$2:$E$55,5,FALSE)</f>
        <v>Trsf</v>
      </c>
    </row>
    <row r="2415" spans="1:19" ht="15" customHeight="1" x14ac:dyDescent="0.3">
      <c r="A2415" s="4">
        <v>45275</v>
      </c>
      <c r="B2415" s="5">
        <f t="shared" si="687"/>
        <v>12</v>
      </c>
      <c r="C2415" s="5">
        <f t="shared" si="688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8" t="s">
        <v>67</v>
      </c>
      <c r="H2415" s="13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690"/>
        <v>45275</v>
      </c>
      <c r="L2415" s="5">
        <f t="shared" si="691"/>
        <v>12</v>
      </c>
      <c r="M2415" s="5">
        <f t="shared" si="692"/>
        <v>2023</v>
      </c>
      <c r="N2415" s="95">
        <v>1738</v>
      </c>
      <c r="P2415" s="6">
        <f t="shared" si="695"/>
        <v>1738</v>
      </c>
      <c r="Q2415" s="7">
        <f t="shared" si="694"/>
        <v>3982206.350000002</v>
      </c>
      <c r="R2415" s="44" t="str">
        <f>VLOOKUP(F2415,'Set up'!$A$2:$E$55,5,FALSE)</f>
        <v>PD Chq</v>
      </c>
    </row>
    <row r="2416" spans="1:19" ht="15" customHeight="1" x14ac:dyDescent="0.3">
      <c r="A2416" s="4">
        <v>45275</v>
      </c>
      <c r="B2416" s="5">
        <f t="shared" si="687"/>
        <v>12</v>
      </c>
      <c r="C2416" s="5">
        <f t="shared" si="688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8" t="s">
        <v>2199</v>
      </c>
      <c r="H2416" s="13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690"/>
        <v>45275</v>
      </c>
      <c r="L2416" s="5">
        <f t="shared" si="691"/>
        <v>12</v>
      </c>
      <c r="M2416" s="5">
        <f t="shared" si="692"/>
        <v>2023</v>
      </c>
      <c r="N2416" s="95">
        <v>832.5</v>
      </c>
      <c r="P2416" s="6">
        <f t="shared" si="695"/>
        <v>832.5</v>
      </c>
      <c r="Q2416" s="7">
        <f t="shared" si="694"/>
        <v>3983038.850000002</v>
      </c>
      <c r="R2416" s="44" t="str">
        <f>VLOOKUP(F2416,'Set up'!$A$2:$E$55,5,FALSE)</f>
        <v>PD Chq</v>
      </c>
    </row>
    <row r="2417" spans="1:19" ht="15" customHeight="1" x14ac:dyDescent="0.3">
      <c r="A2417" s="4">
        <v>45275</v>
      </c>
      <c r="B2417" s="5">
        <f t="shared" si="687"/>
        <v>12</v>
      </c>
      <c r="C2417" s="5">
        <f t="shared" si="688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8" t="s">
        <v>1062</v>
      </c>
      <c r="H2417" s="13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690"/>
        <v>45275</v>
      </c>
      <c r="L2417" s="5">
        <f t="shared" si="691"/>
        <v>12</v>
      </c>
      <c r="M2417" s="5">
        <f t="shared" si="692"/>
        <v>2023</v>
      </c>
      <c r="N2417" s="95">
        <v>95</v>
      </c>
      <c r="P2417" s="6">
        <f t="shared" si="695"/>
        <v>95</v>
      </c>
      <c r="Q2417" s="7">
        <f t="shared" si="694"/>
        <v>3983133.850000002</v>
      </c>
      <c r="R2417" s="44" t="str">
        <f>VLOOKUP(F2417,'Set up'!$A$2:$E$55,5,FALSE)</f>
        <v>PD Chq</v>
      </c>
    </row>
    <row r="2418" spans="1:19" ht="15" customHeight="1" x14ac:dyDescent="0.3">
      <c r="A2418" s="4">
        <v>45275</v>
      </c>
      <c r="B2418" s="5">
        <f t="shared" si="687"/>
        <v>12</v>
      </c>
      <c r="C2418" s="5">
        <f t="shared" si="688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8" t="s">
        <v>1739</v>
      </c>
      <c r="H2418" s="13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690"/>
        <v>45275</v>
      </c>
      <c r="L2418" s="5">
        <f t="shared" si="691"/>
        <v>12</v>
      </c>
      <c r="M2418" s="5">
        <f t="shared" si="692"/>
        <v>2023</v>
      </c>
      <c r="N2418" s="95">
        <v>1760</v>
      </c>
      <c r="O2418" s="6">
        <f t="shared" ref="O2418:O2429" si="698">-N2418</f>
        <v>-1760</v>
      </c>
      <c r="P2418" s="6">
        <f t="shared" si="695"/>
        <v>0</v>
      </c>
      <c r="Q2418" s="7">
        <f t="shared" si="694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687"/>
        <v>12</v>
      </c>
      <c r="C2419" s="5">
        <f t="shared" si="688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8" t="s">
        <v>1391</v>
      </c>
      <c r="H2419" s="13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690"/>
        <v>45275</v>
      </c>
      <c r="L2419" s="5">
        <f t="shared" si="691"/>
        <v>12</v>
      </c>
      <c r="M2419" s="5">
        <f t="shared" si="692"/>
        <v>2023</v>
      </c>
      <c r="N2419" s="95">
        <v>432</v>
      </c>
      <c r="O2419" s="6">
        <f t="shared" si="698"/>
        <v>-432</v>
      </c>
      <c r="P2419" s="6">
        <f t="shared" si="695"/>
        <v>0</v>
      </c>
      <c r="Q2419" s="7">
        <f t="shared" si="694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687"/>
        <v>12</v>
      </c>
      <c r="C2420" s="5">
        <f t="shared" si="688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8" t="s">
        <v>1470</v>
      </c>
      <c r="H2420" s="13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690"/>
        <v>45275</v>
      </c>
      <c r="L2420" s="5">
        <f t="shared" si="691"/>
        <v>12</v>
      </c>
      <c r="M2420" s="5">
        <f t="shared" si="692"/>
        <v>2023</v>
      </c>
      <c r="N2420" s="95">
        <v>840</v>
      </c>
      <c r="O2420" s="6">
        <f t="shared" si="698"/>
        <v>-840</v>
      </c>
      <c r="P2420" s="6">
        <f t="shared" si="695"/>
        <v>0</v>
      </c>
      <c r="Q2420" s="7">
        <f t="shared" si="694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687"/>
        <v>12</v>
      </c>
      <c r="C2421" s="5">
        <f t="shared" si="688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8" t="s">
        <v>2205</v>
      </c>
      <c r="H2421" s="13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690"/>
        <v>45275</v>
      </c>
      <c r="L2421" s="5">
        <f t="shared" si="691"/>
        <v>12</v>
      </c>
      <c r="M2421" s="5">
        <f t="shared" si="692"/>
        <v>2023</v>
      </c>
      <c r="N2421" s="95">
        <v>325</v>
      </c>
      <c r="O2421" s="6">
        <f t="shared" si="698"/>
        <v>-325</v>
      </c>
      <c r="P2421" s="6">
        <f t="shared" si="695"/>
        <v>0</v>
      </c>
      <c r="Q2421" s="7">
        <f t="shared" si="694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687"/>
        <v>12</v>
      </c>
      <c r="C2422" s="5">
        <f t="shared" si="688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8" t="s">
        <v>2206</v>
      </c>
      <c r="H2422" s="13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690"/>
        <v>45275</v>
      </c>
      <c r="L2422" s="5">
        <f t="shared" si="691"/>
        <v>12</v>
      </c>
      <c r="M2422" s="5">
        <f t="shared" si="692"/>
        <v>2023</v>
      </c>
      <c r="N2422" s="95">
        <v>225</v>
      </c>
      <c r="O2422" s="6">
        <f t="shared" si="698"/>
        <v>-225</v>
      </c>
      <c r="P2422" s="6">
        <f t="shared" si="695"/>
        <v>0</v>
      </c>
      <c r="Q2422" s="7">
        <f t="shared" si="694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687"/>
        <v>12</v>
      </c>
      <c r="C2423" s="5">
        <f t="shared" si="688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8" t="s">
        <v>2207</v>
      </c>
      <c r="H2423" s="13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690"/>
        <v>45275</v>
      </c>
      <c r="L2423" s="5">
        <f t="shared" si="691"/>
        <v>12</v>
      </c>
      <c r="M2423" s="5">
        <f t="shared" si="692"/>
        <v>2023</v>
      </c>
      <c r="N2423" s="95">
        <v>170</v>
      </c>
      <c r="O2423" s="6">
        <f t="shared" si="698"/>
        <v>-170</v>
      </c>
      <c r="P2423" s="6">
        <f t="shared" si="695"/>
        <v>0</v>
      </c>
      <c r="Q2423" s="7">
        <f t="shared" si="694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687"/>
        <v>12</v>
      </c>
      <c r="C2424" s="5">
        <f t="shared" si="688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8" t="s">
        <v>2110</v>
      </c>
      <c r="H2424" s="13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690"/>
        <v>45275</v>
      </c>
      <c r="L2424" s="5">
        <f t="shared" si="691"/>
        <v>12</v>
      </c>
      <c r="M2424" s="5">
        <f t="shared" si="692"/>
        <v>2023</v>
      </c>
      <c r="N2424" s="95">
        <v>283.8</v>
      </c>
      <c r="O2424" s="6">
        <f t="shared" si="698"/>
        <v>-283.8</v>
      </c>
      <c r="P2424" s="6">
        <f t="shared" si="695"/>
        <v>0</v>
      </c>
      <c r="Q2424" s="7">
        <f t="shared" si="694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687"/>
        <v>12</v>
      </c>
      <c r="C2425" s="5">
        <f t="shared" si="688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8" t="s">
        <v>1661</v>
      </c>
      <c r="H2425" s="13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690"/>
        <v>45275</v>
      </c>
      <c r="L2425" s="5">
        <f t="shared" si="691"/>
        <v>12</v>
      </c>
      <c r="M2425" s="5">
        <f t="shared" si="692"/>
        <v>2023</v>
      </c>
      <c r="N2425" s="95">
        <v>175</v>
      </c>
      <c r="O2425" s="6">
        <f t="shared" si="698"/>
        <v>-175</v>
      </c>
      <c r="P2425" s="6">
        <f t="shared" si="695"/>
        <v>0</v>
      </c>
      <c r="Q2425" s="7">
        <f t="shared" si="694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687"/>
        <v>12</v>
      </c>
      <c r="C2426" s="5">
        <f t="shared" si="688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8" t="s">
        <v>2208</v>
      </c>
      <c r="H2426" s="13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690"/>
        <v>45275</v>
      </c>
      <c r="L2426" s="5">
        <f t="shared" si="691"/>
        <v>12</v>
      </c>
      <c r="M2426" s="5">
        <f t="shared" si="692"/>
        <v>2023</v>
      </c>
      <c r="N2426" s="95">
        <v>625</v>
      </c>
      <c r="O2426" s="6">
        <f t="shared" si="698"/>
        <v>-625</v>
      </c>
      <c r="P2426" s="6">
        <f t="shared" si="695"/>
        <v>0</v>
      </c>
      <c r="Q2426" s="7">
        <f t="shared" si="694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699">MONTH(A2427)</f>
        <v>12</v>
      </c>
      <c r="C2427" s="5">
        <f t="shared" ref="C2427" si="700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8" t="s">
        <v>2208</v>
      </c>
      <c r="H2427" s="13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690"/>
        <v>45275</v>
      </c>
      <c r="L2427" s="5">
        <f t="shared" si="691"/>
        <v>12</v>
      </c>
      <c r="M2427" s="5">
        <f t="shared" si="692"/>
        <v>2023</v>
      </c>
      <c r="N2427" s="95">
        <v>525</v>
      </c>
      <c r="O2427" s="6">
        <f>-N2427</f>
        <v>-525</v>
      </c>
      <c r="P2427" s="6">
        <f>SUM(N2427+O2427)</f>
        <v>0</v>
      </c>
      <c r="Q2427" s="7">
        <f t="shared" si="694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01">MONTH(A2428)</f>
        <v>12</v>
      </c>
      <c r="C2428" s="5">
        <f t="shared" ref="C2428:C2430" si="702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8" t="s">
        <v>2337</v>
      </c>
      <c r="H2428" s="13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690"/>
        <v>45275</v>
      </c>
      <c r="L2428" s="5">
        <f t="shared" si="691"/>
        <v>12</v>
      </c>
      <c r="M2428" s="5">
        <f t="shared" si="692"/>
        <v>2023</v>
      </c>
      <c r="N2428" s="95">
        <v>-525</v>
      </c>
      <c r="O2428" s="6">
        <f>-N2428</f>
        <v>525</v>
      </c>
      <c r="P2428" s="6">
        <f>SUM(N2428+O2428)</f>
        <v>0</v>
      </c>
      <c r="Q2428" s="7">
        <f t="shared" si="694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01"/>
        <v>12</v>
      </c>
      <c r="C2429" s="5">
        <f t="shared" si="702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8" t="s">
        <v>2209</v>
      </c>
      <c r="H2429" s="13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690"/>
        <v>45275</v>
      </c>
      <c r="L2429" s="5">
        <f t="shared" si="691"/>
        <v>12</v>
      </c>
      <c r="M2429" s="5">
        <f t="shared" si="692"/>
        <v>2023</v>
      </c>
      <c r="N2429" s="95">
        <v>90</v>
      </c>
      <c r="O2429" s="6">
        <f t="shared" si="698"/>
        <v>-90</v>
      </c>
      <c r="P2429" s="6">
        <f t="shared" si="695"/>
        <v>0</v>
      </c>
      <c r="Q2429" s="7">
        <f t="shared" si="694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01"/>
        <v>12</v>
      </c>
      <c r="C2430" s="5">
        <f t="shared" si="702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8" t="s">
        <v>304</v>
      </c>
      <c r="H2430" s="13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690"/>
        <v>45276</v>
      </c>
      <c r="L2430" s="5">
        <f t="shared" si="691"/>
        <v>12</v>
      </c>
      <c r="M2430" s="5">
        <f t="shared" si="692"/>
        <v>2023</v>
      </c>
      <c r="N2430" s="95">
        <v>1606</v>
      </c>
      <c r="O2430" s="6">
        <f t="shared" ref="O2430:O2440" si="703">-N2430</f>
        <v>-1606</v>
      </c>
      <c r="P2430" s="6">
        <f t="shared" si="695"/>
        <v>0</v>
      </c>
      <c r="Q2430" s="7">
        <f t="shared" si="694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04">MONTH(A2431)</f>
        <v>12</v>
      </c>
      <c r="C2431" s="5">
        <f t="shared" ref="C2431:C2493" si="705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8" t="s">
        <v>2113</v>
      </c>
      <c r="H2431" s="13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690"/>
        <v>45276</v>
      </c>
      <c r="L2431" s="5">
        <f t="shared" si="691"/>
        <v>12</v>
      </c>
      <c r="M2431" s="5">
        <f t="shared" si="692"/>
        <v>2023</v>
      </c>
      <c r="N2431" s="95">
        <v>1597.5</v>
      </c>
      <c r="O2431" s="6">
        <f t="shared" si="703"/>
        <v>-1597.5</v>
      </c>
      <c r="P2431" s="6">
        <f t="shared" si="695"/>
        <v>0</v>
      </c>
      <c r="Q2431" s="7">
        <f t="shared" si="694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04"/>
        <v>12</v>
      </c>
      <c r="C2432" s="5">
        <f t="shared" si="705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8" t="s">
        <v>1544</v>
      </c>
      <c r="H2432" s="13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690"/>
        <v>45276</v>
      </c>
      <c r="L2432" s="5">
        <f t="shared" si="691"/>
        <v>12</v>
      </c>
      <c r="M2432" s="5">
        <f t="shared" si="692"/>
        <v>2023</v>
      </c>
      <c r="N2432" s="95">
        <v>1050</v>
      </c>
      <c r="O2432" s="6">
        <f t="shared" si="703"/>
        <v>-1050</v>
      </c>
      <c r="P2432" s="6">
        <f t="shared" si="695"/>
        <v>0</v>
      </c>
      <c r="Q2432" s="7">
        <f t="shared" si="694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04"/>
        <v>12</v>
      </c>
      <c r="C2433" s="5">
        <f t="shared" si="705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8" t="s">
        <v>2110</v>
      </c>
      <c r="H2433" s="13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690"/>
        <v>45276</v>
      </c>
      <c r="L2433" s="5">
        <f t="shared" si="691"/>
        <v>12</v>
      </c>
      <c r="M2433" s="5">
        <f t="shared" si="692"/>
        <v>2023</v>
      </c>
      <c r="N2433" s="95">
        <v>851.4</v>
      </c>
      <c r="O2433" s="6">
        <f t="shared" si="703"/>
        <v>-851.4</v>
      </c>
      <c r="P2433" s="6">
        <f t="shared" si="695"/>
        <v>0</v>
      </c>
      <c r="Q2433" s="7">
        <f t="shared" si="694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04"/>
        <v>12</v>
      </c>
      <c r="C2434" s="5">
        <f t="shared" si="705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8" t="s">
        <v>17</v>
      </c>
      <c r="H2434" s="13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690"/>
        <v>45276</v>
      </c>
      <c r="L2434" s="5">
        <f t="shared" si="691"/>
        <v>12</v>
      </c>
      <c r="M2434" s="5">
        <f t="shared" si="692"/>
        <v>2023</v>
      </c>
      <c r="N2434" s="95">
        <v>105</v>
      </c>
      <c r="O2434" s="6">
        <f t="shared" si="703"/>
        <v>-105</v>
      </c>
      <c r="P2434" s="6">
        <f t="shared" si="695"/>
        <v>0</v>
      </c>
      <c r="Q2434" s="7">
        <f t="shared" si="694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04"/>
        <v>12</v>
      </c>
      <c r="C2435" s="5">
        <f t="shared" si="705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8" t="s">
        <v>1887</v>
      </c>
      <c r="H2435" s="13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06">A2435+J2435</f>
        <v>45276</v>
      </c>
      <c r="L2435" s="5">
        <f t="shared" ref="L2435:L2498" si="707">MONTH(K2435)</f>
        <v>12</v>
      </c>
      <c r="M2435" s="5">
        <f t="shared" ref="M2435:M2498" si="708">YEAR(K2435)</f>
        <v>2023</v>
      </c>
      <c r="N2435" s="95">
        <v>480</v>
      </c>
      <c r="O2435" s="6">
        <f t="shared" si="703"/>
        <v>-480</v>
      </c>
      <c r="P2435" s="6">
        <f t="shared" si="695"/>
        <v>0</v>
      </c>
      <c r="Q2435" s="7">
        <f t="shared" si="694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04"/>
        <v>12</v>
      </c>
      <c r="C2436" s="5">
        <f t="shared" si="705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8" t="s">
        <v>1661</v>
      </c>
      <c r="H2436" s="13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06"/>
        <v>45276</v>
      </c>
      <c r="L2436" s="5">
        <f t="shared" si="707"/>
        <v>12</v>
      </c>
      <c r="M2436" s="5">
        <f t="shared" si="708"/>
        <v>2023</v>
      </c>
      <c r="N2436" s="95">
        <v>170</v>
      </c>
      <c r="O2436" s="6">
        <f t="shared" si="703"/>
        <v>-170</v>
      </c>
      <c r="P2436" s="6">
        <f t="shared" si="695"/>
        <v>0</v>
      </c>
      <c r="Q2436" s="7">
        <f t="shared" si="694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04"/>
        <v>12</v>
      </c>
      <c r="C2437" s="5">
        <f t="shared" si="705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8" t="s">
        <v>1406</v>
      </c>
      <c r="H2437" s="13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06"/>
        <v>45276</v>
      </c>
      <c r="L2437" s="5">
        <f t="shared" si="707"/>
        <v>12</v>
      </c>
      <c r="M2437" s="5">
        <f t="shared" si="708"/>
        <v>2023</v>
      </c>
      <c r="N2437" s="95">
        <v>96</v>
      </c>
      <c r="O2437" s="6">
        <f t="shared" si="703"/>
        <v>-96</v>
      </c>
      <c r="P2437" s="6">
        <f t="shared" si="695"/>
        <v>0</v>
      </c>
      <c r="Q2437" s="7">
        <f t="shared" si="694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04"/>
        <v>12</v>
      </c>
      <c r="C2438" s="5">
        <f t="shared" si="705"/>
        <v>2023</v>
      </c>
      <c r="D2438" s="88" t="s">
        <v>2267</v>
      </c>
      <c r="E2438" s="5" t="str">
        <f>VLOOKUP(F2438,'Set up'!$A$2:$C$55,2,FALSE)</f>
        <v>C00000044</v>
      </c>
      <c r="F2438" s="1" t="s">
        <v>2959</v>
      </c>
      <c r="G2438" s="98" t="s">
        <v>304</v>
      </c>
      <c r="H2438" s="13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06"/>
        <v>45276</v>
      </c>
      <c r="L2438" s="5">
        <f t="shared" si="707"/>
        <v>12</v>
      </c>
      <c r="M2438" s="5">
        <f t="shared" si="708"/>
        <v>2023</v>
      </c>
      <c r="N2438" s="95">
        <v>1606</v>
      </c>
      <c r="O2438" s="6">
        <f t="shared" si="703"/>
        <v>-1606</v>
      </c>
      <c r="P2438" s="6">
        <f t="shared" si="695"/>
        <v>0</v>
      </c>
      <c r="Q2438" s="7">
        <f t="shared" si="694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04"/>
        <v>12</v>
      </c>
      <c r="C2439" s="5">
        <f t="shared" si="705"/>
        <v>2023</v>
      </c>
      <c r="D2439" s="88" t="s">
        <v>2267</v>
      </c>
      <c r="E2439" s="5" t="str">
        <f>VLOOKUP(F2439,'Set up'!$A$2:$C$55,2,FALSE)</f>
        <v>C00000044</v>
      </c>
      <c r="F2439" s="1" t="s">
        <v>2959</v>
      </c>
      <c r="G2439" s="98" t="s">
        <v>1544</v>
      </c>
      <c r="H2439" s="13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06"/>
        <v>45276</v>
      </c>
      <c r="L2439" s="5">
        <f t="shared" si="707"/>
        <v>12</v>
      </c>
      <c r="M2439" s="5">
        <f t="shared" si="708"/>
        <v>2023</v>
      </c>
      <c r="N2439" s="95">
        <v>420</v>
      </c>
      <c r="O2439" s="6">
        <f t="shared" si="703"/>
        <v>-420</v>
      </c>
      <c r="P2439" s="6">
        <f t="shared" si="695"/>
        <v>0</v>
      </c>
      <c r="Q2439" s="7">
        <f t="shared" si="694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04"/>
        <v>12</v>
      </c>
      <c r="C2440" s="5">
        <f t="shared" si="705"/>
        <v>2023</v>
      </c>
      <c r="D2440" s="88" t="s">
        <v>2267</v>
      </c>
      <c r="E2440" s="5" t="str">
        <f>VLOOKUP(F2440,'Set up'!$A$2:$C$55,2,FALSE)</f>
        <v>C00000044</v>
      </c>
      <c r="F2440" s="1" t="s">
        <v>2959</v>
      </c>
      <c r="G2440" s="98" t="s">
        <v>17</v>
      </c>
      <c r="H2440" s="13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06"/>
        <v>45276</v>
      </c>
      <c r="L2440" s="5">
        <f t="shared" si="707"/>
        <v>12</v>
      </c>
      <c r="M2440" s="5">
        <f t="shared" si="708"/>
        <v>2023</v>
      </c>
      <c r="N2440" s="95">
        <v>105</v>
      </c>
      <c r="O2440" s="6">
        <f t="shared" si="703"/>
        <v>-105</v>
      </c>
      <c r="P2440" s="6">
        <f t="shared" si="695"/>
        <v>0</v>
      </c>
      <c r="Q2440" s="7">
        <f t="shared" si="694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04"/>
        <v>12</v>
      </c>
      <c r="C2441" s="5">
        <f t="shared" si="705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8" t="s">
        <v>1111</v>
      </c>
      <c r="H2441" s="13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06"/>
        <v>45276</v>
      </c>
      <c r="L2441" s="5">
        <f t="shared" si="707"/>
        <v>12</v>
      </c>
      <c r="M2441" s="5">
        <f t="shared" si="708"/>
        <v>2023</v>
      </c>
      <c r="N2441" s="95">
        <v>250</v>
      </c>
      <c r="P2441" s="6">
        <f t="shared" si="695"/>
        <v>250</v>
      </c>
      <c r="Q2441" s="7">
        <f t="shared" si="694"/>
        <v>3996396.5500000017</v>
      </c>
      <c r="R2441" s="44" t="str">
        <f>VLOOKUP(F2441,'Set up'!$A$2:$E$55,5,FALSE)</f>
        <v>Trsf</v>
      </c>
    </row>
    <row r="2442" spans="1:19" ht="15" customHeight="1" x14ac:dyDescent="0.3">
      <c r="A2442" s="4">
        <v>45276</v>
      </c>
      <c r="B2442" s="5">
        <f t="shared" si="704"/>
        <v>12</v>
      </c>
      <c r="C2442" s="5">
        <f t="shared" si="705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8" t="s">
        <v>1895</v>
      </c>
      <c r="H2442" s="13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06"/>
        <v>45276</v>
      </c>
      <c r="L2442" s="5">
        <f t="shared" si="707"/>
        <v>12</v>
      </c>
      <c r="M2442" s="5">
        <f t="shared" si="708"/>
        <v>2023</v>
      </c>
      <c r="N2442" s="95">
        <v>6424</v>
      </c>
      <c r="P2442" s="6">
        <f t="shared" si="695"/>
        <v>6424</v>
      </c>
      <c r="Q2442" s="7">
        <f t="shared" si="694"/>
        <v>4002820.5500000017</v>
      </c>
      <c r="R2442" s="44" t="str">
        <f>VLOOKUP(F2442,'Set up'!$A$2:$E$55,5,FALSE)</f>
        <v>Trsf</v>
      </c>
    </row>
    <row r="2443" spans="1:19" ht="15" customHeight="1" x14ac:dyDescent="0.3">
      <c r="A2443" s="4">
        <v>45276</v>
      </c>
      <c r="B2443" s="5">
        <f t="shared" si="704"/>
        <v>12</v>
      </c>
      <c r="C2443" s="5">
        <f t="shared" si="705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8" t="s">
        <v>2211</v>
      </c>
      <c r="H2443" s="13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06"/>
        <v>45276</v>
      </c>
      <c r="L2443" s="5">
        <f t="shared" si="707"/>
        <v>12</v>
      </c>
      <c r="M2443" s="5">
        <f t="shared" si="708"/>
        <v>2023</v>
      </c>
      <c r="N2443" s="95">
        <v>2331.6</v>
      </c>
      <c r="P2443" s="6">
        <f t="shared" si="695"/>
        <v>2331.6</v>
      </c>
      <c r="Q2443" s="7">
        <f t="shared" si="694"/>
        <v>4005152.1500000018</v>
      </c>
      <c r="R2443" s="44" t="str">
        <f>VLOOKUP(F2443,'Set up'!$A$2:$E$55,5,FALSE)</f>
        <v>Trsf</v>
      </c>
    </row>
    <row r="2444" spans="1:19" ht="15" customHeight="1" x14ac:dyDescent="0.3">
      <c r="A2444" s="4">
        <v>45276</v>
      </c>
      <c r="B2444" s="5">
        <f t="shared" si="704"/>
        <v>12</v>
      </c>
      <c r="C2444" s="5">
        <f t="shared" si="705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8" t="s">
        <v>1923</v>
      </c>
      <c r="H2444" s="13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06"/>
        <v>45276</v>
      </c>
      <c r="L2444" s="5">
        <f t="shared" si="707"/>
        <v>12</v>
      </c>
      <c r="M2444" s="5">
        <f t="shared" si="708"/>
        <v>2023</v>
      </c>
      <c r="N2444" s="95">
        <v>1404</v>
      </c>
      <c r="P2444" s="6">
        <f t="shared" si="695"/>
        <v>1404</v>
      </c>
      <c r="Q2444" s="7">
        <f t="shared" si="694"/>
        <v>4006556.1500000018</v>
      </c>
      <c r="R2444" s="44" t="str">
        <f>VLOOKUP(F2444,'Set up'!$A$2:$E$55,5,FALSE)</f>
        <v>Trsf</v>
      </c>
    </row>
    <row r="2445" spans="1:19" ht="15" customHeight="1" x14ac:dyDescent="0.3">
      <c r="A2445" s="4">
        <v>45276</v>
      </c>
      <c r="B2445" s="5">
        <f t="shared" si="704"/>
        <v>12</v>
      </c>
      <c r="C2445" s="5">
        <f t="shared" si="705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8" t="s">
        <v>1062</v>
      </c>
      <c r="H2445" s="13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06"/>
        <v>45276</v>
      </c>
      <c r="L2445" s="5">
        <f t="shared" si="707"/>
        <v>12</v>
      </c>
      <c r="M2445" s="5">
        <f t="shared" si="708"/>
        <v>2023</v>
      </c>
      <c r="N2445" s="95">
        <v>380</v>
      </c>
      <c r="P2445" s="6">
        <f t="shared" si="695"/>
        <v>380</v>
      </c>
      <c r="Q2445" s="7">
        <f t="shared" si="694"/>
        <v>4006936.1500000018</v>
      </c>
      <c r="R2445" s="44" t="str">
        <f>VLOOKUP(F2445,'Set up'!$A$2:$E$55,5,FALSE)</f>
        <v>Trsf</v>
      </c>
    </row>
    <row r="2446" spans="1:19" ht="15" customHeight="1" x14ac:dyDescent="0.3">
      <c r="A2446" s="4">
        <v>45278</v>
      </c>
      <c r="B2446" s="5">
        <f t="shared" si="704"/>
        <v>12</v>
      </c>
      <c r="C2446" s="5">
        <f t="shared" si="705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8" t="s">
        <v>67</v>
      </c>
      <c r="H2446" s="13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06"/>
        <v>45278</v>
      </c>
      <c r="L2446" s="5">
        <f t="shared" si="707"/>
        <v>12</v>
      </c>
      <c r="M2446" s="5">
        <f t="shared" si="708"/>
        <v>2023</v>
      </c>
      <c r="N2446" s="95">
        <v>1738</v>
      </c>
      <c r="P2446" s="6">
        <f t="shared" si="695"/>
        <v>1738</v>
      </c>
      <c r="Q2446" s="7">
        <f t="shared" si="694"/>
        <v>4008674.1500000018</v>
      </c>
      <c r="R2446" s="44" t="str">
        <f>VLOOKUP(F2446,'Set up'!$A$2:$E$55,5,FALSE)</f>
        <v>PD Chq</v>
      </c>
    </row>
    <row r="2447" spans="1:19" ht="15" customHeight="1" x14ac:dyDescent="0.3">
      <c r="A2447" s="4">
        <v>45278</v>
      </c>
      <c r="B2447" s="5">
        <f t="shared" si="704"/>
        <v>12</v>
      </c>
      <c r="C2447" s="5">
        <f t="shared" si="705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8" t="s">
        <v>2199</v>
      </c>
      <c r="H2447" s="13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06"/>
        <v>45278</v>
      </c>
      <c r="L2447" s="5">
        <f t="shared" si="707"/>
        <v>12</v>
      </c>
      <c r="M2447" s="5">
        <f t="shared" si="708"/>
        <v>2023</v>
      </c>
      <c r="N2447" s="95">
        <v>832.5</v>
      </c>
      <c r="P2447" s="6">
        <f t="shared" si="695"/>
        <v>832.5</v>
      </c>
      <c r="Q2447" s="7">
        <f t="shared" si="694"/>
        <v>4009506.6500000018</v>
      </c>
      <c r="R2447" s="44" t="str">
        <f>VLOOKUP(F2447,'Set up'!$A$2:$E$55,5,FALSE)</f>
        <v>PD Chq</v>
      </c>
    </row>
    <row r="2448" spans="1:19" ht="15" customHeight="1" x14ac:dyDescent="0.3">
      <c r="A2448" s="4">
        <v>45278</v>
      </c>
      <c r="B2448" s="5">
        <f t="shared" si="704"/>
        <v>12</v>
      </c>
      <c r="C2448" s="5">
        <f t="shared" si="705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8" t="s">
        <v>1062</v>
      </c>
      <c r="H2448" s="13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06"/>
        <v>45278</v>
      </c>
      <c r="L2448" s="5">
        <f t="shared" si="707"/>
        <v>12</v>
      </c>
      <c r="M2448" s="5">
        <f t="shared" si="708"/>
        <v>2023</v>
      </c>
      <c r="N2448" s="95">
        <v>95</v>
      </c>
      <c r="P2448" s="6">
        <f t="shared" si="695"/>
        <v>95</v>
      </c>
      <c r="Q2448" s="7">
        <f t="shared" si="694"/>
        <v>4009601.6500000018</v>
      </c>
      <c r="R2448" s="44" t="str">
        <f>VLOOKUP(F2448,'Set up'!$A$2:$E$55,5,FALSE)</f>
        <v>PD Chq</v>
      </c>
    </row>
    <row r="2449" spans="1:19" ht="15" customHeight="1" x14ac:dyDescent="0.3">
      <c r="A2449" s="4">
        <v>45278</v>
      </c>
      <c r="B2449" s="5">
        <f t="shared" si="704"/>
        <v>12</v>
      </c>
      <c r="C2449" s="5">
        <f t="shared" si="705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8" t="s">
        <v>2200</v>
      </c>
      <c r="H2449" s="13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06"/>
        <v>45278</v>
      </c>
      <c r="L2449" s="5">
        <f t="shared" si="707"/>
        <v>12</v>
      </c>
      <c r="M2449" s="5">
        <f t="shared" si="708"/>
        <v>2023</v>
      </c>
      <c r="N2449" s="95">
        <v>312.5</v>
      </c>
      <c r="P2449" s="6">
        <f t="shared" si="695"/>
        <v>312.5</v>
      </c>
      <c r="Q2449" s="7">
        <f t="shared" si="694"/>
        <v>4009914.1500000018</v>
      </c>
      <c r="R2449" s="44" t="str">
        <f>VLOOKUP(F2449,'Set up'!$A$2:$E$55,5,FALSE)</f>
        <v>PD Chq</v>
      </c>
    </row>
    <row r="2450" spans="1:19" ht="15" customHeight="1" x14ac:dyDescent="0.3">
      <c r="A2450" s="4">
        <v>45278</v>
      </c>
      <c r="B2450" s="5">
        <f t="shared" si="704"/>
        <v>12</v>
      </c>
      <c r="C2450" s="5">
        <f t="shared" si="705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8" t="s">
        <v>2201</v>
      </c>
      <c r="H2450" s="13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06"/>
        <v>45398</v>
      </c>
      <c r="L2450" s="5">
        <f t="shared" si="707"/>
        <v>4</v>
      </c>
      <c r="M2450" s="5">
        <f t="shared" si="708"/>
        <v>2024</v>
      </c>
      <c r="N2450" s="95">
        <v>696</v>
      </c>
      <c r="O2450" s="6">
        <f t="shared" ref="O2450" si="709">-N2450</f>
        <v>-696</v>
      </c>
      <c r="P2450" s="6">
        <f t="shared" si="695"/>
        <v>0</v>
      </c>
      <c r="Q2450" s="7">
        <f t="shared" ref="Q2450:Q2513" si="710">SUM(Q2449+N2450)</f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04"/>
        <v>12</v>
      </c>
      <c r="C2451" s="5">
        <f t="shared" si="705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8" t="s">
        <v>95</v>
      </c>
      <c r="H2451" s="13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06"/>
        <v>45279</v>
      </c>
      <c r="L2451" s="5">
        <f t="shared" si="707"/>
        <v>12</v>
      </c>
      <c r="M2451" s="5">
        <f t="shared" si="708"/>
        <v>2023</v>
      </c>
      <c r="N2451" s="95">
        <v>1738</v>
      </c>
      <c r="P2451" s="6">
        <f t="shared" si="695"/>
        <v>1738</v>
      </c>
      <c r="Q2451" s="7">
        <f t="shared" si="710"/>
        <v>4012348.1500000018</v>
      </c>
      <c r="R2451" s="44" t="str">
        <f>VLOOKUP(F2451,'Set up'!$A$2:$E$55,5,FALSE)</f>
        <v>Trsf</v>
      </c>
    </row>
    <row r="2452" spans="1:19" ht="15" customHeight="1" x14ac:dyDescent="0.3">
      <c r="A2452" s="4">
        <v>45279</v>
      </c>
      <c r="B2452" s="5">
        <f t="shared" si="704"/>
        <v>12</v>
      </c>
      <c r="C2452" s="5">
        <f t="shared" si="705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8" t="s">
        <v>2212</v>
      </c>
      <c r="H2452" s="13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06"/>
        <v>45279</v>
      </c>
      <c r="L2452" s="5">
        <f t="shared" si="707"/>
        <v>12</v>
      </c>
      <c r="M2452" s="5">
        <f t="shared" si="708"/>
        <v>2023</v>
      </c>
      <c r="N2452" s="95">
        <v>405</v>
      </c>
      <c r="P2452" s="6">
        <f t="shared" si="695"/>
        <v>405</v>
      </c>
      <c r="Q2452" s="7">
        <f t="shared" si="710"/>
        <v>4012753.1500000018</v>
      </c>
      <c r="R2452" s="44" t="str">
        <f>VLOOKUP(F2452,'Set up'!$A$2:$E$55,5,FALSE)</f>
        <v>Trsf</v>
      </c>
    </row>
    <row r="2453" spans="1:19" ht="15" customHeight="1" x14ac:dyDescent="0.3">
      <c r="A2453" s="4">
        <v>45279</v>
      </c>
      <c r="B2453" s="5">
        <f t="shared" si="704"/>
        <v>12</v>
      </c>
      <c r="C2453" s="5">
        <f t="shared" si="705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8" t="s">
        <v>2205</v>
      </c>
      <c r="H2453" s="13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06"/>
        <v>45279</v>
      </c>
      <c r="L2453" s="5">
        <f t="shared" si="707"/>
        <v>12</v>
      </c>
      <c r="M2453" s="5">
        <f t="shared" si="708"/>
        <v>2023</v>
      </c>
      <c r="N2453" s="95">
        <v>250</v>
      </c>
      <c r="P2453" s="6">
        <f t="shared" ref="P2453:P2516" si="711">SUM(N2453+O2453)</f>
        <v>250</v>
      </c>
      <c r="Q2453" s="7">
        <f t="shared" si="710"/>
        <v>4013003.1500000018</v>
      </c>
      <c r="R2453" s="44" t="str">
        <f>VLOOKUP(F2453,'Set up'!$A$2:$E$55,5,FALSE)</f>
        <v>Trsf</v>
      </c>
    </row>
    <row r="2454" spans="1:19" ht="15" customHeight="1" x14ac:dyDescent="0.3">
      <c r="A2454" s="4">
        <v>45279</v>
      </c>
      <c r="B2454" s="5">
        <f t="shared" si="704"/>
        <v>12</v>
      </c>
      <c r="C2454" s="5">
        <f t="shared" si="705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8" t="s">
        <v>46</v>
      </c>
      <c r="H2454" s="13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06"/>
        <v>45279</v>
      </c>
      <c r="L2454" s="5">
        <f t="shared" si="707"/>
        <v>12</v>
      </c>
      <c r="M2454" s="5">
        <f t="shared" si="708"/>
        <v>2023</v>
      </c>
      <c r="N2454" s="95">
        <v>105</v>
      </c>
      <c r="P2454" s="6">
        <f t="shared" si="711"/>
        <v>105</v>
      </c>
      <c r="Q2454" s="7">
        <f t="shared" si="710"/>
        <v>4013108.1500000018</v>
      </c>
      <c r="R2454" s="44" t="str">
        <f>VLOOKUP(F2454,'Set up'!$A$2:$E$55,5,FALSE)</f>
        <v>Trsf</v>
      </c>
    </row>
    <row r="2455" spans="1:19" ht="15" customHeight="1" x14ac:dyDescent="0.3">
      <c r="A2455" s="4">
        <v>45279</v>
      </c>
      <c r="B2455" s="5">
        <f t="shared" si="704"/>
        <v>12</v>
      </c>
      <c r="C2455" s="5">
        <f t="shared" si="705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8" t="s">
        <v>945</v>
      </c>
      <c r="H2455" s="13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06"/>
        <v>45279</v>
      </c>
      <c r="L2455" s="5">
        <f t="shared" si="707"/>
        <v>12</v>
      </c>
      <c r="M2455" s="5">
        <f t="shared" si="708"/>
        <v>2023</v>
      </c>
      <c r="N2455" s="95">
        <v>420</v>
      </c>
      <c r="P2455" s="6">
        <f t="shared" si="711"/>
        <v>420</v>
      </c>
      <c r="Q2455" s="7">
        <f t="shared" si="710"/>
        <v>4013528.1500000018</v>
      </c>
      <c r="R2455" s="44" t="str">
        <f>VLOOKUP(F2455,'Set up'!$A$2:$E$55,5,FALSE)</f>
        <v>Trsf</v>
      </c>
    </row>
    <row r="2456" spans="1:19" ht="15" customHeight="1" x14ac:dyDescent="0.3">
      <c r="A2456" s="4">
        <v>45279</v>
      </c>
      <c r="B2456" s="5">
        <f t="shared" si="704"/>
        <v>12</v>
      </c>
      <c r="C2456" s="5">
        <f t="shared" si="705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8" t="s">
        <v>1998</v>
      </c>
      <c r="H2456" s="13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06"/>
        <v>45279</v>
      </c>
      <c r="L2456" s="5">
        <f t="shared" si="707"/>
        <v>12</v>
      </c>
      <c r="M2456" s="5">
        <f t="shared" si="708"/>
        <v>2023</v>
      </c>
      <c r="N2456" s="95">
        <v>4250</v>
      </c>
      <c r="O2456" s="6">
        <f t="shared" ref="O2456:O2466" si="712">-N2456</f>
        <v>-4250</v>
      </c>
      <c r="P2456" s="6">
        <f t="shared" si="711"/>
        <v>0</v>
      </c>
      <c r="Q2456" s="7">
        <f t="shared" si="710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04"/>
        <v>12</v>
      </c>
      <c r="C2457" s="5">
        <f t="shared" si="705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8" t="s">
        <v>1544</v>
      </c>
      <c r="H2457" s="13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06"/>
        <v>45279</v>
      </c>
      <c r="L2457" s="5">
        <f t="shared" si="707"/>
        <v>12</v>
      </c>
      <c r="M2457" s="5">
        <f t="shared" si="708"/>
        <v>2023</v>
      </c>
      <c r="N2457" s="95">
        <v>300</v>
      </c>
      <c r="O2457" s="6">
        <f t="shared" si="712"/>
        <v>-300</v>
      </c>
      <c r="P2457" s="6">
        <f t="shared" si="711"/>
        <v>0</v>
      </c>
      <c r="Q2457" s="7">
        <f t="shared" si="710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04"/>
        <v>12</v>
      </c>
      <c r="C2458" s="5">
        <f t="shared" si="705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8" t="s">
        <v>2213</v>
      </c>
      <c r="H2458" s="13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06"/>
        <v>45279</v>
      </c>
      <c r="L2458" s="5">
        <f t="shared" si="707"/>
        <v>12</v>
      </c>
      <c r="M2458" s="5">
        <f t="shared" si="708"/>
        <v>2023</v>
      </c>
      <c r="N2458" s="95">
        <v>150</v>
      </c>
      <c r="O2458" s="6">
        <f t="shared" si="712"/>
        <v>-150</v>
      </c>
      <c r="P2458" s="6">
        <f t="shared" si="711"/>
        <v>0</v>
      </c>
      <c r="Q2458" s="7">
        <f t="shared" si="710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13">MONTH(A2459)</f>
        <v>12</v>
      </c>
      <c r="C2459" s="5">
        <f t="shared" ref="C2459" si="714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8" t="s">
        <v>2337</v>
      </c>
      <c r="H2459" s="13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06"/>
        <v>45279</v>
      </c>
      <c r="L2459" s="5">
        <f t="shared" si="707"/>
        <v>12</v>
      </c>
      <c r="M2459" s="5">
        <f t="shared" si="708"/>
        <v>2023</v>
      </c>
      <c r="N2459" s="95">
        <v>-866</v>
      </c>
      <c r="O2459" s="6">
        <f t="shared" si="712"/>
        <v>866</v>
      </c>
      <c r="P2459" s="6">
        <f t="shared" si="711"/>
        <v>0</v>
      </c>
      <c r="Q2459" s="7">
        <f t="shared" si="710"/>
        <v>4017362.1500000018</v>
      </c>
      <c r="R2459" s="44" t="str">
        <f>VLOOKUP(F2459,'Set up'!$A$2:$E$55,5,FALSE)</f>
        <v>Trsf</v>
      </c>
      <c r="S2459" s="98" t="s">
        <v>2340</v>
      </c>
    </row>
    <row r="2460" spans="1:19" ht="15" customHeight="1" x14ac:dyDescent="0.3">
      <c r="A2460" s="4">
        <v>45280</v>
      </c>
      <c r="B2460" s="5">
        <f t="shared" si="704"/>
        <v>12</v>
      </c>
      <c r="C2460" s="5">
        <f t="shared" si="705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8" t="s">
        <v>1895</v>
      </c>
      <c r="H2460" s="13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06"/>
        <v>45310</v>
      </c>
      <c r="L2460" s="5">
        <f t="shared" si="707"/>
        <v>1</v>
      </c>
      <c r="M2460" s="5">
        <f t="shared" si="708"/>
        <v>2024</v>
      </c>
      <c r="N2460" s="95">
        <v>6952</v>
      </c>
      <c r="O2460" s="6">
        <f t="shared" si="712"/>
        <v>-6952</v>
      </c>
      <c r="P2460" s="6">
        <f t="shared" si="711"/>
        <v>0</v>
      </c>
      <c r="Q2460" s="7">
        <f t="shared" si="710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04"/>
        <v>12</v>
      </c>
      <c r="C2461" s="5">
        <f t="shared" si="705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8" t="s">
        <v>2214</v>
      </c>
      <c r="H2461" s="13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06"/>
        <v>45310</v>
      </c>
      <c r="L2461" s="5">
        <f t="shared" si="707"/>
        <v>1</v>
      </c>
      <c r="M2461" s="5">
        <f t="shared" si="708"/>
        <v>2024</v>
      </c>
      <c r="N2461" s="95">
        <v>2613</v>
      </c>
      <c r="O2461" s="6">
        <f t="shared" si="712"/>
        <v>-2613</v>
      </c>
      <c r="P2461" s="6">
        <f t="shared" si="711"/>
        <v>0</v>
      </c>
      <c r="Q2461" s="7">
        <f t="shared" si="710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04"/>
        <v>12</v>
      </c>
      <c r="C2462" s="5">
        <f t="shared" si="705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8" t="s">
        <v>1406</v>
      </c>
      <c r="H2462" s="13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06"/>
        <v>45310</v>
      </c>
      <c r="L2462" s="5">
        <f t="shared" si="707"/>
        <v>1</v>
      </c>
      <c r="M2462" s="5">
        <f t="shared" si="708"/>
        <v>2024</v>
      </c>
      <c r="N2462" s="95">
        <v>240</v>
      </c>
      <c r="O2462" s="6">
        <f t="shared" si="712"/>
        <v>-240</v>
      </c>
      <c r="P2462" s="6">
        <f t="shared" si="711"/>
        <v>0</v>
      </c>
      <c r="Q2462" s="7">
        <f t="shared" si="710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04"/>
        <v>12</v>
      </c>
      <c r="C2463" s="5">
        <f t="shared" si="705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8" t="s">
        <v>2200</v>
      </c>
      <c r="H2463" s="13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06"/>
        <v>45310</v>
      </c>
      <c r="L2463" s="5">
        <f t="shared" si="707"/>
        <v>1</v>
      </c>
      <c r="M2463" s="5">
        <f t="shared" si="708"/>
        <v>2024</v>
      </c>
      <c r="N2463" s="95">
        <v>312.5</v>
      </c>
      <c r="O2463" s="6">
        <f t="shared" si="712"/>
        <v>-312.5</v>
      </c>
      <c r="P2463" s="6">
        <f t="shared" si="711"/>
        <v>0</v>
      </c>
      <c r="Q2463" s="7">
        <f t="shared" si="710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04"/>
        <v>12</v>
      </c>
      <c r="C2464" s="5">
        <f t="shared" si="705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8" t="s">
        <v>2215</v>
      </c>
      <c r="H2464" s="13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06"/>
        <v>45310</v>
      </c>
      <c r="L2464" s="5">
        <f t="shared" si="707"/>
        <v>1</v>
      </c>
      <c r="M2464" s="5">
        <f t="shared" si="708"/>
        <v>2024</v>
      </c>
      <c r="N2464" s="95">
        <v>572</v>
      </c>
      <c r="O2464" s="6">
        <f t="shared" si="712"/>
        <v>-572</v>
      </c>
      <c r="P2464" s="6">
        <f t="shared" si="711"/>
        <v>0</v>
      </c>
      <c r="Q2464" s="7">
        <f t="shared" si="710"/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04"/>
        <v>12</v>
      </c>
      <c r="C2465" s="5">
        <f t="shared" si="705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8" t="s">
        <v>1062</v>
      </c>
      <c r="H2465" s="13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06"/>
        <v>45310</v>
      </c>
      <c r="L2465" s="5">
        <f t="shared" si="707"/>
        <v>1</v>
      </c>
      <c r="M2465" s="5">
        <f t="shared" si="708"/>
        <v>2024</v>
      </c>
      <c r="N2465" s="95">
        <v>285</v>
      </c>
      <c r="O2465" s="6">
        <f t="shared" si="712"/>
        <v>-285</v>
      </c>
      <c r="P2465" s="6">
        <f t="shared" si="711"/>
        <v>0</v>
      </c>
      <c r="Q2465" s="7">
        <f t="shared" si="710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04"/>
        <v>12</v>
      </c>
      <c r="C2466" s="5">
        <f t="shared" si="705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8" t="s">
        <v>1400</v>
      </c>
      <c r="H2466" s="13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06"/>
        <v>45310</v>
      </c>
      <c r="L2466" s="5">
        <f t="shared" si="707"/>
        <v>1</v>
      </c>
      <c r="M2466" s="5">
        <f t="shared" si="708"/>
        <v>2024</v>
      </c>
      <c r="N2466" s="95">
        <v>930</v>
      </c>
      <c r="O2466" s="6">
        <f t="shared" si="712"/>
        <v>-930</v>
      </c>
      <c r="P2466" s="6">
        <f t="shared" si="711"/>
        <v>0</v>
      </c>
      <c r="Q2466" s="7">
        <f t="shared" si="710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04"/>
        <v>12</v>
      </c>
      <c r="C2467" s="5">
        <f t="shared" si="705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8" t="s">
        <v>1111</v>
      </c>
      <c r="H2467" s="13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06"/>
        <v>45281</v>
      </c>
      <c r="L2467" s="5">
        <f t="shared" si="707"/>
        <v>12</v>
      </c>
      <c r="M2467" s="5">
        <f t="shared" si="708"/>
        <v>2023</v>
      </c>
      <c r="N2467" s="95">
        <v>250</v>
      </c>
      <c r="P2467" s="6">
        <f t="shared" si="711"/>
        <v>250</v>
      </c>
      <c r="Q2467" s="7">
        <f t="shared" si="710"/>
        <v>4029516.6500000018</v>
      </c>
      <c r="R2467" s="44" t="str">
        <f>VLOOKUP(F2467,'Set up'!$A$2:$E$55,5,FALSE)</f>
        <v>Trsf</v>
      </c>
    </row>
    <row r="2468" spans="1:19" ht="15" customHeight="1" x14ac:dyDescent="0.3">
      <c r="A2468" s="4">
        <v>45281</v>
      </c>
      <c r="B2468" s="5">
        <f t="shared" si="704"/>
        <v>12</v>
      </c>
      <c r="C2468" s="5">
        <f t="shared" si="705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8" t="s">
        <v>1895</v>
      </c>
      <c r="H2468" s="13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06"/>
        <v>45281</v>
      </c>
      <c r="L2468" s="5">
        <f t="shared" si="707"/>
        <v>12</v>
      </c>
      <c r="M2468" s="5">
        <f t="shared" si="708"/>
        <v>2023</v>
      </c>
      <c r="N2468" s="95">
        <v>6424</v>
      </c>
      <c r="P2468" s="6">
        <f t="shared" si="711"/>
        <v>6424</v>
      </c>
      <c r="Q2468" s="7">
        <f t="shared" si="710"/>
        <v>4035940.6500000018</v>
      </c>
      <c r="R2468" s="44" t="str">
        <f>VLOOKUP(F2468,'Set up'!$A$2:$E$55,5,FALSE)</f>
        <v>Trsf</v>
      </c>
    </row>
    <row r="2469" spans="1:19" ht="15" customHeight="1" x14ac:dyDescent="0.3">
      <c r="A2469" s="4">
        <v>45281</v>
      </c>
      <c r="B2469" s="5">
        <f t="shared" si="704"/>
        <v>12</v>
      </c>
      <c r="C2469" s="5">
        <f t="shared" si="705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8" t="s">
        <v>2108</v>
      </c>
      <c r="H2469" s="13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06"/>
        <v>45281</v>
      </c>
      <c r="L2469" s="5">
        <f t="shared" si="707"/>
        <v>12</v>
      </c>
      <c r="M2469" s="5">
        <f t="shared" si="708"/>
        <v>2023</v>
      </c>
      <c r="N2469" s="95">
        <v>2575.1999999999998</v>
      </c>
      <c r="P2469" s="6">
        <f t="shared" si="711"/>
        <v>2575.1999999999998</v>
      </c>
      <c r="Q2469" s="7">
        <f t="shared" si="710"/>
        <v>4038515.850000002</v>
      </c>
      <c r="R2469" s="44" t="str">
        <f>VLOOKUP(F2469,'Set up'!$A$2:$E$55,5,FALSE)</f>
        <v>Trsf</v>
      </c>
    </row>
    <row r="2470" spans="1:19" ht="15" customHeight="1" x14ac:dyDescent="0.3">
      <c r="A2470" s="4">
        <v>45281</v>
      </c>
      <c r="B2470" s="5">
        <f t="shared" si="704"/>
        <v>12</v>
      </c>
      <c r="C2470" s="5">
        <f t="shared" si="705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8" t="s">
        <v>1923</v>
      </c>
      <c r="H2470" s="13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06"/>
        <v>45281</v>
      </c>
      <c r="L2470" s="5">
        <f t="shared" si="707"/>
        <v>12</v>
      </c>
      <c r="M2470" s="5">
        <f t="shared" si="708"/>
        <v>2023</v>
      </c>
      <c r="N2470" s="95">
        <v>1404</v>
      </c>
      <c r="P2470" s="6">
        <f t="shared" si="711"/>
        <v>1404</v>
      </c>
      <c r="Q2470" s="7">
        <f t="shared" si="710"/>
        <v>4039919.850000002</v>
      </c>
      <c r="R2470" s="44" t="str">
        <f>VLOOKUP(F2470,'Set up'!$A$2:$E$55,5,FALSE)</f>
        <v>Trsf</v>
      </c>
    </row>
    <row r="2471" spans="1:19" ht="15" customHeight="1" x14ac:dyDescent="0.3">
      <c r="A2471" s="4">
        <v>45281</v>
      </c>
      <c r="B2471" s="5">
        <f t="shared" si="704"/>
        <v>12</v>
      </c>
      <c r="C2471" s="5">
        <f t="shared" si="705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8" t="s">
        <v>1062</v>
      </c>
      <c r="H2471" s="13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06"/>
        <v>45281</v>
      </c>
      <c r="L2471" s="5">
        <f t="shared" si="707"/>
        <v>12</v>
      </c>
      <c r="M2471" s="5">
        <f t="shared" si="708"/>
        <v>2023</v>
      </c>
      <c r="N2471" s="95">
        <v>380</v>
      </c>
      <c r="P2471" s="6">
        <f t="shared" si="711"/>
        <v>380</v>
      </c>
      <c r="Q2471" s="7">
        <f t="shared" si="710"/>
        <v>4040299.850000002</v>
      </c>
      <c r="R2471" s="44" t="str">
        <f>VLOOKUP(F2471,'Set up'!$A$2:$E$55,5,FALSE)</f>
        <v>Trsf</v>
      </c>
    </row>
    <row r="2472" spans="1:19" ht="15" customHeight="1" x14ac:dyDescent="0.3">
      <c r="A2472" s="4">
        <v>45281</v>
      </c>
      <c r="B2472" s="5">
        <f t="shared" si="704"/>
        <v>12</v>
      </c>
      <c r="C2472" s="5">
        <f t="shared" si="705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8" t="s">
        <v>1074</v>
      </c>
      <c r="H2472" s="13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06"/>
        <v>45281</v>
      </c>
      <c r="L2472" s="5">
        <f t="shared" si="707"/>
        <v>12</v>
      </c>
      <c r="M2472" s="5">
        <f t="shared" si="708"/>
        <v>2023</v>
      </c>
      <c r="N2472" s="95">
        <v>1000</v>
      </c>
      <c r="P2472" s="6">
        <f t="shared" si="711"/>
        <v>1000</v>
      </c>
      <c r="Q2472" s="7">
        <f t="shared" si="710"/>
        <v>4041299.850000002</v>
      </c>
      <c r="R2472" s="44" t="str">
        <f>VLOOKUP(F2472,'Set up'!$A$2:$E$55,5,FALSE)</f>
        <v>Trsf</v>
      </c>
    </row>
    <row r="2473" spans="1:19" ht="15" customHeight="1" x14ac:dyDescent="0.3">
      <c r="A2473" s="4">
        <v>45281</v>
      </c>
      <c r="B2473" s="5">
        <f t="shared" si="704"/>
        <v>12</v>
      </c>
      <c r="C2473" s="5">
        <f t="shared" si="705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8" t="s">
        <v>17</v>
      </c>
      <c r="H2473" s="13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06"/>
        <v>45281</v>
      </c>
      <c r="L2473" s="5">
        <f t="shared" si="707"/>
        <v>12</v>
      </c>
      <c r="M2473" s="5">
        <f t="shared" si="708"/>
        <v>2023</v>
      </c>
      <c r="N2473" s="95">
        <v>110</v>
      </c>
      <c r="O2473" s="6">
        <f t="shared" ref="O2473:O2480" si="715">-N2473</f>
        <v>-110</v>
      </c>
      <c r="P2473" s="6">
        <f t="shared" si="711"/>
        <v>0</v>
      </c>
      <c r="Q2473" s="7">
        <f t="shared" si="710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04"/>
        <v>12</v>
      </c>
      <c r="C2474" s="5">
        <f t="shared" si="705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8" t="s">
        <v>2200</v>
      </c>
      <c r="H2474" s="13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06"/>
        <v>45281</v>
      </c>
      <c r="L2474" s="5">
        <f t="shared" si="707"/>
        <v>12</v>
      </c>
      <c r="M2474" s="5">
        <f t="shared" si="708"/>
        <v>2023</v>
      </c>
      <c r="N2474" s="95">
        <v>62.5</v>
      </c>
      <c r="O2474" s="6">
        <f t="shared" si="715"/>
        <v>-62.5</v>
      </c>
      <c r="P2474" s="6">
        <f t="shared" si="711"/>
        <v>0</v>
      </c>
      <c r="Q2474" s="7">
        <f t="shared" si="710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04"/>
        <v>12</v>
      </c>
      <c r="C2475" s="5">
        <f t="shared" si="705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8" t="s">
        <v>2215</v>
      </c>
      <c r="H2475" s="13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06"/>
        <v>45281</v>
      </c>
      <c r="L2475" s="5">
        <f t="shared" si="707"/>
        <v>12</v>
      </c>
      <c r="M2475" s="5">
        <f t="shared" si="708"/>
        <v>2023</v>
      </c>
      <c r="N2475" s="95">
        <v>283.8</v>
      </c>
      <c r="O2475" s="6">
        <f t="shared" si="715"/>
        <v>-283.8</v>
      </c>
      <c r="P2475" s="6">
        <f t="shared" si="711"/>
        <v>0</v>
      </c>
      <c r="Q2475" s="7">
        <f t="shared" si="710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04"/>
        <v>12</v>
      </c>
      <c r="C2476" s="5">
        <f t="shared" si="705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8" t="s">
        <v>2216</v>
      </c>
      <c r="H2476" s="13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06"/>
        <v>45281</v>
      </c>
      <c r="L2476" s="5">
        <f t="shared" si="707"/>
        <v>12</v>
      </c>
      <c r="M2476" s="5">
        <f t="shared" si="708"/>
        <v>2023</v>
      </c>
      <c r="N2476" s="95">
        <v>315</v>
      </c>
      <c r="O2476" s="6">
        <f t="shared" si="715"/>
        <v>-315</v>
      </c>
      <c r="P2476" s="6">
        <f t="shared" si="711"/>
        <v>0</v>
      </c>
      <c r="Q2476" s="7">
        <f t="shared" si="710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04"/>
        <v>12</v>
      </c>
      <c r="C2477" s="5">
        <f t="shared" si="705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8" t="s">
        <v>1739</v>
      </c>
      <c r="H2477" s="13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06"/>
        <v>45281</v>
      </c>
      <c r="L2477" s="5">
        <f t="shared" si="707"/>
        <v>12</v>
      </c>
      <c r="M2477" s="5">
        <f t="shared" si="708"/>
        <v>2023</v>
      </c>
      <c r="N2477" s="95">
        <v>3476</v>
      </c>
      <c r="O2477" s="6">
        <f t="shared" si="715"/>
        <v>-3476</v>
      </c>
      <c r="P2477" s="6">
        <f t="shared" si="711"/>
        <v>0</v>
      </c>
      <c r="Q2477" s="7">
        <f t="shared" si="710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04"/>
        <v>12</v>
      </c>
      <c r="C2478" s="5">
        <f t="shared" si="705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8" t="s">
        <v>1391</v>
      </c>
      <c r="H2478" s="13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06"/>
        <v>45281</v>
      </c>
      <c r="L2478" s="5">
        <f t="shared" si="707"/>
        <v>12</v>
      </c>
      <c r="M2478" s="5">
        <f t="shared" si="708"/>
        <v>2023</v>
      </c>
      <c r="N2478" s="95">
        <v>432</v>
      </c>
      <c r="O2478" s="6">
        <f t="shared" si="715"/>
        <v>-432</v>
      </c>
      <c r="P2478" s="6">
        <f t="shared" si="711"/>
        <v>0</v>
      </c>
      <c r="Q2478" s="7">
        <f t="shared" si="710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04"/>
        <v>12</v>
      </c>
      <c r="C2479" s="5">
        <f t="shared" si="705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8" t="s">
        <v>2201</v>
      </c>
      <c r="H2479" s="13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06"/>
        <v>45281</v>
      </c>
      <c r="L2479" s="5">
        <f t="shared" si="707"/>
        <v>12</v>
      </c>
      <c r="M2479" s="5">
        <f t="shared" si="708"/>
        <v>2023</v>
      </c>
      <c r="N2479" s="95">
        <v>600</v>
      </c>
      <c r="O2479" s="6">
        <f t="shared" si="715"/>
        <v>-600</v>
      </c>
      <c r="P2479" s="6">
        <f t="shared" si="711"/>
        <v>0</v>
      </c>
      <c r="Q2479" s="7">
        <f t="shared" si="710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04"/>
        <v>12</v>
      </c>
      <c r="C2480" s="5">
        <f t="shared" si="705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8" t="s">
        <v>46</v>
      </c>
      <c r="H2480" s="13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06"/>
        <v>45281</v>
      </c>
      <c r="L2480" s="5">
        <f t="shared" si="707"/>
        <v>12</v>
      </c>
      <c r="M2480" s="5">
        <f t="shared" si="708"/>
        <v>2023</v>
      </c>
      <c r="N2480" s="95">
        <v>220</v>
      </c>
      <c r="O2480" s="6">
        <f t="shared" si="715"/>
        <v>-220</v>
      </c>
      <c r="P2480" s="6">
        <f t="shared" si="711"/>
        <v>0</v>
      </c>
      <c r="Q2480" s="7">
        <f t="shared" si="710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04"/>
        <v>12</v>
      </c>
      <c r="C2481" s="5">
        <f t="shared" si="705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8" t="s">
        <v>1400</v>
      </c>
      <c r="H2481" s="13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06"/>
        <v>45282</v>
      </c>
      <c r="L2481" s="5">
        <f t="shared" si="707"/>
        <v>12</v>
      </c>
      <c r="M2481" s="5">
        <f t="shared" si="708"/>
        <v>2023</v>
      </c>
      <c r="N2481" s="95">
        <v>175</v>
      </c>
      <c r="O2481" s="6">
        <f t="shared" ref="O2481" si="716">-N2481</f>
        <v>-175</v>
      </c>
      <c r="P2481" s="6">
        <f t="shared" si="711"/>
        <v>0</v>
      </c>
      <c r="Q2481" s="7">
        <f t="shared" si="710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04"/>
        <v>12</v>
      </c>
      <c r="C2482" s="5">
        <f t="shared" si="705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8" t="s">
        <v>67</v>
      </c>
      <c r="H2482" s="13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06"/>
        <v>45282</v>
      </c>
      <c r="L2482" s="5">
        <f t="shared" si="707"/>
        <v>12</v>
      </c>
      <c r="M2482" s="5">
        <f t="shared" si="708"/>
        <v>2023</v>
      </c>
      <c r="N2482" s="95">
        <v>1738</v>
      </c>
      <c r="P2482" s="6">
        <f t="shared" si="711"/>
        <v>1738</v>
      </c>
      <c r="Q2482" s="7">
        <f t="shared" si="710"/>
        <v>4048712.1500000018</v>
      </c>
      <c r="R2482" s="44" t="str">
        <f>VLOOKUP(F2482,'Set up'!$A$2:$E$55,5,FALSE)</f>
        <v>PD Chq</v>
      </c>
    </row>
    <row r="2483" spans="1:19" ht="15" customHeight="1" x14ac:dyDescent="0.3">
      <c r="A2483" s="4">
        <v>45282</v>
      </c>
      <c r="B2483" s="5">
        <f t="shared" si="704"/>
        <v>12</v>
      </c>
      <c r="C2483" s="5">
        <f t="shared" si="705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8" t="s">
        <v>1062</v>
      </c>
      <c r="H2483" s="13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06"/>
        <v>45282</v>
      </c>
      <c r="L2483" s="5">
        <f t="shared" si="707"/>
        <v>12</v>
      </c>
      <c r="M2483" s="5">
        <f t="shared" si="708"/>
        <v>2023</v>
      </c>
      <c r="N2483" s="95">
        <v>95</v>
      </c>
      <c r="P2483" s="6">
        <f t="shared" si="711"/>
        <v>95</v>
      </c>
      <c r="Q2483" s="7">
        <f t="shared" si="710"/>
        <v>4048807.1500000018</v>
      </c>
      <c r="R2483" s="44" t="str">
        <f>VLOOKUP(F2483,'Set up'!$A$2:$E$55,5,FALSE)</f>
        <v>PD Chq</v>
      </c>
    </row>
    <row r="2484" spans="1:19" ht="15" customHeight="1" x14ac:dyDescent="0.3">
      <c r="A2484" s="4">
        <v>45282</v>
      </c>
      <c r="B2484" s="5">
        <f t="shared" si="704"/>
        <v>12</v>
      </c>
      <c r="C2484" s="5">
        <f t="shared" si="705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8" t="s">
        <v>2200</v>
      </c>
      <c r="H2484" s="13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06"/>
        <v>45282</v>
      </c>
      <c r="L2484" s="5">
        <f t="shared" si="707"/>
        <v>12</v>
      </c>
      <c r="M2484" s="5">
        <f t="shared" si="708"/>
        <v>2023</v>
      </c>
      <c r="N2484" s="95">
        <v>312.5</v>
      </c>
      <c r="P2484" s="6">
        <f t="shared" si="711"/>
        <v>312.5</v>
      </c>
      <c r="Q2484" s="7">
        <f t="shared" si="710"/>
        <v>4049119.6500000018</v>
      </c>
      <c r="R2484" s="44" t="str">
        <f>VLOOKUP(F2484,'Set up'!$A$2:$E$55,5,FALSE)</f>
        <v>PD Chq</v>
      </c>
    </row>
    <row r="2485" spans="1:19" ht="15" customHeight="1" x14ac:dyDescent="0.3">
      <c r="A2485" s="4">
        <v>45287</v>
      </c>
      <c r="B2485" s="5">
        <f t="shared" si="704"/>
        <v>12</v>
      </c>
      <c r="C2485" s="5">
        <f t="shared" si="705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8" t="s">
        <v>2200</v>
      </c>
      <c r="H2485" s="13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06"/>
        <v>45287</v>
      </c>
      <c r="L2485" s="5">
        <f t="shared" si="707"/>
        <v>12</v>
      </c>
      <c r="M2485" s="5">
        <f t="shared" si="708"/>
        <v>2023</v>
      </c>
      <c r="N2485" s="95">
        <v>312.5</v>
      </c>
      <c r="P2485" s="6">
        <f t="shared" si="711"/>
        <v>312.5</v>
      </c>
      <c r="Q2485" s="7">
        <f t="shared" si="710"/>
        <v>4049432.1500000018</v>
      </c>
      <c r="R2485" s="44" t="str">
        <f>VLOOKUP(F2485,'Set up'!$A$2:$E$55,5,FALSE)</f>
        <v>Trsf</v>
      </c>
    </row>
    <row r="2486" spans="1:19" ht="15" customHeight="1" x14ac:dyDescent="0.3">
      <c r="A2486" s="4">
        <v>45287</v>
      </c>
      <c r="B2486" s="5">
        <f t="shared" si="704"/>
        <v>12</v>
      </c>
      <c r="C2486" s="5">
        <f t="shared" si="705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8" t="s">
        <v>1734</v>
      </c>
      <c r="H2486" s="13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06"/>
        <v>45287</v>
      </c>
      <c r="L2486" s="5">
        <f t="shared" si="707"/>
        <v>12</v>
      </c>
      <c r="M2486" s="5">
        <f t="shared" si="708"/>
        <v>2023</v>
      </c>
      <c r="N2486" s="95">
        <v>8030</v>
      </c>
      <c r="P2486" s="6">
        <f t="shared" si="711"/>
        <v>8030</v>
      </c>
      <c r="Q2486" s="7">
        <f t="shared" si="710"/>
        <v>4057462.1500000018</v>
      </c>
      <c r="R2486" s="44" t="str">
        <f>VLOOKUP(F2486,'Set up'!$A$2:$E$55,5,FALSE)</f>
        <v>Trsf</v>
      </c>
    </row>
    <row r="2487" spans="1:19" ht="15" customHeight="1" x14ac:dyDescent="0.3">
      <c r="A2487" s="4">
        <v>45287</v>
      </c>
      <c r="B2487" s="5">
        <f t="shared" si="704"/>
        <v>12</v>
      </c>
      <c r="C2487" s="5">
        <f t="shared" si="705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8" t="s">
        <v>1797</v>
      </c>
      <c r="H2487" s="13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06"/>
        <v>45287</v>
      </c>
      <c r="L2487" s="5">
        <f t="shared" si="707"/>
        <v>12</v>
      </c>
      <c r="M2487" s="5">
        <f t="shared" si="708"/>
        <v>2023</v>
      </c>
      <c r="N2487" s="95">
        <v>1914</v>
      </c>
      <c r="P2487" s="6">
        <f t="shared" si="711"/>
        <v>1914</v>
      </c>
      <c r="Q2487" s="7">
        <f t="shared" si="710"/>
        <v>4059376.1500000018</v>
      </c>
      <c r="R2487" s="44" t="str">
        <f>VLOOKUP(F2487,'Set up'!$A$2:$E$55,5,FALSE)</f>
        <v>Trsf</v>
      </c>
    </row>
    <row r="2488" spans="1:19" ht="15" customHeight="1" x14ac:dyDescent="0.3">
      <c r="A2488" s="4">
        <v>45287</v>
      </c>
      <c r="B2488" s="5">
        <f t="shared" si="704"/>
        <v>12</v>
      </c>
      <c r="C2488" s="5">
        <f t="shared" si="705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8" t="s">
        <v>1923</v>
      </c>
      <c r="H2488" s="13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06"/>
        <v>45287</v>
      </c>
      <c r="L2488" s="5">
        <f t="shared" si="707"/>
        <v>12</v>
      </c>
      <c r="M2488" s="5">
        <f t="shared" si="708"/>
        <v>2023</v>
      </c>
      <c r="N2488" s="95">
        <v>1404</v>
      </c>
      <c r="P2488" s="6">
        <f t="shared" si="711"/>
        <v>1404</v>
      </c>
      <c r="Q2488" s="7">
        <f t="shared" si="710"/>
        <v>4060780.1500000018</v>
      </c>
      <c r="R2488" s="44" t="str">
        <f>VLOOKUP(F2488,'Set up'!$A$2:$E$55,5,FALSE)</f>
        <v>Trsf</v>
      </c>
    </row>
    <row r="2489" spans="1:19" ht="15" customHeight="1" x14ac:dyDescent="0.3">
      <c r="A2489" s="4">
        <v>45287</v>
      </c>
      <c r="B2489" s="5">
        <f t="shared" si="704"/>
        <v>12</v>
      </c>
      <c r="C2489" s="5">
        <f t="shared" si="705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8" t="s">
        <v>1074</v>
      </c>
      <c r="H2489" s="13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06"/>
        <v>45287</v>
      </c>
      <c r="L2489" s="5">
        <f t="shared" si="707"/>
        <v>12</v>
      </c>
      <c r="M2489" s="5">
        <f t="shared" si="708"/>
        <v>2023</v>
      </c>
      <c r="N2489" s="95">
        <v>1000</v>
      </c>
      <c r="P2489" s="6">
        <f t="shared" si="711"/>
        <v>1000</v>
      </c>
      <c r="Q2489" s="7">
        <f t="shared" si="710"/>
        <v>4061780.1500000018</v>
      </c>
      <c r="R2489" s="44" t="str">
        <f>VLOOKUP(F2489,'Set up'!$A$2:$E$55,5,FALSE)</f>
        <v>Trsf</v>
      </c>
    </row>
    <row r="2490" spans="1:19" ht="15" customHeight="1" x14ac:dyDescent="0.3">
      <c r="A2490" s="4">
        <v>45290</v>
      </c>
      <c r="B2490" s="5">
        <f t="shared" si="704"/>
        <v>12</v>
      </c>
      <c r="C2490" s="5">
        <f t="shared" si="705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8" t="s">
        <v>2200</v>
      </c>
      <c r="H2490" s="13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06"/>
        <v>45290</v>
      </c>
      <c r="L2490" s="5">
        <f t="shared" si="707"/>
        <v>12</v>
      </c>
      <c r="M2490" s="5">
        <f t="shared" si="708"/>
        <v>2023</v>
      </c>
      <c r="N2490" s="95">
        <v>625</v>
      </c>
      <c r="P2490" s="6">
        <f t="shared" si="711"/>
        <v>625</v>
      </c>
      <c r="Q2490" s="7">
        <f t="shared" si="710"/>
        <v>4062405.1500000018</v>
      </c>
      <c r="R2490" s="44" t="str">
        <f>VLOOKUP(F2490,'Set up'!$A$2:$E$55,5,FALSE)</f>
        <v>Trsf</v>
      </c>
    </row>
    <row r="2491" spans="1:19" ht="15" customHeight="1" x14ac:dyDescent="0.3">
      <c r="A2491" s="4">
        <v>45290</v>
      </c>
      <c r="B2491" s="5">
        <f t="shared" si="704"/>
        <v>12</v>
      </c>
      <c r="C2491" s="5">
        <f t="shared" si="705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8" t="s">
        <v>1895</v>
      </c>
      <c r="H2491" s="13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06"/>
        <v>45290</v>
      </c>
      <c r="L2491" s="5">
        <f t="shared" si="707"/>
        <v>12</v>
      </c>
      <c r="M2491" s="5">
        <f t="shared" si="708"/>
        <v>2023</v>
      </c>
      <c r="N2491" s="95">
        <v>8030</v>
      </c>
      <c r="P2491" s="6">
        <f t="shared" si="711"/>
        <v>8030</v>
      </c>
      <c r="Q2491" s="7">
        <f t="shared" si="710"/>
        <v>4070435.1500000018</v>
      </c>
      <c r="R2491" s="44" t="str">
        <f>VLOOKUP(F2491,'Set up'!$A$2:$E$55,5,FALSE)</f>
        <v>Trsf</v>
      </c>
    </row>
    <row r="2492" spans="1:19" ht="15" customHeight="1" x14ac:dyDescent="0.3">
      <c r="A2492" s="4">
        <v>45290</v>
      </c>
      <c r="B2492" s="5">
        <f t="shared" si="704"/>
        <v>12</v>
      </c>
      <c r="C2492" s="5">
        <f t="shared" si="705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8" t="s">
        <v>1797</v>
      </c>
      <c r="H2492" s="13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06"/>
        <v>45290</v>
      </c>
      <c r="L2492" s="5">
        <f t="shared" si="707"/>
        <v>12</v>
      </c>
      <c r="M2492" s="5">
        <f t="shared" si="708"/>
        <v>2023</v>
      </c>
      <c r="N2492" s="95">
        <v>2610</v>
      </c>
      <c r="P2492" s="6">
        <f t="shared" si="711"/>
        <v>2610</v>
      </c>
      <c r="Q2492" s="7">
        <f t="shared" si="710"/>
        <v>4073045.1500000018</v>
      </c>
      <c r="R2492" s="44" t="str">
        <f>VLOOKUP(F2492,'Set up'!$A$2:$E$55,5,FALSE)</f>
        <v>Trsf</v>
      </c>
    </row>
    <row r="2493" spans="1:19" ht="15" customHeight="1" x14ac:dyDescent="0.3">
      <c r="A2493" s="4">
        <v>45290</v>
      </c>
      <c r="B2493" s="5">
        <f t="shared" si="704"/>
        <v>12</v>
      </c>
      <c r="C2493" s="5">
        <f t="shared" si="705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8" t="s">
        <v>1923</v>
      </c>
      <c r="H2493" s="13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06"/>
        <v>45290</v>
      </c>
      <c r="L2493" s="5">
        <f t="shared" si="707"/>
        <v>12</v>
      </c>
      <c r="M2493" s="5">
        <f t="shared" si="708"/>
        <v>2023</v>
      </c>
      <c r="N2493" s="95">
        <v>2106</v>
      </c>
      <c r="P2493" s="6">
        <f t="shared" si="711"/>
        <v>2106</v>
      </c>
      <c r="Q2493" s="7">
        <f t="shared" si="710"/>
        <v>4075151.1500000018</v>
      </c>
      <c r="R2493" s="44" t="str">
        <f>VLOOKUP(F2493,'Set up'!$A$2:$E$55,5,FALSE)</f>
        <v>Trsf</v>
      </c>
    </row>
    <row r="2494" spans="1:19" ht="15" customHeight="1" x14ac:dyDescent="0.3">
      <c r="A2494" s="4">
        <v>45290</v>
      </c>
      <c r="B2494" s="5">
        <f t="shared" ref="B2494:B2504" si="717">MONTH(A2494)</f>
        <v>12</v>
      </c>
      <c r="C2494" s="5">
        <f t="shared" ref="C2494:C2504" si="718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8" t="s">
        <v>1014</v>
      </c>
      <c r="H2494" s="13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06"/>
        <v>45290</v>
      </c>
      <c r="L2494" s="5">
        <f t="shared" si="707"/>
        <v>12</v>
      </c>
      <c r="M2494" s="5">
        <f t="shared" si="708"/>
        <v>2023</v>
      </c>
      <c r="N2494" s="95">
        <v>208</v>
      </c>
      <c r="P2494" s="6">
        <f t="shared" si="711"/>
        <v>208</v>
      </c>
      <c r="Q2494" s="7">
        <f t="shared" si="710"/>
        <v>4075359.1500000018</v>
      </c>
      <c r="R2494" s="44" t="str">
        <f>VLOOKUP(F2494,'Set up'!$A$2:$E$55,5,FALSE)</f>
        <v>Trsf</v>
      </c>
    </row>
    <row r="2495" spans="1:19" ht="15" customHeight="1" x14ac:dyDescent="0.3">
      <c r="A2495" s="4">
        <v>45290</v>
      </c>
      <c r="B2495" s="5">
        <f t="shared" si="717"/>
        <v>12</v>
      </c>
      <c r="C2495" s="5">
        <f t="shared" si="718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8" t="s">
        <v>1062</v>
      </c>
      <c r="H2495" s="13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06"/>
        <v>45290</v>
      </c>
      <c r="L2495" s="5">
        <f t="shared" si="707"/>
        <v>12</v>
      </c>
      <c r="M2495" s="5">
        <f t="shared" si="708"/>
        <v>2023</v>
      </c>
      <c r="N2495" s="95">
        <v>380</v>
      </c>
      <c r="P2495" s="6">
        <f t="shared" si="711"/>
        <v>380</v>
      </c>
      <c r="Q2495" s="7">
        <f t="shared" si="710"/>
        <v>4075739.1500000018</v>
      </c>
      <c r="R2495" s="44" t="str">
        <f>VLOOKUP(F2495,'Set up'!$A$2:$E$55,5,FALSE)</f>
        <v>Trsf</v>
      </c>
    </row>
    <row r="2496" spans="1:19" ht="15" customHeight="1" x14ac:dyDescent="0.3">
      <c r="A2496" s="4">
        <v>45290</v>
      </c>
      <c r="B2496" s="5">
        <f t="shared" si="717"/>
        <v>12</v>
      </c>
      <c r="C2496" s="5">
        <f t="shared" si="718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8" t="s">
        <v>1074</v>
      </c>
      <c r="H2496" s="13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06"/>
        <v>45290</v>
      </c>
      <c r="L2496" s="5">
        <f t="shared" si="707"/>
        <v>12</v>
      </c>
      <c r="M2496" s="5">
        <f t="shared" si="708"/>
        <v>2023</v>
      </c>
      <c r="N2496" s="95">
        <v>1000</v>
      </c>
      <c r="P2496" s="6">
        <f t="shared" si="711"/>
        <v>1000</v>
      </c>
      <c r="Q2496" s="7">
        <f t="shared" si="710"/>
        <v>4076739.1500000018</v>
      </c>
      <c r="R2496" s="44" t="str">
        <f>VLOOKUP(F2496,'Set up'!$A$2:$E$55,5,FALSE)</f>
        <v>Trsf</v>
      </c>
    </row>
    <row r="2497" spans="1:19" ht="15" customHeight="1" x14ac:dyDescent="0.3">
      <c r="A2497" s="4">
        <v>45290</v>
      </c>
      <c r="B2497" s="5">
        <f t="shared" si="717"/>
        <v>12</v>
      </c>
      <c r="C2497" s="5">
        <f t="shared" si="718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8" t="s">
        <v>67</v>
      </c>
      <c r="H2497" s="13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06"/>
        <v>45290</v>
      </c>
      <c r="L2497" s="5">
        <f t="shared" si="707"/>
        <v>12</v>
      </c>
      <c r="M2497" s="5">
        <f t="shared" si="708"/>
        <v>2023</v>
      </c>
      <c r="N2497" s="95">
        <v>1738</v>
      </c>
      <c r="P2497" s="6">
        <f t="shared" si="711"/>
        <v>1738</v>
      </c>
      <c r="Q2497" s="7">
        <f t="shared" si="710"/>
        <v>4078477.1500000018</v>
      </c>
      <c r="R2497" s="44" t="str">
        <f>VLOOKUP(F2497,'Set up'!$A$2:$E$55,5,FALSE)</f>
        <v>PD Chq</v>
      </c>
    </row>
    <row r="2498" spans="1:19" ht="15" customHeight="1" x14ac:dyDescent="0.3">
      <c r="A2498" s="4">
        <v>45290</v>
      </c>
      <c r="B2498" s="5">
        <f t="shared" si="717"/>
        <v>12</v>
      </c>
      <c r="C2498" s="5">
        <f t="shared" si="718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8" t="s">
        <v>2199</v>
      </c>
      <c r="H2498" s="13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06"/>
        <v>45290</v>
      </c>
      <c r="L2498" s="5">
        <f t="shared" si="707"/>
        <v>12</v>
      </c>
      <c r="M2498" s="5">
        <f t="shared" si="708"/>
        <v>2023</v>
      </c>
      <c r="N2498" s="95">
        <v>277.5</v>
      </c>
      <c r="P2498" s="6">
        <f t="shared" si="711"/>
        <v>277.5</v>
      </c>
      <c r="Q2498" s="7">
        <f t="shared" si="710"/>
        <v>4078754.6500000018</v>
      </c>
      <c r="R2498" s="44" t="str">
        <f>VLOOKUP(F2498,'Set up'!$A$2:$E$55,5,FALSE)</f>
        <v>PD Chq</v>
      </c>
    </row>
    <row r="2499" spans="1:19" ht="15" customHeight="1" x14ac:dyDescent="0.3">
      <c r="A2499" s="4">
        <v>45290</v>
      </c>
      <c r="B2499" s="5">
        <f t="shared" si="717"/>
        <v>12</v>
      </c>
      <c r="C2499" s="5">
        <f t="shared" si="718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8" t="s">
        <v>1062</v>
      </c>
      <c r="H2499" s="13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19">A2499+J2499</f>
        <v>45290</v>
      </c>
      <c r="L2499" s="5">
        <f t="shared" ref="L2499:L2562" si="720">MONTH(K2499)</f>
        <v>12</v>
      </c>
      <c r="M2499" s="5">
        <f t="shared" ref="M2499:M2562" si="721">YEAR(K2499)</f>
        <v>2023</v>
      </c>
      <c r="N2499" s="95">
        <v>95</v>
      </c>
      <c r="P2499" s="6">
        <f t="shared" si="711"/>
        <v>95</v>
      </c>
      <c r="Q2499" s="7">
        <f t="shared" si="710"/>
        <v>4078849.6500000018</v>
      </c>
      <c r="R2499" s="44" t="str">
        <f>VLOOKUP(F2499,'Set up'!$A$2:$E$55,5,FALSE)</f>
        <v>PD Chq</v>
      </c>
    </row>
    <row r="2500" spans="1:19" ht="15" customHeight="1" x14ac:dyDescent="0.3">
      <c r="A2500" s="4">
        <v>45290</v>
      </c>
      <c r="B2500" s="5">
        <f t="shared" si="717"/>
        <v>12</v>
      </c>
      <c r="C2500" s="5">
        <f t="shared" si="718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8" t="s">
        <v>2200</v>
      </c>
      <c r="H2500" s="13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19"/>
        <v>45290</v>
      </c>
      <c r="L2500" s="5">
        <f t="shared" si="720"/>
        <v>12</v>
      </c>
      <c r="M2500" s="5">
        <f t="shared" si="721"/>
        <v>2023</v>
      </c>
      <c r="N2500" s="95">
        <v>312.5</v>
      </c>
      <c r="P2500" s="6">
        <f t="shared" si="711"/>
        <v>312.5</v>
      </c>
      <c r="Q2500" s="7">
        <f t="shared" si="710"/>
        <v>4079162.1500000018</v>
      </c>
      <c r="R2500" s="44" t="str">
        <f>VLOOKUP(F2500,'Set up'!$A$2:$E$55,5,FALSE)</f>
        <v>PD Chq</v>
      </c>
    </row>
    <row r="2501" spans="1:19" ht="15" customHeight="1" x14ac:dyDescent="0.3">
      <c r="A2501" s="4">
        <v>45290</v>
      </c>
      <c r="B2501" s="5">
        <f t="shared" si="717"/>
        <v>12</v>
      </c>
      <c r="C2501" s="5">
        <f t="shared" si="718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8" t="s">
        <v>95</v>
      </c>
      <c r="H2501" s="13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19"/>
        <v>45290</v>
      </c>
      <c r="L2501" s="5">
        <f t="shared" si="720"/>
        <v>12</v>
      </c>
      <c r="M2501" s="5">
        <f t="shared" si="721"/>
        <v>2023</v>
      </c>
      <c r="N2501" s="95">
        <v>1738</v>
      </c>
      <c r="P2501" s="6">
        <f t="shared" si="711"/>
        <v>1738</v>
      </c>
      <c r="Q2501" s="7">
        <f t="shared" si="710"/>
        <v>4080900.1500000018</v>
      </c>
      <c r="R2501" s="44" t="str">
        <f>VLOOKUP(F2501,'Set up'!$A$2:$E$55,5,FALSE)</f>
        <v>Trsf</v>
      </c>
    </row>
    <row r="2502" spans="1:19" ht="15" customHeight="1" x14ac:dyDescent="0.3">
      <c r="A2502" s="4">
        <v>45290</v>
      </c>
      <c r="B2502" s="5">
        <f t="shared" si="717"/>
        <v>12</v>
      </c>
      <c r="C2502" s="5">
        <f t="shared" si="718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8" t="s">
        <v>1470</v>
      </c>
      <c r="H2502" s="13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19"/>
        <v>45290</v>
      </c>
      <c r="L2502" s="5">
        <f t="shared" si="720"/>
        <v>12</v>
      </c>
      <c r="M2502" s="5">
        <f t="shared" si="721"/>
        <v>2023</v>
      </c>
      <c r="N2502" s="95">
        <v>390</v>
      </c>
      <c r="P2502" s="6">
        <f t="shared" si="711"/>
        <v>390</v>
      </c>
      <c r="Q2502" s="7">
        <f t="shared" si="710"/>
        <v>4081290.1500000018</v>
      </c>
      <c r="R2502" s="44" t="str">
        <f>VLOOKUP(F2502,'Set up'!$A$2:$E$55,5,FALSE)</f>
        <v>Trsf</v>
      </c>
    </row>
    <row r="2503" spans="1:19" ht="15" customHeight="1" x14ac:dyDescent="0.3">
      <c r="A2503" s="4">
        <v>45290</v>
      </c>
      <c r="B2503" s="5">
        <f t="shared" si="717"/>
        <v>12</v>
      </c>
      <c r="C2503" s="5">
        <f t="shared" si="718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8" t="s">
        <v>46</v>
      </c>
      <c r="H2503" s="13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19"/>
        <v>45290</v>
      </c>
      <c r="L2503" s="5">
        <f t="shared" si="720"/>
        <v>12</v>
      </c>
      <c r="M2503" s="5">
        <f t="shared" si="721"/>
        <v>2023</v>
      </c>
      <c r="N2503" s="95">
        <v>105</v>
      </c>
      <c r="P2503" s="6">
        <f t="shared" si="711"/>
        <v>105</v>
      </c>
      <c r="Q2503" s="7">
        <f t="shared" si="710"/>
        <v>4081395.1500000018</v>
      </c>
      <c r="R2503" s="44" t="str">
        <f>VLOOKUP(F2503,'Set up'!$A$2:$E$55,5,FALSE)</f>
        <v>Trsf</v>
      </c>
    </row>
    <row r="2504" spans="1:19" ht="15" customHeight="1" x14ac:dyDescent="0.3">
      <c r="A2504" s="4">
        <v>45290</v>
      </c>
      <c r="B2504" s="5">
        <f t="shared" si="717"/>
        <v>12</v>
      </c>
      <c r="C2504" s="5">
        <f t="shared" si="718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8" t="s">
        <v>950</v>
      </c>
      <c r="H2504" s="13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19"/>
        <v>45290</v>
      </c>
      <c r="L2504" s="5">
        <f t="shared" si="720"/>
        <v>12</v>
      </c>
      <c r="M2504" s="5">
        <f t="shared" si="721"/>
        <v>2023</v>
      </c>
      <c r="N2504" s="95">
        <v>120</v>
      </c>
      <c r="P2504" s="6">
        <f t="shared" si="711"/>
        <v>120</v>
      </c>
      <c r="Q2504" s="7">
        <f t="shared" si="710"/>
        <v>4081515.1500000018</v>
      </c>
      <c r="R2504" s="44" t="str">
        <f>VLOOKUP(F2504,'Set up'!$A$2:$E$55,5,FALSE)</f>
        <v>Trsf</v>
      </c>
    </row>
    <row r="2505" spans="1:19" ht="15" customHeight="1" x14ac:dyDescent="0.3">
      <c r="A2505" s="4">
        <v>45294</v>
      </c>
      <c r="B2505" s="5">
        <f t="shared" ref="B2505:B2568" si="722">MONTH(A2505)</f>
        <v>1</v>
      </c>
      <c r="C2505" s="5">
        <f t="shared" ref="C2505:C2568" si="723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13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19"/>
        <v>45294</v>
      </c>
      <c r="L2505" s="5">
        <f t="shared" si="720"/>
        <v>1</v>
      </c>
      <c r="M2505" s="5">
        <f t="shared" si="721"/>
        <v>2024</v>
      </c>
      <c r="N2505" s="95">
        <v>1606</v>
      </c>
      <c r="O2505" s="6">
        <f t="shared" ref="O2505:O2506" si="724">-N2505</f>
        <v>-1606</v>
      </c>
      <c r="P2505" s="6">
        <f t="shared" si="711"/>
        <v>0</v>
      </c>
      <c r="Q2505" s="7">
        <f t="shared" si="710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22"/>
        <v>1</v>
      </c>
      <c r="C2506" s="5">
        <f t="shared" si="723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13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19"/>
        <v>45294</v>
      </c>
      <c r="L2506" s="5">
        <f t="shared" si="720"/>
        <v>1</v>
      </c>
      <c r="M2506" s="5">
        <f t="shared" si="721"/>
        <v>2024</v>
      </c>
      <c r="N2506" s="95">
        <v>630</v>
      </c>
      <c r="O2506" s="6">
        <f t="shared" si="724"/>
        <v>-630</v>
      </c>
      <c r="P2506" s="6">
        <f t="shared" si="711"/>
        <v>0</v>
      </c>
      <c r="Q2506" s="7">
        <f t="shared" si="710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22"/>
        <v>1</v>
      </c>
      <c r="C2507" s="5">
        <f t="shared" si="723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8" t="s">
        <v>95</v>
      </c>
      <c r="H2507" s="13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19"/>
        <v>45294</v>
      </c>
      <c r="L2507" s="5">
        <f t="shared" si="720"/>
        <v>1</v>
      </c>
      <c r="M2507" s="5">
        <f t="shared" si="721"/>
        <v>2024</v>
      </c>
      <c r="N2507" s="95">
        <v>1738</v>
      </c>
      <c r="O2507" s="6">
        <f>-N2507</f>
        <v>-1738</v>
      </c>
      <c r="P2507" s="6">
        <f t="shared" si="711"/>
        <v>0</v>
      </c>
      <c r="Q2507" s="7">
        <f t="shared" si="710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22"/>
        <v>1</v>
      </c>
      <c r="C2508" s="5">
        <f t="shared" si="723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13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19"/>
        <v>45294</v>
      </c>
      <c r="L2508" s="5">
        <f t="shared" si="720"/>
        <v>1</v>
      </c>
      <c r="M2508" s="5">
        <f t="shared" si="721"/>
        <v>2024</v>
      </c>
      <c r="N2508" s="95">
        <v>675</v>
      </c>
      <c r="O2508" s="6">
        <f>-N2508</f>
        <v>-675</v>
      </c>
      <c r="P2508" s="6">
        <f t="shared" si="711"/>
        <v>0</v>
      </c>
      <c r="Q2508" s="7">
        <f t="shared" si="710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22"/>
        <v>1</v>
      </c>
      <c r="C2509" s="5">
        <f t="shared" si="723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13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19"/>
        <v>45294</v>
      </c>
      <c r="L2509" s="5">
        <f t="shared" si="720"/>
        <v>1</v>
      </c>
      <c r="M2509" s="5">
        <f t="shared" si="721"/>
        <v>2024</v>
      </c>
      <c r="N2509" s="95">
        <v>175</v>
      </c>
      <c r="O2509" s="6">
        <f>-N2509</f>
        <v>-175</v>
      </c>
      <c r="P2509" s="6">
        <f t="shared" si="711"/>
        <v>0</v>
      </c>
      <c r="Q2509" s="7">
        <f t="shared" si="710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22"/>
        <v>1</v>
      </c>
      <c r="C2510" s="5">
        <f t="shared" si="723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13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19"/>
        <v>45294</v>
      </c>
      <c r="L2510" s="5">
        <f t="shared" si="720"/>
        <v>1</v>
      </c>
      <c r="M2510" s="5">
        <f t="shared" si="721"/>
        <v>2024</v>
      </c>
      <c r="N2510" s="95">
        <v>60</v>
      </c>
      <c r="O2510" s="6">
        <f>-N2510</f>
        <v>-60</v>
      </c>
      <c r="P2510" s="6">
        <f t="shared" si="711"/>
        <v>0</v>
      </c>
      <c r="Q2510" s="7">
        <f t="shared" si="710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22"/>
        <v>1</v>
      </c>
      <c r="C2511" s="5">
        <f t="shared" si="723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13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19"/>
        <v>45295</v>
      </c>
      <c r="L2511" s="5">
        <f t="shared" si="720"/>
        <v>1</v>
      </c>
      <c r="M2511" s="5">
        <f t="shared" si="721"/>
        <v>2024</v>
      </c>
      <c r="N2511" s="6">
        <v>1606</v>
      </c>
      <c r="O2511" s="6">
        <f t="shared" ref="O2511:O2513" si="725">-N2511</f>
        <v>-1606</v>
      </c>
      <c r="P2511" s="6">
        <f t="shared" si="711"/>
        <v>0</v>
      </c>
      <c r="Q2511" s="7">
        <f t="shared" si="710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22"/>
        <v>1</v>
      </c>
      <c r="C2512" s="5">
        <f t="shared" si="723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13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19"/>
        <v>45295</v>
      </c>
      <c r="L2512" s="5">
        <f t="shared" si="720"/>
        <v>1</v>
      </c>
      <c r="M2512" s="5">
        <f t="shared" si="721"/>
        <v>2024</v>
      </c>
      <c r="N2512" s="6">
        <v>780</v>
      </c>
      <c r="O2512" s="6">
        <f t="shared" si="725"/>
        <v>-780</v>
      </c>
      <c r="P2512" s="6">
        <f t="shared" si="711"/>
        <v>0</v>
      </c>
      <c r="Q2512" s="7">
        <f t="shared" si="710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22"/>
        <v>1</v>
      </c>
      <c r="C2513" s="5">
        <f t="shared" si="723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13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19"/>
        <v>45295</v>
      </c>
      <c r="L2513" s="5">
        <f t="shared" si="720"/>
        <v>1</v>
      </c>
      <c r="M2513" s="5">
        <f t="shared" si="721"/>
        <v>2024</v>
      </c>
      <c r="N2513" s="6">
        <v>440</v>
      </c>
      <c r="O2513" s="6">
        <f t="shared" si="725"/>
        <v>-440</v>
      </c>
      <c r="P2513" s="6">
        <f t="shared" si="711"/>
        <v>0</v>
      </c>
      <c r="Q2513" s="7">
        <f t="shared" si="710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22"/>
        <v>1</v>
      </c>
      <c r="C2514" s="5">
        <f t="shared" si="723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32" t="s">
        <v>67</v>
      </c>
      <c r="H2514" s="13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19"/>
        <v>45296</v>
      </c>
      <c r="L2514" s="5">
        <f t="shared" si="720"/>
        <v>1</v>
      </c>
      <c r="M2514" s="5">
        <f t="shared" si="721"/>
        <v>2024</v>
      </c>
      <c r="N2514" s="6">
        <v>1738</v>
      </c>
      <c r="P2514" s="6">
        <f t="shared" si="711"/>
        <v>1738</v>
      </c>
      <c r="Q2514" s="7">
        <f t="shared" ref="Q2514:Q2577" si="726">SUM(Q2513+N2514)</f>
        <v>4090963.1500000018</v>
      </c>
      <c r="R2514" s="44" t="str">
        <f>VLOOKUP(F2514,'Set up'!$A$2:$E$55,5,FALSE)</f>
        <v>PD Chq</v>
      </c>
    </row>
    <row r="2515" spans="1:19" ht="15" customHeight="1" x14ac:dyDescent="0.3">
      <c r="A2515" s="4">
        <v>45296</v>
      </c>
      <c r="B2515" s="5">
        <f t="shared" si="722"/>
        <v>1</v>
      </c>
      <c r="C2515" s="5">
        <f t="shared" si="723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8" t="s">
        <v>2199</v>
      </c>
      <c r="H2515" s="13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19"/>
        <v>45296</v>
      </c>
      <c r="L2515" s="5">
        <f t="shared" si="720"/>
        <v>1</v>
      </c>
      <c r="M2515" s="5">
        <f t="shared" si="721"/>
        <v>2024</v>
      </c>
      <c r="N2515" s="6">
        <v>555</v>
      </c>
      <c r="P2515" s="6">
        <f t="shared" si="711"/>
        <v>555</v>
      </c>
      <c r="Q2515" s="7">
        <f t="shared" si="726"/>
        <v>4091518.1500000018</v>
      </c>
      <c r="R2515" s="44" t="str">
        <f>VLOOKUP(F2515,'Set up'!$A$2:$E$55,5,FALSE)</f>
        <v>PD Chq</v>
      </c>
    </row>
    <row r="2516" spans="1:19" ht="15" customHeight="1" x14ac:dyDescent="0.3">
      <c r="A2516" s="4">
        <v>45296</v>
      </c>
      <c r="B2516" s="5">
        <f t="shared" si="722"/>
        <v>1</v>
      </c>
      <c r="C2516" s="5">
        <f t="shared" si="723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8" t="s">
        <v>1062</v>
      </c>
      <c r="H2516" s="13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19"/>
        <v>45296</v>
      </c>
      <c r="L2516" s="5">
        <f t="shared" si="720"/>
        <v>1</v>
      </c>
      <c r="M2516" s="5">
        <f t="shared" si="721"/>
        <v>2024</v>
      </c>
      <c r="N2516" s="6">
        <v>95</v>
      </c>
      <c r="P2516" s="6">
        <f t="shared" si="711"/>
        <v>95</v>
      </c>
      <c r="Q2516" s="7">
        <f t="shared" si="726"/>
        <v>4091613.1500000018</v>
      </c>
      <c r="R2516" s="44" t="str">
        <f>VLOOKUP(F2516,'Set up'!$A$2:$E$55,5,FALSE)</f>
        <v>PD Chq</v>
      </c>
    </row>
    <row r="2517" spans="1:19" ht="15" customHeight="1" x14ac:dyDescent="0.3">
      <c r="A2517" s="4">
        <v>45297</v>
      </c>
      <c r="B2517" s="5">
        <f t="shared" si="722"/>
        <v>1</v>
      </c>
      <c r="C2517" s="5">
        <f t="shared" si="723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32" t="s">
        <v>1739</v>
      </c>
      <c r="H2517" s="13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19"/>
        <v>45297</v>
      </c>
      <c r="L2517" s="5">
        <f t="shared" si="720"/>
        <v>1</v>
      </c>
      <c r="M2517" s="5">
        <f t="shared" si="721"/>
        <v>2024</v>
      </c>
      <c r="N2517" s="6">
        <v>3476</v>
      </c>
      <c r="O2517" s="6">
        <f t="shared" ref="O2517:O2529" si="727">-N2517</f>
        <v>-3476</v>
      </c>
      <c r="P2517" s="6">
        <f t="shared" ref="P2517:P2580" si="728">SUM(N2517+O2517)</f>
        <v>0</v>
      </c>
      <c r="Q2517" s="7">
        <f t="shared" si="72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22"/>
        <v>1</v>
      </c>
      <c r="C2518" s="5">
        <f t="shared" si="723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8" t="s">
        <v>1391</v>
      </c>
      <c r="H2518" s="13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19"/>
        <v>45297</v>
      </c>
      <c r="L2518" s="5">
        <f t="shared" si="720"/>
        <v>1</v>
      </c>
      <c r="M2518" s="5">
        <f t="shared" si="721"/>
        <v>2024</v>
      </c>
      <c r="N2518" s="6">
        <v>853.2</v>
      </c>
      <c r="O2518" s="6">
        <f t="shared" si="727"/>
        <v>-853.2</v>
      </c>
      <c r="P2518" s="6">
        <f t="shared" si="728"/>
        <v>0</v>
      </c>
      <c r="Q2518" s="7">
        <f t="shared" si="72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22"/>
        <v>1</v>
      </c>
      <c r="C2519" s="5">
        <f t="shared" si="723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8" t="s">
        <v>293</v>
      </c>
      <c r="H2519" s="13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19"/>
        <v>45297</v>
      </c>
      <c r="L2519" s="5">
        <f t="shared" si="720"/>
        <v>1</v>
      </c>
      <c r="M2519" s="5">
        <f t="shared" si="721"/>
        <v>2024</v>
      </c>
      <c r="N2519" s="6">
        <v>480</v>
      </c>
      <c r="O2519" s="6">
        <f t="shared" si="727"/>
        <v>-480</v>
      </c>
      <c r="P2519" s="6">
        <f t="shared" si="728"/>
        <v>0</v>
      </c>
      <c r="Q2519" s="7">
        <f t="shared" si="72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22"/>
        <v>1</v>
      </c>
      <c r="C2520" s="5">
        <f t="shared" si="723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13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19"/>
        <v>45297</v>
      </c>
      <c r="L2520" s="5">
        <f t="shared" si="720"/>
        <v>1</v>
      </c>
      <c r="M2520" s="5">
        <f t="shared" si="721"/>
        <v>2024</v>
      </c>
      <c r="N2520" s="6">
        <v>650</v>
      </c>
      <c r="O2520" s="6">
        <f t="shared" si="727"/>
        <v>-650</v>
      </c>
      <c r="P2520" s="6">
        <f t="shared" si="728"/>
        <v>0</v>
      </c>
      <c r="Q2520" s="7">
        <f t="shared" si="72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22"/>
        <v>1</v>
      </c>
      <c r="C2521" s="5">
        <f t="shared" si="723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8" t="s">
        <v>2209</v>
      </c>
      <c r="H2521" s="13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19"/>
        <v>45297</v>
      </c>
      <c r="L2521" s="5">
        <f t="shared" si="720"/>
        <v>1</v>
      </c>
      <c r="M2521" s="5">
        <f t="shared" si="721"/>
        <v>2024</v>
      </c>
      <c r="N2521" s="6">
        <v>54</v>
      </c>
      <c r="O2521" s="6">
        <f t="shared" si="727"/>
        <v>-54</v>
      </c>
      <c r="P2521" s="6">
        <f t="shared" si="728"/>
        <v>0</v>
      </c>
      <c r="Q2521" s="7">
        <f t="shared" si="72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22"/>
        <v>1</v>
      </c>
      <c r="C2522" s="5">
        <f t="shared" si="723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8" t="s">
        <v>2215</v>
      </c>
      <c r="H2522" s="13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19"/>
        <v>45297</v>
      </c>
      <c r="L2522" s="5">
        <f t="shared" si="720"/>
        <v>1</v>
      </c>
      <c r="M2522" s="5">
        <f t="shared" si="721"/>
        <v>2024</v>
      </c>
      <c r="N2522" s="6">
        <v>283.8</v>
      </c>
      <c r="O2522" s="6">
        <f t="shared" si="727"/>
        <v>-283.8</v>
      </c>
      <c r="P2522" s="6">
        <f t="shared" si="728"/>
        <v>0</v>
      </c>
      <c r="Q2522" s="7">
        <f t="shared" si="72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22"/>
        <v>1</v>
      </c>
      <c r="C2523" s="5">
        <f t="shared" si="723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8" t="s">
        <v>46</v>
      </c>
      <c r="H2523" s="13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19"/>
        <v>45297</v>
      </c>
      <c r="L2523" s="5">
        <f t="shared" si="720"/>
        <v>1</v>
      </c>
      <c r="M2523" s="5">
        <f t="shared" si="721"/>
        <v>2024</v>
      </c>
      <c r="N2523" s="6">
        <v>220</v>
      </c>
      <c r="O2523" s="6">
        <f t="shared" si="727"/>
        <v>-220</v>
      </c>
      <c r="P2523" s="6">
        <f t="shared" si="728"/>
        <v>0</v>
      </c>
      <c r="Q2523" s="7">
        <f t="shared" si="72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22"/>
        <v>1</v>
      </c>
      <c r="C2524" s="5">
        <f t="shared" si="723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8" t="s">
        <v>1391</v>
      </c>
      <c r="H2524" s="13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19"/>
        <v>45297</v>
      </c>
      <c r="L2524" s="5">
        <f t="shared" si="720"/>
        <v>1</v>
      </c>
      <c r="M2524" s="5">
        <f t="shared" si="721"/>
        <v>2024</v>
      </c>
      <c r="N2524" s="6">
        <v>424.8</v>
      </c>
      <c r="O2524" s="6">
        <f t="shared" si="727"/>
        <v>-424.8</v>
      </c>
      <c r="P2524" s="6">
        <f t="shared" si="728"/>
        <v>0</v>
      </c>
      <c r="Q2524" s="7">
        <f t="shared" si="72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22"/>
        <v>1</v>
      </c>
      <c r="C2525" s="5">
        <f t="shared" si="723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13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19"/>
        <v>45359</v>
      </c>
      <c r="L2525" s="5">
        <f t="shared" si="720"/>
        <v>3</v>
      </c>
      <c r="M2525" s="5">
        <f t="shared" si="721"/>
        <v>2024</v>
      </c>
      <c r="N2525" s="6">
        <v>3212</v>
      </c>
      <c r="O2525" s="6">
        <f t="shared" si="727"/>
        <v>-3212</v>
      </c>
      <c r="P2525" s="6">
        <f t="shared" si="728"/>
        <v>0</v>
      </c>
      <c r="Q2525" s="7">
        <f t="shared" si="72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22"/>
        <v>1</v>
      </c>
      <c r="C2526" s="5">
        <f t="shared" si="723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13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19"/>
        <v>45359</v>
      </c>
      <c r="L2526" s="5">
        <f t="shared" si="720"/>
        <v>3</v>
      </c>
      <c r="M2526" s="5">
        <f t="shared" si="721"/>
        <v>2024</v>
      </c>
      <c r="N2526" s="6">
        <v>1606</v>
      </c>
      <c r="O2526" s="6">
        <f t="shared" si="727"/>
        <v>-1606</v>
      </c>
      <c r="P2526" s="6">
        <f t="shared" si="728"/>
        <v>0</v>
      </c>
      <c r="Q2526" s="7">
        <f t="shared" si="72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22"/>
        <v>1</v>
      </c>
      <c r="C2527" s="5">
        <f t="shared" si="723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13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19"/>
        <v>45359</v>
      </c>
      <c r="L2527" s="5">
        <f t="shared" si="720"/>
        <v>3</v>
      </c>
      <c r="M2527" s="5">
        <f t="shared" si="721"/>
        <v>2024</v>
      </c>
      <c r="N2527" s="6">
        <v>626.4</v>
      </c>
      <c r="O2527" s="6">
        <f t="shared" si="727"/>
        <v>-626.4</v>
      </c>
      <c r="P2527" s="6">
        <f t="shared" si="728"/>
        <v>0</v>
      </c>
      <c r="Q2527" s="7">
        <f t="shared" si="72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22"/>
        <v>1</v>
      </c>
      <c r="C2528" s="5">
        <f t="shared" si="723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13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19"/>
        <v>45359</v>
      </c>
      <c r="L2528" s="5">
        <f t="shared" si="720"/>
        <v>3</v>
      </c>
      <c r="M2528" s="5">
        <f t="shared" si="721"/>
        <v>2024</v>
      </c>
      <c r="N2528" s="6">
        <v>626.4</v>
      </c>
      <c r="O2528" s="6">
        <f t="shared" si="727"/>
        <v>-626.4</v>
      </c>
      <c r="P2528" s="6">
        <f t="shared" si="728"/>
        <v>0</v>
      </c>
      <c r="Q2528" s="7">
        <f t="shared" si="726"/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22"/>
        <v>1</v>
      </c>
      <c r="C2529" s="5">
        <f t="shared" si="723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13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19"/>
        <v>45359</v>
      </c>
      <c r="L2529" s="5">
        <f t="shared" si="720"/>
        <v>3</v>
      </c>
      <c r="M2529" s="5">
        <f t="shared" si="721"/>
        <v>2024</v>
      </c>
      <c r="N2529" s="6">
        <v>220</v>
      </c>
      <c r="O2529" s="6">
        <f t="shared" si="727"/>
        <v>-220</v>
      </c>
      <c r="P2529" s="6">
        <f t="shared" si="728"/>
        <v>0</v>
      </c>
      <c r="Q2529" s="7">
        <f t="shared" si="726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22"/>
        <v>1</v>
      </c>
      <c r="C2530" s="5">
        <f t="shared" si="723"/>
        <v>2024</v>
      </c>
      <c r="D2530" s="5" t="s">
        <v>2348</v>
      </c>
      <c r="E2530" s="5" t="str">
        <f>VLOOKUP(F2530,'Set up'!$A$2:$C$55,2,FALSE)</f>
        <v>C00000044</v>
      </c>
      <c r="F2530" s="1" t="s">
        <v>2959</v>
      </c>
      <c r="G2530" s="134" t="s">
        <v>304</v>
      </c>
      <c r="H2530" s="13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19"/>
        <v>45300</v>
      </c>
      <c r="L2530" s="5">
        <f t="shared" si="720"/>
        <v>1</v>
      </c>
      <c r="M2530" s="5">
        <f t="shared" si="721"/>
        <v>2024</v>
      </c>
      <c r="N2530" s="6">
        <v>1606</v>
      </c>
      <c r="O2530" s="6">
        <f t="shared" ref="O2530:O2531" si="729">-N2530</f>
        <v>-1606</v>
      </c>
      <c r="P2530" s="6">
        <f t="shared" si="728"/>
        <v>0</v>
      </c>
      <c r="Q2530" s="7">
        <f t="shared" si="726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22"/>
        <v>1</v>
      </c>
      <c r="C2531" s="5">
        <f t="shared" si="723"/>
        <v>2024</v>
      </c>
      <c r="D2531" s="5" t="s">
        <v>2348</v>
      </c>
      <c r="E2531" s="5" t="str">
        <f>VLOOKUP(F2531,'Set up'!$A$2:$C$55,2,FALSE)</f>
        <v>C00000044</v>
      </c>
      <c r="F2531" s="1" t="s">
        <v>2959</v>
      </c>
      <c r="G2531" s="90" t="s">
        <v>1544</v>
      </c>
      <c r="H2531" s="13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19"/>
        <v>45300</v>
      </c>
      <c r="L2531" s="5">
        <f t="shared" si="720"/>
        <v>1</v>
      </c>
      <c r="M2531" s="5">
        <f t="shared" si="721"/>
        <v>2024</v>
      </c>
      <c r="N2531" s="6">
        <v>630</v>
      </c>
      <c r="O2531" s="6">
        <f t="shared" si="729"/>
        <v>-630</v>
      </c>
      <c r="P2531" s="6">
        <f t="shared" si="728"/>
        <v>0</v>
      </c>
      <c r="Q2531" s="7">
        <f t="shared" si="726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22"/>
        <v>1</v>
      </c>
      <c r="C2532" s="5">
        <f t="shared" si="723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13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19"/>
        <v>45301</v>
      </c>
      <c r="L2532" s="5">
        <f t="shared" si="720"/>
        <v>1</v>
      </c>
      <c r="M2532" s="5">
        <f t="shared" si="721"/>
        <v>2024</v>
      </c>
      <c r="N2532" s="6">
        <v>1738</v>
      </c>
      <c r="P2532" s="6">
        <f t="shared" si="728"/>
        <v>1738</v>
      </c>
      <c r="Q2532" s="7">
        <f t="shared" si="726"/>
        <v>4108319.7500000014</v>
      </c>
      <c r="R2532" s="44" t="str">
        <f>VLOOKUP(F2532,'Set up'!$A$2:$E$55,5,FALSE)</f>
        <v>Trsf</v>
      </c>
    </row>
    <row r="2533" spans="1:19" ht="15" customHeight="1" x14ac:dyDescent="0.3">
      <c r="A2533" s="4">
        <v>45301</v>
      </c>
      <c r="B2533" s="5">
        <f t="shared" si="722"/>
        <v>1</v>
      </c>
      <c r="C2533" s="5">
        <f t="shared" si="723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13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19"/>
        <v>45301</v>
      </c>
      <c r="L2533" s="5">
        <f t="shared" si="720"/>
        <v>1</v>
      </c>
      <c r="M2533" s="5">
        <f t="shared" si="721"/>
        <v>2024</v>
      </c>
      <c r="N2533" s="6">
        <v>150</v>
      </c>
      <c r="P2533" s="6">
        <f t="shared" si="728"/>
        <v>150</v>
      </c>
      <c r="Q2533" s="7">
        <f t="shared" si="726"/>
        <v>4108469.7500000014</v>
      </c>
      <c r="R2533" s="44" t="str">
        <f>VLOOKUP(F2533,'Set up'!$A$2:$E$55,5,FALSE)</f>
        <v>Trsf</v>
      </c>
    </row>
    <row r="2534" spans="1:19" ht="15" customHeight="1" x14ac:dyDescent="0.3">
      <c r="A2534" s="4">
        <v>45301</v>
      </c>
      <c r="B2534" s="5">
        <f t="shared" si="722"/>
        <v>1</v>
      </c>
      <c r="C2534" s="5">
        <f t="shared" si="723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13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19"/>
        <v>45301</v>
      </c>
      <c r="L2534" s="5">
        <f t="shared" si="720"/>
        <v>1</v>
      </c>
      <c r="M2534" s="5">
        <f t="shared" si="721"/>
        <v>2024</v>
      </c>
      <c r="N2534" s="6">
        <v>187.5</v>
      </c>
      <c r="P2534" s="6">
        <f t="shared" si="728"/>
        <v>187.5</v>
      </c>
      <c r="Q2534" s="7">
        <f t="shared" si="726"/>
        <v>4108657.2500000014</v>
      </c>
      <c r="R2534" s="44" t="str">
        <f>VLOOKUP(F2534,'Set up'!$A$2:$E$55,5,FALSE)</f>
        <v>Trsf</v>
      </c>
    </row>
    <row r="2535" spans="1:19" ht="15" customHeight="1" x14ac:dyDescent="0.3">
      <c r="A2535" s="4">
        <v>45301</v>
      </c>
      <c r="B2535" s="5">
        <f t="shared" si="722"/>
        <v>1</v>
      </c>
      <c r="C2535" s="5">
        <f t="shared" si="723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2" t="s">
        <v>2200</v>
      </c>
      <c r="H2535" s="13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19"/>
        <v>45301</v>
      </c>
      <c r="L2535" s="5">
        <f t="shared" si="720"/>
        <v>1</v>
      </c>
      <c r="M2535" s="5">
        <f t="shared" si="721"/>
        <v>2024</v>
      </c>
      <c r="N2535" s="6">
        <v>187.5</v>
      </c>
      <c r="P2535" s="6">
        <f t="shared" si="728"/>
        <v>187.5</v>
      </c>
      <c r="Q2535" s="7">
        <f t="shared" si="726"/>
        <v>4108844.7500000014</v>
      </c>
      <c r="R2535" s="44" t="str">
        <f>VLOOKUP(F2535,'Set up'!$A$2:$E$55,5,FALSE)</f>
        <v>Trsf</v>
      </c>
    </row>
    <row r="2536" spans="1:19" ht="15" customHeight="1" x14ac:dyDescent="0.3">
      <c r="A2536" s="4">
        <v>45301</v>
      </c>
      <c r="B2536" s="5">
        <f t="shared" si="722"/>
        <v>1</v>
      </c>
      <c r="C2536" s="5">
        <f t="shared" si="723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2" t="s">
        <v>1895</v>
      </c>
      <c r="H2536" s="13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19"/>
        <v>45301</v>
      </c>
      <c r="L2536" s="5">
        <f t="shared" si="720"/>
        <v>1</v>
      </c>
      <c r="M2536" s="5">
        <f t="shared" si="721"/>
        <v>2024</v>
      </c>
      <c r="N2536" s="6">
        <v>9636</v>
      </c>
      <c r="P2536" s="6">
        <f t="shared" si="728"/>
        <v>9636</v>
      </c>
      <c r="Q2536" s="7">
        <f t="shared" si="726"/>
        <v>4118480.7500000014</v>
      </c>
      <c r="R2536" s="44" t="str">
        <f>VLOOKUP(F2536,'Set up'!$A$2:$E$55,5,FALSE)</f>
        <v>Trsf</v>
      </c>
    </row>
    <row r="2537" spans="1:19" ht="15" customHeight="1" x14ac:dyDescent="0.3">
      <c r="A2537" s="4">
        <v>45301</v>
      </c>
      <c r="B2537" s="5">
        <f t="shared" si="722"/>
        <v>1</v>
      </c>
      <c r="C2537" s="5">
        <f t="shared" si="723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13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19"/>
        <v>45301</v>
      </c>
      <c r="L2537" s="5">
        <f t="shared" si="720"/>
        <v>1</v>
      </c>
      <c r="M2537" s="5">
        <f t="shared" si="721"/>
        <v>2024</v>
      </c>
      <c r="N2537" s="6">
        <v>1073</v>
      </c>
      <c r="P2537" s="6">
        <f t="shared" si="728"/>
        <v>1073</v>
      </c>
      <c r="Q2537" s="7">
        <f t="shared" si="726"/>
        <v>4119553.7500000014</v>
      </c>
      <c r="R2537" s="44" t="str">
        <f>VLOOKUP(F2537,'Set up'!$A$2:$E$55,5,FALSE)</f>
        <v>Trsf</v>
      </c>
    </row>
    <row r="2538" spans="1:19" ht="15" customHeight="1" x14ac:dyDescent="0.3">
      <c r="A2538" s="4">
        <v>45301</v>
      </c>
      <c r="B2538" s="5">
        <f t="shared" si="722"/>
        <v>1</v>
      </c>
      <c r="C2538" s="5">
        <f t="shared" si="723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13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19"/>
        <v>45301</v>
      </c>
      <c r="L2538" s="5">
        <f t="shared" si="720"/>
        <v>1</v>
      </c>
      <c r="M2538" s="5">
        <f t="shared" si="721"/>
        <v>2024</v>
      </c>
      <c r="N2538" s="6">
        <v>1740</v>
      </c>
      <c r="P2538" s="6">
        <f t="shared" si="728"/>
        <v>1740</v>
      </c>
      <c r="Q2538" s="7">
        <f t="shared" si="726"/>
        <v>4121293.7500000014</v>
      </c>
      <c r="R2538" s="44" t="str">
        <f>VLOOKUP(F2538,'Set up'!$A$2:$E$55,5,FALSE)</f>
        <v>Trsf</v>
      </c>
    </row>
    <row r="2539" spans="1:19" ht="15" customHeight="1" x14ac:dyDescent="0.3">
      <c r="A2539" s="4">
        <v>45301</v>
      </c>
      <c r="B2539" s="5">
        <f t="shared" si="722"/>
        <v>1</v>
      </c>
      <c r="C2539" s="5">
        <f t="shared" si="723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13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19"/>
        <v>45301</v>
      </c>
      <c r="L2539" s="5">
        <f t="shared" si="720"/>
        <v>1</v>
      </c>
      <c r="M2539" s="5">
        <f t="shared" si="721"/>
        <v>2024</v>
      </c>
      <c r="N2539" s="6">
        <v>1638</v>
      </c>
      <c r="P2539" s="6">
        <f t="shared" si="728"/>
        <v>1638</v>
      </c>
      <c r="Q2539" s="7">
        <f t="shared" si="726"/>
        <v>4122931.7500000014</v>
      </c>
      <c r="R2539" s="44" t="str">
        <f>VLOOKUP(F2539,'Set up'!$A$2:$E$55,5,FALSE)</f>
        <v>Trsf</v>
      </c>
    </row>
    <row r="2540" spans="1:19" ht="15" customHeight="1" x14ac:dyDescent="0.3">
      <c r="A2540" s="4">
        <v>45301</v>
      </c>
      <c r="B2540" s="5">
        <f t="shared" si="722"/>
        <v>1</v>
      </c>
      <c r="C2540" s="5">
        <f t="shared" si="723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13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19"/>
        <v>45301</v>
      </c>
      <c r="L2540" s="5">
        <f t="shared" si="720"/>
        <v>1</v>
      </c>
      <c r="M2540" s="5">
        <f t="shared" si="721"/>
        <v>2024</v>
      </c>
      <c r="N2540" s="6">
        <v>1000</v>
      </c>
      <c r="P2540" s="6">
        <f t="shared" si="728"/>
        <v>1000</v>
      </c>
      <c r="Q2540" s="7">
        <f t="shared" si="726"/>
        <v>4123931.7500000014</v>
      </c>
      <c r="R2540" s="44" t="str">
        <f>VLOOKUP(F2540,'Set up'!$A$2:$E$55,5,FALSE)</f>
        <v>Trsf</v>
      </c>
    </row>
    <row r="2541" spans="1:19" ht="15" customHeight="1" x14ac:dyDescent="0.3">
      <c r="A2541" s="4">
        <v>45303</v>
      </c>
      <c r="B2541" s="5">
        <f t="shared" si="722"/>
        <v>1</v>
      </c>
      <c r="C2541" s="5">
        <f t="shared" si="723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134" t="s">
        <v>1179</v>
      </c>
      <c r="H2541" s="13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19"/>
        <v>45423</v>
      </c>
      <c r="L2541" s="5">
        <f t="shared" si="720"/>
        <v>5</v>
      </c>
      <c r="M2541" s="5">
        <f t="shared" si="721"/>
        <v>2024</v>
      </c>
      <c r="N2541" s="6">
        <v>9636</v>
      </c>
      <c r="O2541" s="6">
        <f t="shared" ref="O2541:O2544" si="730">-N2541</f>
        <v>-9636</v>
      </c>
      <c r="P2541" s="6">
        <f t="shared" si="728"/>
        <v>0</v>
      </c>
      <c r="Q2541" s="7">
        <f t="shared" si="726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22"/>
        <v>1</v>
      </c>
      <c r="C2542" s="5">
        <f t="shared" si="723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13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19"/>
        <v>45423</v>
      </c>
      <c r="L2542" s="5">
        <f t="shared" si="720"/>
        <v>5</v>
      </c>
      <c r="M2542" s="5">
        <f t="shared" si="721"/>
        <v>2024</v>
      </c>
      <c r="N2542" s="6">
        <v>2146</v>
      </c>
      <c r="O2542" s="6">
        <f t="shared" si="730"/>
        <v>-2146</v>
      </c>
      <c r="P2542" s="6">
        <f t="shared" si="728"/>
        <v>0</v>
      </c>
      <c r="Q2542" s="7">
        <f t="shared" si="726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22"/>
        <v>1</v>
      </c>
      <c r="C2543" s="5">
        <f t="shared" si="723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13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19"/>
        <v>45423</v>
      </c>
      <c r="L2543" s="5">
        <f t="shared" si="720"/>
        <v>5</v>
      </c>
      <c r="M2543" s="5">
        <f t="shared" si="721"/>
        <v>2024</v>
      </c>
      <c r="N2543" s="6">
        <v>575</v>
      </c>
      <c r="O2543" s="6">
        <f t="shared" si="730"/>
        <v>-575</v>
      </c>
      <c r="P2543" s="6">
        <f t="shared" si="728"/>
        <v>0</v>
      </c>
      <c r="Q2543" s="7">
        <f t="shared" si="726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22"/>
        <v>1</v>
      </c>
      <c r="C2544" s="5">
        <f t="shared" si="723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13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19"/>
        <v>45423</v>
      </c>
      <c r="L2544" s="5">
        <f t="shared" si="720"/>
        <v>5</v>
      </c>
      <c r="M2544" s="5">
        <f t="shared" si="721"/>
        <v>2024</v>
      </c>
      <c r="N2544" s="6">
        <v>440</v>
      </c>
      <c r="O2544" s="6">
        <f t="shared" si="730"/>
        <v>-440</v>
      </c>
      <c r="P2544" s="6">
        <f t="shared" si="728"/>
        <v>0</v>
      </c>
      <c r="Q2544" s="7">
        <f t="shared" si="726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22"/>
        <v>1</v>
      </c>
      <c r="C2545" s="5">
        <f t="shared" si="723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32" t="s">
        <v>67</v>
      </c>
      <c r="H2545" s="13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19"/>
        <v>45306</v>
      </c>
      <c r="L2545" s="5">
        <f t="shared" si="720"/>
        <v>1</v>
      </c>
      <c r="M2545" s="5">
        <f t="shared" si="721"/>
        <v>2024</v>
      </c>
      <c r="N2545" s="6">
        <v>1738</v>
      </c>
      <c r="P2545" s="6">
        <f t="shared" si="728"/>
        <v>1738</v>
      </c>
      <c r="Q2545" s="7">
        <f t="shared" si="726"/>
        <v>4138466.7500000014</v>
      </c>
      <c r="R2545" s="44" t="str">
        <f>VLOOKUP(F2545,'Set up'!$A$2:$E$55,5,FALSE)</f>
        <v>PD Chq</v>
      </c>
    </row>
    <row r="2546" spans="1:19" ht="15" customHeight="1" x14ac:dyDescent="0.3">
      <c r="A2546" s="4">
        <v>45306</v>
      </c>
      <c r="B2546" s="5">
        <f t="shared" si="722"/>
        <v>1</v>
      </c>
      <c r="C2546" s="5">
        <f t="shared" si="723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8" t="s">
        <v>2199</v>
      </c>
      <c r="H2546" s="13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19"/>
        <v>45306</v>
      </c>
      <c r="L2546" s="5">
        <f t="shared" si="720"/>
        <v>1</v>
      </c>
      <c r="M2546" s="5">
        <f t="shared" si="721"/>
        <v>2024</v>
      </c>
      <c r="N2546" s="6">
        <v>555</v>
      </c>
      <c r="P2546" s="6">
        <f t="shared" si="728"/>
        <v>555</v>
      </c>
      <c r="Q2546" s="7">
        <f t="shared" si="726"/>
        <v>4139021.7500000014</v>
      </c>
      <c r="R2546" s="44" t="str">
        <f>VLOOKUP(F2546,'Set up'!$A$2:$E$55,5,FALSE)</f>
        <v>PD Chq</v>
      </c>
    </row>
    <row r="2547" spans="1:19" ht="15" customHeight="1" x14ac:dyDescent="0.3">
      <c r="A2547" s="4">
        <v>45306</v>
      </c>
      <c r="B2547" s="5">
        <f t="shared" si="722"/>
        <v>1</v>
      </c>
      <c r="C2547" s="5">
        <f t="shared" si="723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8" t="s">
        <v>1062</v>
      </c>
      <c r="H2547" s="13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19"/>
        <v>45306</v>
      </c>
      <c r="L2547" s="5">
        <f t="shared" si="720"/>
        <v>1</v>
      </c>
      <c r="M2547" s="5">
        <f t="shared" si="721"/>
        <v>2024</v>
      </c>
      <c r="N2547" s="6">
        <v>95</v>
      </c>
      <c r="P2547" s="6">
        <f t="shared" si="728"/>
        <v>95</v>
      </c>
      <c r="Q2547" s="7">
        <f t="shared" si="726"/>
        <v>4139116.7500000014</v>
      </c>
      <c r="R2547" s="44" t="str">
        <f>VLOOKUP(F2547,'Set up'!$A$2:$E$55,5,FALSE)</f>
        <v>PD Chq</v>
      </c>
    </row>
    <row r="2548" spans="1:19" ht="15" customHeight="1" x14ac:dyDescent="0.3">
      <c r="A2548" s="4">
        <v>45306</v>
      </c>
      <c r="B2548" s="5">
        <f t="shared" si="722"/>
        <v>1</v>
      </c>
      <c r="C2548" s="5">
        <f t="shared" si="723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13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19"/>
        <v>45306</v>
      </c>
      <c r="L2548" s="5">
        <f t="shared" si="720"/>
        <v>1</v>
      </c>
      <c r="M2548" s="5">
        <f t="shared" si="721"/>
        <v>2024</v>
      </c>
      <c r="N2548" s="6">
        <v>312.5</v>
      </c>
      <c r="P2548" s="6">
        <f t="shared" si="728"/>
        <v>312.5</v>
      </c>
      <c r="Q2548" s="7">
        <f t="shared" si="726"/>
        <v>4139429.2500000014</v>
      </c>
      <c r="R2548" s="44" t="str">
        <f>VLOOKUP(F2548,'Set up'!$A$2:$E$55,5,FALSE)</f>
        <v>PD Chq</v>
      </c>
    </row>
    <row r="2549" spans="1:19" ht="15" customHeight="1" x14ac:dyDescent="0.3">
      <c r="A2549" s="4">
        <v>45308</v>
      </c>
      <c r="B2549" s="5">
        <f t="shared" si="722"/>
        <v>1</v>
      </c>
      <c r="C2549" s="5">
        <f t="shared" si="723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13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19"/>
        <v>45308</v>
      </c>
      <c r="L2549" s="5">
        <f t="shared" si="720"/>
        <v>1</v>
      </c>
      <c r="M2549" s="5">
        <f t="shared" si="721"/>
        <v>2024</v>
      </c>
      <c r="N2549" s="6">
        <v>405</v>
      </c>
      <c r="P2549" s="6">
        <f t="shared" si="728"/>
        <v>405</v>
      </c>
      <c r="Q2549" s="7">
        <f t="shared" si="726"/>
        <v>4139834.2500000014</v>
      </c>
      <c r="R2549" s="44" t="str">
        <f>VLOOKUP(F2549,'Set up'!$A$2:$E$55,5,FALSE)</f>
        <v>Trsf</v>
      </c>
    </row>
    <row r="2550" spans="1:19" ht="15" customHeight="1" x14ac:dyDescent="0.3">
      <c r="A2550" s="4">
        <v>45308</v>
      </c>
      <c r="B2550" s="5">
        <f t="shared" si="722"/>
        <v>1</v>
      </c>
      <c r="C2550" s="5">
        <f t="shared" si="723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13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19"/>
        <v>45308</v>
      </c>
      <c r="L2550" s="5">
        <f t="shared" si="720"/>
        <v>1</v>
      </c>
      <c r="M2550" s="5">
        <f t="shared" si="721"/>
        <v>2024</v>
      </c>
      <c r="N2550" s="6">
        <v>390</v>
      </c>
      <c r="P2550" s="6">
        <f t="shared" si="728"/>
        <v>390</v>
      </c>
      <c r="Q2550" s="7">
        <f t="shared" si="726"/>
        <v>4140224.2500000014</v>
      </c>
      <c r="R2550" s="44" t="str">
        <f>VLOOKUP(F2550,'Set up'!$A$2:$E$55,5,FALSE)</f>
        <v>Trsf</v>
      </c>
    </row>
    <row r="2551" spans="1:19" ht="15" customHeight="1" x14ac:dyDescent="0.3">
      <c r="A2551" s="4">
        <v>45311</v>
      </c>
      <c r="B2551" s="5">
        <f t="shared" si="722"/>
        <v>1</v>
      </c>
      <c r="C2551" s="5">
        <f t="shared" si="723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134" t="s">
        <v>2358</v>
      </c>
      <c r="H2551" s="13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19"/>
        <v>45311</v>
      </c>
      <c r="L2551" s="5">
        <f t="shared" si="720"/>
        <v>1</v>
      </c>
      <c r="M2551" s="5">
        <f t="shared" si="721"/>
        <v>2024</v>
      </c>
      <c r="N2551" s="6">
        <v>1694</v>
      </c>
      <c r="O2551" s="6">
        <f t="shared" ref="O2551:O2559" si="731">-N2551</f>
        <v>-1694</v>
      </c>
      <c r="P2551" s="6">
        <f t="shared" si="728"/>
        <v>0</v>
      </c>
      <c r="Q2551" s="7">
        <f t="shared" si="726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22"/>
        <v>1</v>
      </c>
      <c r="C2552" s="5">
        <f t="shared" si="723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13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19"/>
        <v>45311</v>
      </c>
      <c r="L2552" s="5">
        <f t="shared" si="720"/>
        <v>1</v>
      </c>
      <c r="M2552" s="5">
        <f t="shared" si="721"/>
        <v>2024</v>
      </c>
      <c r="N2552" s="6">
        <v>675</v>
      </c>
      <c r="O2552" s="6">
        <f t="shared" si="731"/>
        <v>-675</v>
      </c>
      <c r="P2552" s="6">
        <f t="shared" si="728"/>
        <v>0</v>
      </c>
      <c r="Q2552" s="7">
        <f t="shared" si="726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22"/>
        <v>1</v>
      </c>
      <c r="C2553" s="5">
        <f t="shared" si="723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13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19"/>
        <v>45311</v>
      </c>
      <c r="L2553" s="5">
        <f t="shared" si="720"/>
        <v>1</v>
      </c>
      <c r="M2553" s="5">
        <f t="shared" si="721"/>
        <v>2024</v>
      </c>
      <c r="N2553" s="6">
        <v>280</v>
      </c>
      <c r="O2553" s="6">
        <f t="shared" si="731"/>
        <v>-280</v>
      </c>
      <c r="P2553" s="6">
        <f t="shared" si="728"/>
        <v>0</v>
      </c>
      <c r="Q2553" s="7">
        <f t="shared" si="726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22"/>
        <v>1</v>
      </c>
      <c r="C2554" s="5">
        <f t="shared" si="723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8" t="s">
        <v>17</v>
      </c>
      <c r="H2554" s="13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19"/>
        <v>45311</v>
      </c>
      <c r="L2554" s="5">
        <f t="shared" si="720"/>
        <v>1</v>
      </c>
      <c r="M2554" s="5">
        <f t="shared" si="721"/>
        <v>2024</v>
      </c>
      <c r="N2554" s="6">
        <v>110</v>
      </c>
      <c r="O2554" s="6">
        <f t="shared" si="731"/>
        <v>-110</v>
      </c>
      <c r="P2554" s="6">
        <f t="shared" si="728"/>
        <v>0</v>
      </c>
      <c r="Q2554" s="7">
        <f t="shared" si="726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22"/>
        <v>1</v>
      </c>
      <c r="C2555" s="5">
        <f t="shared" si="723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13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19"/>
        <v>45311</v>
      </c>
      <c r="L2555" s="5">
        <f t="shared" si="720"/>
        <v>1</v>
      </c>
      <c r="M2555" s="5">
        <f t="shared" si="721"/>
        <v>2024</v>
      </c>
      <c r="N2555" s="6">
        <v>60</v>
      </c>
      <c r="O2555" s="6">
        <f t="shared" si="731"/>
        <v>-60</v>
      </c>
      <c r="P2555" s="6">
        <f t="shared" si="728"/>
        <v>0</v>
      </c>
      <c r="Q2555" s="7">
        <f t="shared" si="726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22"/>
        <v>1</v>
      </c>
      <c r="C2556" s="5">
        <f t="shared" si="723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13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19"/>
        <v>45311</v>
      </c>
      <c r="L2556" s="5">
        <f t="shared" si="720"/>
        <v>1</v>
      </c>
      <c r="M2556" s="5">
        <f t="shared" si="721"/>
        <v>2024</v>
      </c>
      <c r="N2556" s="6">
        <v>54</v>
      </c>
      <c r="O2556" s="6">
        <f t="shared" si="731"/>
        <v>-54</v>
      </c>
      <c r="P2556" s="6">
        <f t="shared" si="728"/>
        <v>0</v>
      </c>
      <c r="Q2556" s="7">
        <f t="shared" si="726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22"/>
        <v>1</v>
      </c>
      <c r="C2557" s="5">
        <f t="shared" si="723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6" t="s">
        <v>2201</v>
      </c>
      <c r="H2557" s="13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19"/>
        <v>45311</v>
      </c>
      <c r="L2557" s="5">
        <f t="shared" si="720"/>
        <v>1</v>
      </c>
      <c r="M2557" s="5">
        <f t="shared" si="721"/>
        <v>2024</v>
      </c>
      <c r="N2557" s="6">
        <v>120</v>
      </c>
      <c r="O2557" s="6">
        <f t="shared" si="731"/>
        <v>-120</v>
      </c>
      <c r="P2557" s="6">
        <f t="shared" si="728"/>
        <v>0</v>
      </c>
      <c r="Q2557" s="7">
        <f t="shared" si="726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22"/>
        <v>1</v>
      </c>
      <c r="C2558" s="5">
        <f t="shared" si="723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8" t="s">
        <v>895</v>
      </c>
      <c r="H2558" s="13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19"/>
        <v>45311</v>
      </c>
      <c r="L2558" s="5">
        <f t="shared" si="720"/>
        <v>1</v>
      </c>
      <c r="M2558" s="5">
        <f t="shared" si="721"/>
        <v>2024</v>
      </c>
      <c r="N2558" s="6">
        <v>160</v>
      </c>
      <c r="O2558" s="6">
        <f t="shared" si="731"/>
        <v>-160</v>
      </c>
      <c r="P2558" s="6">
        <f t="shared" si="728"/>
        <v>0</v>
      </c>
      <c r="Q2558" s="7">
        <f t="shared" si="726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22"/>
        <v>1</v>
      </c>
      <c r="C2559" s="5">
        <f t="shared" si="723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8" t="s">
        <v>769</v>
      </c>
      <c r="H2559" s="13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19"/>
        <v>45311</v>
      </c>
      <c r="L2559" s="5">
        <f t="shared" si="720"/>
        <v>1</v>
      </c>
      <c r="M2559" s="5">
        <f t="shared" si="721"/>
        <v>2024</v>
      </c>
      <c r="N2559" s="6">
        <v>170</v>
      </c>
      <c r="O2559" s="6">
        <f t="shared" si="731"/>
        <v>-170</v>
      </c>
      <c r="P2559" s="6">
        <f t="shared" si="728"/>
        <v>0</v>
      </c>
      <c r="Q2559" s="7">
        <f t="shared" si="726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22"/>
        <v>1</v>
      </c>
      <c r="C2560" s="5">
        <f t="shared" si="723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13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19"/>
        <v>45310</v>
      </c>
      <c r="L2560" s="5">
        <f t="shared" si="720"/>
        <v>1</v>
      </c>
      <c r="M2560" s="5">
        <f t="shared" si="721"/>
        <v>2024</v>
      </c>
      <c r="N2560" s="6">
        <v>1738</v>
      </c>
      <c r="P2560" s="6">
        <f t="shared" si="728"/>
        <v>1738</v>
      </c>
      <c r="Q2560" s="7">
        <f t="shared" si="726"/>
        <v>4145285.2500000014</v>
      </c>
      <c r="R2560" s="44" t="str">
        <f>VLOOKUP(F2560,'Set up'!$A$2:$E$55,5,FALSE)</f>
        <v>Trsf</v>
      </c>
    </row>
    <row r="2561" spans="1:19" ht="15" customHeight="1" x14ac:dyDescent="0.3">
      <c r="A2561" s="4">
        <v>45310</v>
      </c>
      <c r="B2561" s="5">
        <f t="shared" si="722"/>
        <v>1</v>
      </c>
      <c r="C2561" s="5">
        <f t="shared" si="723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13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19"/>
        <v>45310</v>
      </c>
      <c r="L2561" s="5">
        <f t="shared" si="720"/>
        <v>1</v>
      </c>
      <c r="M2561" s="5">
        <f t="shared" si="721"/>
        <v>2024</v>
      </c>
      <c r="N2561" s="6">
        <v>283.8</v>
      </c>
      <c r="P2561" s="6">
        <f t="shared" si="728"/>
        <v>283.8</v>
      </c>
      <c r="Q2561" s="7">
        <f t="shared" si="726"/>
        <v>4145569.0500000012</v>
      </c>
      <c r="R2561" s="44" t="str">
        <f>VLOOKUP(F2561,'Set up'!$A$2:$E$55,5,FALSE)</f>
        <v>Trsf</v>
      </c>
    </row>
    <row r="2562" spans="1:19" ht="15" customHeight="1" x14ac:dyDescent="0.3">
      <c r="A2562" s="4">
        <v>45310</v>
      </c>
      <c r="B2562" s="5">
        <f t="shared" si="722"/>
        <v>1</v>
      </c>
      <c r="C2562" s="5">
        <f t="shared" si="723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13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19"/>
        <v>45310</v>
      </c>
      <c r="L2562" s="5">
        <f t="shared" si="720"/>
        <v>1</v>
      </c>
      <c r="M2562" s="5">
        <f t="shared" si="721"/>
        <v>2024</v>
      </c>
      <c r="N2562" s="6">
        <v>187.5</v>
      </c>
      <c r="P2562" s="6">
        <f t="shared" si="728"/>
        <v>187.5</v>
      </c>
      <c r="Q2562" s="7">
        <f t="shared" si="726"/>
        <v>4145756.5500000012</v>
      </c>
      <c r="R2562" s="44" t="str">
        <f>VLOOKUP(F2562,'Set up'!$A$2:$E$55,5,FALSE)</f>
        <v>Trsf</v>
      </c>
    </row>
    <row r="2563" spans="1:19" ht="15" customHeight="1" x14ac:dyDescent="0.3">
      <c r="A2563" s="4">
        <v>45310</v>
      </c>
      <c r="B2563" s="5">
        <f t="shared" si="722"/>
        <v>1</v>
      </c>
      <c r="C2563" s="5">
        <f t="shared" si="723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13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32">A2563+J2563</f>
        <v>45310</v>
      </c>
      <c r="L2563" s="5">
        <f t="shared" ref="L2563:L2626" si="733">MONTH(K2563)</f>
        <v>1</v>
      </c>
      <c r="M2563" s="5">
        <f t="shared" ref="M2563:M2626" si="734">YEAR(K2563)</f>
        <v>2024</v>
      </c>
      <c r="N2563" s="6">
        <v>60</v>
      </c>
      <c r="P2563" s="6">
        <f t="shared" si="728"/>
        <v>60</v>
      </c>
      <c r="Q2563" s="7">
        <f t="shared" si="726"/>
        <v>4145816.5500000012</v>
      </c>
      <c r="R2563" s="44" t="str">
        <f>VLOOKUP(F2563,'Set up'!$A$2:$E$55,5,FALSE)</f>
        <v>Trsf</v>
      </c>
    </row>
    <row r="2564" spans="1:19" ht="15" customHeight="1" x14ac:dyDescent="0.3">
      <c r="A2564" s="4">
        <v>45311</v>
      </c>
      <c r="B2564" s="5">
        <f t="shared" si="722"/>
        <v>1</v>
      </c>
      <c r="C2564" s="5">
        <f t="shared" si="723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2" t="s">
        <v>2200</v>
      </c>
      <c r="H2564" s="13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32"/>
        <v>45311</v>
      </c>
      <c r="L2564" s="5">
        <f t="shared" si="733"/>
        <v>1</v>
      </c>
      <c r="M2564" s="5">
        <f t="shared" si="734"/>
        <v>2024</v>
      </c>
      <c r="N2564" s="6">
        <v>375</v>
      </c>
      <c r="P2564" s="6">
        <f t="shared" si="728"/>
        <v>375</v>
      </c>
      <c r="Q2564" s="7">
        <f t="shared" si="726"/>
        <v>4146191.5500000012</v>
      </c>
      <c r="R2564" s="44" t="str">
        <f>VLOOKUP(F2564,'Set up'!$A$2:$E$55,5,FALSE)</f>
        <v>Trsf</v>
      </c>
    </row>
    <row r="2565" spans="1:19" ht="15" customHeight="1" x14ac:dyDescent="0.3">
      <c r="A2565" s="4">
        <v>45311</v>
      </c>
      <c r="B2565" s="5">
        <f t="shared" si="722"/>
        <v>1</v>
      </c>
      <c r="C2565" s="5">
        <f t="shared" si="723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2" t="s">
        <v>1734</v>
      </c>
      <c r="H2565" s="13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32"/>
        <v>45311</v>
      </c>
      <c r="L2565" s="5">
        <f t="shared" si="733"/>
        <v>1</v>
      </c>
      <c r="M2565" s="5">
        <f t="shared" si="734"/>
        <v>2024</v>
      </c>
      <c r="N2565" s="6">
        <v>9636</v>
      </c>
      <c r="P2565" s="6">
        <f t="shared" si="728"/>
        <v>9636</v>
      </c>
      <c r="Q2565" s="7">
        <f t="shared" si="726"/>
        <v>4155827.5500000012</v>
      </c>
      <c r="R2565" s="44" t="str">
        <f>VLOOKUP(F2565,'Set up'!$A$2:$E$55,5,FALSE)</f>
        <v>Trsf</v>
      </c>
    </row>
    <row r="2566" spans="1:19" ht="15" customHeight="1" x14ac:dyDescent="0.3">
      <c r="A2566" s="4">
        <v>45311</v>
      </c>
      <c r="B2566" s="5">
        <f t="shared" si="722"/>
        <v>1</v>
      </c>
      <c r="C2566" s="5">
        <f t="shared" si="723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13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32"/>
        <v>45311</v>
      </c>
      <c r="L2566" s="5">
        <f t="shared" si="733"/>
        <v>1</v>
      </c>
      <c r="M2566" s="5">
        <f t="shared" si="734"/>
        <v>2024</v>
      </c>
      <c r="N2566" s="6">
        <v>3132</v>
      </c>
      <c r="P2566" s="6">
        <f t="shared" si="728"/>
        <v>3132</v>
      </c>
      <c r="Q2566" s="7">
        <f t="shared" si="726"/>
        <v>4158959.5500000012</v>
      </c>
      <c r="R2566" s="44" t="str">
        <f>VLOOKUP(F2566,'Set up'!$A$2:$E$55,5,FALSE)</f>
        <v>Trsf</v>
      </c>
    </row>
    <row r="2567" spans="1:19" ht="15" customHeight="1" x14ac:dyDescent="0.3">
      <c r="A2567" s="4">
        <v>45311</v>
      </c>
      <c r="B2567" s="5">
        <f t="shared" si="722"/>
        <v>1</v>
      </c>
      <c r="C2567" s="5">
        <f t="shared" si="723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13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32"/>
        <v>45311</v>
      </c>
      <c r="L2567" s="5">
        <f t="shared" si="733"/>
        <v>1</v>
      </c>
      <c r="M2567" s="5">
        <f t="shared" si="734"/>
        <v>2024</v>
      </c>
      <c r="N2567" s="6">
        <v>1872</v>
      </c>
      <c r="P2567" s="6">
        <f t="shared" si="728"/>
        <v>1872</v>
      </c>
      <c r="Q2567" s="7">
        <f t="shared" si="726"/>
        <v>4160831.5500000012</v>
      </c>
      <c r="R2567" s="44" t="str">
        <f>VLOOKUP(F2567,'Set up'!$A$2:$E$55,5,FALSE)</f>
        <v>Trsf</v>
      </c>
    </row>
    <row r="2568" spans="1:19" ht="15" customHeight="1" x14ac:dyDescent="0.3">
      <c r="A2568" s="4">
        <v>45311</v>
      </c>
      <c r="B2568" s="5">
        <f t="shared" si="722"/>
        <v>1</v>
      </c>
      <c r="C2568" s="5">
        <f t="shared" si="723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13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32"/>
        <v>45311</v>
      </c>
      <c r="L2568" s="5">
        <f t="shared" si="733"/>
        <v>1</v>
      </c>
      <c r="M2568" s="5">
        <f t="shared" si="734"/>
        <v>2024</v>
      </c>
      <c r="N2568" s="6">
        <v>380</v>
      </c>
      <c r="P2568" s="6">
        <f t="shared" si="728"/>
        <v>380</v>
      </c>
      <c r="Q2568" s="7">
        <f t="shared" si="726"/>
        <v>4161211.5500000012</v>
      </c>
      <c r="R2568" s="44" t="str">
        <f>VLOOKUP(F2568,'Set up'!$A$2:$E$55,5,FALSE)</f>
        <v>Trsf</v>
      </c>
    </row>
    <row r="2569" spans="1:19" ht="15" customHeight="1" x14ac:dyDescent="0.3">
      <c r="A2569" s="4">
        <v>45313</v>
      </c>
      <c r="B2569" s="5">
        <f t="shared" ref="B2569:B2591" si="735">MONTH(A2569)</f>
        <v>1</v>
      </c>
      <c r="C2569" s="5">
        <f t="shared" ref="C2569:C2591" si="736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134" t="s">
        <v>1111</v>
      </c>
      <c r="H2569" s="13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32"/>
        <v>45313</v>
      </c>
      <c r="L2569" s="5">
        <f t="shared" si="733"/>
        <v>1</v>
      </c>
      <c r="M2569" s="5">
        <f t="shared" si="734"/>
        <v>2024</v>
      </c>
      <c r="N2569" s="6">
        <v>180</v>
      </c>
      <c r="O2569" s="6">
        <f t="shared" ref="O2569" si="737">-N2569</f>
        <v>-180</v>
      </c>
      <c r="P2569" s="6">
        <f t="shared" si="728"/>
        <v>0</v>
      </c>
      <c r="Q2569" s="7">
        <f t="shared" si="726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35"/>
        <v>1</v>
      </c>
      <c r="C2570" s="5">
        <f t="shared" si="736"/>
        <v>2024</v>
      </c>
      <c r="D2570" s="5" t="s">
        <v>2363</v>
      </c>
      <c r="E2570" s="5" t="str">
        <f>VLOOKUP(F2570,'Set up'!$A$2:$C$55,2,FALSE)</f>
        <v>C00000044</v>
      </c>
      <c r="F2570" s="1" t="s">
        <v>2959</v>
      </c>
      <c r="G2570" s="133" t="s">
        <v>2364</v>
      </c>
      <c r="H2570" s="13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32"/>
        <v>45314</v>
      </c>
      <c r="L2570" s="5">
        <f t="shared" si="733"/>
        <v>1</v>
      </c>
      <c r="M2570" s="5">
        <f t="shared" si="734"/>
        <v>2024</v>
      </c>
      <c r="N2570" s="6">
        <v>1606</v>
      </c>
      <c r="O2570" s="6">
        <f t="shared" ref="O2570:O2580" si="738">-N2570</f>
        <v>-1606</v>
      </c>
      <c r="P2570" s="6">
        <f t="shared" si="728"/>
        <v>0</v>
      </c>
      <c r="Q2570" s="7">
        <f t="shared" si="726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35"/>
        <v>1</v>
      </c>
      <c r="C2571" s="5">
        <f t="shared" si="736"/>
        <v>2024</v>
      </c>
      <c r="D2571" s="5" t="s">
        <v>2363</v>
      </c>
      <c r="E2571" s="5" t="str">
        <f>VLOOKUP(F2571,'Set up'!$A$2:$C$55,2,FALSE)</f>
        <v>C00000044</v>
      </c>
      <c r="F2571" s="1" t="s">
        <v>2959</v>
      </c>
      <c r="G2571" s="116" t="s">
        <v>2365</v>
      </c>
      <c r="H2571" s="13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32"/>
        <v>45314</v>
      </c>
      <c r="L2571" s="5">
        <f t="shared" si="733"/>
        <v>1</v>
      </c>
      <c r="M2571" s="5">
        <f t="shared" si="734"/>
        <v>2024</v>
      </c>
      <c r="N2571" s="6">
        <v>420</v>
      </c>
      <c r="O2571" s="6">
        <f t="shared" si="738"/>
        <v>-420</v>
      </c>
      <c r="P2571" s="6">
        <f t="shared" si="728"/>
        <v>0</v>
      </c>
      <c r="Q2571" s="7">
        <f t="shared" si="726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35"/>
        <v>1</v>
      </c>
      <c r="C2572" s="5">
        <f t="shared" si="736"/>
        <v>2024</v>
      </c>
      <c r="D2572" s="5" t="s">
        <v>2363</v>
      </c>
      <c r="E2572" s="5" t="str">
        <f>VLOOKUP(F2572,'Set up'!$A$2:$C$55,2,FALSE)</f>
        <v>C00000044</v>
      </c>
      <c r="F2572" s="1" t="s">
        <v>2959</v>
      </c>
      <c r="G2572" s="116" t="s">
        <v>2366</v>
      </c>
      <c r="H2572" s="13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32"/>
        <v>45314</v>
      </c>
      <c r="L2572" s="5">
        <f t="shared" si="733"/>
        <v>1</v>
      </c>
      <c r="M2572" s="5">
        <f t="shared" si="734"/>
        <v>2024</v>
      </c>
      <c r="N2572" s="6">
        <v>280</v>
      </c>
      <c r="O2572" s="6">
        <f t="shared" si="738"/>
        <v>-280</v>
      </c>
      <c r="P2572" s="6">
        <f t="shared" si="728"/>
        <v>0</v>
      </c>
      <c r="Q2572" s="7">
        <f t="shared" si="726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35"/>
        <v>1</v>
      </c>
      <c r="C2573" s="5">
        <f t="shared" si="736"/>
        <v>2024</v>
      </c>
      <c r="D2573" s="5" t="s">
        <v>2363</v>
      </c>
      <c r="E2573" s="5" t="str">
        <f>VLOOKUP(F2573,'Set up'!$A$2:$C$55,2,FALSE)</f>
        <v>C00000044</v>
      </c>
      <c r="F2573" s="1" t="s">
        <v>2959</v>
      </c>
      <c r="G2573" s="116" t="s">
        <v>715</v>
      </c>
      <c r="H2573" s="13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32"/>
        <v>45314</v>
      </c>
      <c r="L2573" s="5">
        <f t="shared" si="733"/>
        <v>1</v>
      </c>
      <c r="M2573" s="5">
        <f t="shared" si="734"/>
        <v>2024</v>
      </c>
      <c r="N2573" s="6">
        <v>62.5</v>
      </c>
      <c r="O2573" s="6">
        <f t="shared" si="738"/>
        <v>-62.5</v>
      </c>
      <c r="P2573" s="6">
        <f t="shared" si="728"/>
        <v>0</v>
      </c>
      <c r="Q2573" s="7">
        <f t="shared" si="726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35"/>
        <v>1</v>
      </c>
      <c r="C2574" s="5">
        <f t="shared" si="736"/>
        <v>2024</v>
      </c>
      <c r="D2574" s="5" t="s">
        <v>2363</v>
      </c>
      <c r="E2574" s="5" t="str">
        <f>VLOOKUP(F2574,'Set up'!$A$2:$C$55,2,FALSE)</f>
        <v>C00000044</v>
      </c>
      <c r="F2574" s="1" t="s">
        <v>2959</v>
      </c>
      <c r="G2574" s="116" t="s">
        <v>2367</v>
      </c>
      <c r="H2574" s="13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32"/>
        <v>45314</v>
      </c>
      <c r="L2574" s="5">
        <f t="shared" si="733"/>
        <v>1</v>
      </c>
      <c r="M2574" s="5">
        <f t="shared" si="734"/>
        <v>2024</v>
      </c>
      <c r="N2574" s="6">
        <v>700</v>
      </c>
      <c r="O2574" s="6">
        <f t="shared" si="738"/>
        <v>-700</v>
      </c>
      <c r="P2574" s="6">
        <f t="shared" si="728"/>
        <v>0</v>
      </c>
      <c r="Q2574" s="7">
        <f t="shared" si="726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35"/>
        <v>1</v>
      </c>
      <c r="C2575" s="5">
        <f t="shared" si="736"/>
        <v>2024</v>
      </c>
      <c r="D2575" s="5" t="s">
        <v>2363</v>
      </c>
      <c r="E2575" s="5" t="str">
        <f>VLOOKUP(F2575,'Set up'!$A$2:$C$55,2,FALSE)</f>
        <v>C00000044</v>
      </c>
      <c r="F2575" s="1" t="s">
        <v>2959</v>
      </c>
      <c r="G2575" s="116" t="s">
        <v>2368</v>
      </c>
      <c r="H2575" s="13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32"/>
        <v>45314</v>
      </c>
      <c r="L2575" s="5">
        <f t="shared" si="733"/>
        <v>1</v>
      </c>
      <c r="M2575" s="5">
        <f t="shared" si="734"/>
        <v>2024</v>
      </c>
      <c r="N2575" s="6">
        <v>290</v>
      </c>
      <c r="O2575" s="6">
        <f t="shared" si="738"/>
        <v>-290</v>
      </c>
      <c r="P2575" s="6">
        <f t="shared" si="728"/>
        <v>0</v>
      </c>
      <c r="Q2575" s="7">
        <f t="shared" si="726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35"/>
        <v>1</v>
      </c>
      <c r="C2576" s="5">
        <f t="shared" si="736"/>
        <v>2024</v>
      </c>
      <c r="D2576" s="5" t="s">
        <v>2363</v>
      </c>
      <c r="E2576" s="5" t="str">
        <f>VLOOKUP(F2576,'Set up'!$A$2:$C$55,2,FALSE)</f>
        <v>C00000044</v>
      </c>
      <c r="F2576" s="1" t="s">
        <v>2959</v>
      </c>
      <c r="G2576" s="116" t="s">
        <v>2369</v>
      </c>
      <c r="H2576" s="13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32"/>
        <v>45314</v>
      </c>
      <c r="L2576" s="5">
        <f t="shared" si="733"/>
        <v>1</v>
      </c>
      <c r="M2576" s="5">
        <f t="shared" si="734"/>
        <v>2024</v>
      </c>
      <c r="N2576" s="6">
        <v>283.8</v>
      </c>
      <c r="O2576" s="6">
        <f t="shared" si="738"/>
        <v>-283.8</v>
      </c>
      <c r="P2576" s="6">
        <f t="shared" si="728"/>
        <v>0</v>
      </c>
      <c r="Q2576" s="7">
        <f t="shared" si="726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35"/>
        <v>1</v>
      </c>
      <c r="C2577" s="5">
        <f t="shared" si="736"/>
        <v>2024</v>
      </c>
      <c r="D2577" s="5" t="s">
        <v>2363</v>
      </c>
      <c r="E2577" s="5" t="str">
        <f>VLOOKUP(F2577,'Set up'!$A$2:$C$55,2,FALSE)</f>
        <v>C00000044</v>
      </c>
      <c r="F2577" s="1" t="s">
        <v>2959</v>
      </c>
      <c r="G2577" s="116" t="s">
        <v>2026</v>
      </c>
      <c r="H2577" s="13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32"/>
        <v>45314</v>
      </c>
      <c r="L2577" s="5">
        <f t="shared" si="733"/>
        <v>1</v>
      </c>
      <c r="M2577" s="5">
        <f t="shared" si="734"/>
        <v>2024</v>
      </c>
      <c r="N2577" s="6">
        <v>110</v>
      </c>
      <c r="O2577" s="6">
        <f t="shared" si="738"/>
        <v>-110</v>
      </c>
      <c r="P2577" s="6">
        <f t="shared" si="728"/>
        <v>0</v>
      </c>
      <c r="Q2577" s="7">
        <f t="shared" si="726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35"/>
        <v>1</v>
      </c>
      <c r="C2578" s="5">
        <f t="shared" si="736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134" t="s">
        <v>1739</v>
      </c>
      <c r="H2578" s="13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32"/>
        <v>45315</v>
      </c>
      <c r="L2578" s="5">
        <f t="shared" si="733"/>
        <v>1</v>
      </c>
      <c r="M2578" s="5">
        <f t="shared" si="734"/>
        <v>2024</v>
      </c>
      <c r="N2578" s="6">
        <v>1694</v>
      </c>
      <c r="O2578" s="6">
        <f t="shared" si="738"/>
        <v>-1694</v>
      </c>
      <c r="P2578" s="6">
        <f t="shared" si="728"/>
        <v>0</v>
      </c>
      <c r="Q2578" s="7">
        <f t="shared" ref="Q2578:Q2641" si="739">SUM(Q2577+N2578)</f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35"/>
        <v>1</v>
      </c>
      <c r="C2579" s="5">
        <f t="shared" si="736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13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32"/>
        <v>45315</v>
      </c>
      <c r="L2579" s="5">
        <f t="shared" si="733"/>
        <v>1</v>
      </c>
      <c r="M2579" s="5">
        <f t="shared" si="734"/>
        <v>2024</v>
      </c>
      <c r="N2579" s="6">
        <v>450</v>
      </c>
      <c r="O2579" s="6">
        <f t="shared" si="738"/>
        <v>-450</v>
      </c>
      <c r="P2579" s="6">
        <f t="shared" si="728"/>
        <v>0</v>
      </c>
      <c r="Q2579" s="7">
        <f t="shared" si="739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35"/>
        <v>1</v>
      </c>
      <c r="C2580" s="5">
        <f t="shared" si="736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13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32"/>
        <v>45315</v>
      </c>
      <c r="L2580" s="5">
        <f t="shared" si="733"/>
        <v>1</v>
      </c>
      <c r="M2580" s="5">
        <f t="shared" si="734"/>
        <v>2024</v>
      </c>
      <c r="N2580" s="6">
        <v>280</v>
      </c>
      <c r="O2580" s="6">
        <f t="shared" si="738"/>
        <v>-280</v>
      </c>
      <c r="P2580" s="6">
        <f t="shared" si="728"/>
        <v>0</v>
      </c>
      <c r="Q2580" s="7">
        <f t="shared" si="739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35"/>
        <v>1</v>
      </c>
      <c r="C2581" s="5">
        <f t="shared" si="736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2" t="s">
        <v>2200</v>
      </c>
      <c r="H2581" s="13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32"/>
        <v>45320</v>
      </c>
      <c r="L2581" s="5">
        <f t="shared" si="733"/>
        <v>1</v>
      </c>
      <c r="M2581" s="5">
        <f t="shared" si="734"/>
        <v>2024</v>
      </c>
      <c r="N2581" s="6">
        <v>187.5</v>
      </c>
      <c r="P2581" s="6">
        <f t="shared" ref="P2581:P2591" si="740">SUM(N2581+O2581)</f>
        <v>187.5</v>
      </c>
      <c r="Q2581" s="7">
        <f t="shared" si="739"/>
        <v>4167755.350000001</v>
      </c>
      <c r="R2581" s="44" t="str">
        <f>VLOOKUP(F2581,'Set up'!$A$2:$E$55,5,FALSE)</f>
        <v>Trsf</v>
      </c>
    </row>
    <row r="2582" spans="1:19" ht="15" customHeight="1" x14ac:dyDescent="0.3">
      <c r="A2582" s="4">
        <v>45320</v>
      </c>
      <c r="B2582" s="5">
        <f t="shared" si="735"/>
        <v>1</v>
      </c>
      <c r="C2582" s="5">
        <f t="shared" si="736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2" t="s">
        <v>1734</v>
      </c>
      <c r="H2582" s="13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32"/>
        <v>45320</v>
      </c>
      <c r="L2582" s="5">
        <f t="shared" si="733"/>
        <v>1</v>
      </c>
      <c r="M2582" s="5">
        <f t="shared" si="734"/>
        <v>2024</v>
      </c>
      <c r="N2582" s="6">
        <v>4818</v>
      </c>
      <c r="P2582" s="6">
        <f t="shared" si="740"/>
        <v>4818</v>
      </c>
      <c r="Q2582" s="7">
        <f t="shared" si="739"/>
        <v>4172573.350000001</v>
      </c>
      <c r="R2582" s="44" t="str">
        <f>VLOOKUP(F2582,'Set up'!$A$2:$E$55,5,FALSE)</f>
        <v>Trsf</v>
      </c>
    </row>
    <row r="2583" spans="1:19" ht="15" customHeight="1" x14ac:dyDescent="0.3">
      <c r="A2583" s="4">
        <v>45320</v>
      </c>
      <c r="B2583" s="5">
        <f t="shared" si="735"/>
        <v>1</v>
      </c>
      <c r="C2583" s="5">
        <f t="shared" si="736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13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32"/>
        <v>45320</v>
      </c>
      <c r="L2583" s="5">
        <f t="shared" si="733"/>
        <v>1</v>
      </c>
      <c r="M2583" s="5">
        <f t="shared" si="734"/>
        <v>2024</v>
      </c>
      <c r="N2583" s="6">
        <v>1044</v>
      </c>
      <c r="P2583" s="6">
        <f t="shared" si="740"/>
        <v>1044</v>
      </c>
      <c r="Q2583" s="7">
        <f t="shared" si="739"/>
        <v>4173617.350000001</v>
      </c>
      <c r="R2583" s="44" t="str">
        <f>VLOOKUP(F2583,'Set up'!$A$2:$E$55,5,FALSE)</f>
        <v>Trsf</v>
      </c>
    </row>
    <row r="2584" spans="1:19" ht="15" customHeight="1" x14ac:dyDescent="0.3">
      <c r="A2584" s="4">
        <v>45320</v>
      </c>
      <c r="B2584" s="5">
        <f t="shared" si="735"/>
        <v>1</v>
      </c>
      <c r="C2584" s="5">
        <f t="shared" si="736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13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32"/>
        <v>45320</v>
      </c>
      <c r="L2584" s="5">
        <f t="shared" si="733"/>
        <v>1</v>
      </c>
      <c r="M2584" s="5">
        <f t="shared" si="734"/>
        <v>2024</v>
      </c>
      <c r="N2584" s="6">
        <v>702</v>
      </c>
      <c r="P2584" s="6">
        <f t="shared" si="740"/>
        <v>702</v>
      </c>
      <c r="Q2584" s="7">
        <f t="shared" si="739"/>
        <v>4174319.350000001</v>
      </c>
      <c r="R2584" s="44" t="str">
        <f>VLOOKUP(F2584,'Set up'!$A$2:$E$55,5,FALSE)</f>
        <v>Trsf</v>
      </c>
    </row>
    <row r="2585" spans="1:19" ht="15" customHeight="1" x14ac:dyDescent="0.3">
      <c r="A2585" s="4">
        <v>45322</v>
      </c>
      <c r="B2585" s="5">
        <f t="shared" si="735"/>
        <v>1</v>
      </c>
      <c r="C2585" s="5">
        <f t="shared" si="736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2" t="s">
        <v>2200</v>
      </c>
      <c r="H2585" s="13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32"/>
        <v>45322</v>
      </c>
      <c r="L2585" s="5">
        <f t="shared" si="733"/>
        <v>1</v>
      </c>
      <c r="M2585" s="5">
        <f t="shared" si="734"/>
        <v>2024</v>
      </c>
      <c r="N2585" s="6">
        <v>375</v>
      </c>
      <c r="P2585" s="6">
        <f t="shared" si="740"/>
        <v>375</v>
      </c>
      <c r="Q2585" s="7">
        <f t="shared" si="739"/>
        <v>4174694.350000001</v>
      </c>
      <c r="R2585" s="44" t="str">
        <f>VLOOKUP(F2585,'Set up'!$A$2:$E$55,5,FALSE)</f>
        <v>Trsf</v>
      </c>
    </row>
    <row r="2586" spans="1:19" ht="15" customHeight="1" x14ac:dyDescent="0.3">
      <c r="A2586" s="4">
        <v>45322</v>
      </c>
      <c r="B2586" s="5">
        <f t="shared" si="735"/>
        <v>1</v>
      </c>
      <c r="C2586" s="5">
        <f t="shared" si="736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2" t="s">
        <v>1734</v>
      </c>
      <c r="H2586" s="13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32"/>
        <v>45322</v>
      </c>
      <c r="L2586" s="5">
        <f t="shared" si="733"/>
        <v>1</v>
      </c>
      <c r="M2586" s="5">
        <f t="shared" si="734"/>
        <v>2024</v>
      </c>
      <c r="N2586" s="6">
        <v>9636</v>
      </c>
      <c r="P2586" s="6">
        <f t="shared" si="740"/>
        <v>9636</v>
      </c>
      <c r="Q2586" s="7">
        <f t="shared" si="739"/>
        <v>4184330.350000001</v>
      </c>
      <c r="R2586" s="44" t="str">
        <f>VLOOKUP(F2586,'Set up'!$A$2:$E$55,5,FALSE)</f>
        <v>Trsf</v>
      </c>
    </row>
    <row r="2587" spans="1:19" ht="15" customHeight="1" x14ac:dyDescent="0.3">
      <c r="A2587" s="4">
        <v>45322</v>
      </c>
      <c r="B2587" s="5">
        <f t="shared" si="735"/>
        <v>1</v>
      </c>
      <c r="C2587" s="5">
        <f t="shared" si="736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13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32"/>
        <v>45322</v>
      </c>
      <c r="L2587" s="5">
        <f t="shared" si="733"/>
        <v>1</v>
      </c>
      <c r="M2587" s="5">
        <f t="shared" si="734"/>
        <v>2024</v>
      </c>
      <c r="N2587" s="6">
        <v>1740</v>
      </c>
      <c r="P2587" s="6">
        <f t="shared" si="740"/>
        <v>1740</v>
      </c>
      <c r="Q2587" s="7">
        <f t="shared" si="739"/>
        <v>4186070.350000001</v>
      </c>
      <c r="R2587" s="44" t="str">
        <f>VLOOKUP(F2587,'Set up'!$A$2:$E$55,5,FALSE)</f>
        <v>Trsf</v>
      </c>
    </row>
    <row r="2588" spans="1:19" ht="15" customHeight="1" x14ac:dyDescent="0.3">
      <c r="A2588" s="4">
        <v>45322</v>
      </c>
      <c r="B2588" s="5">
        <f t="shared" si="735"/>
        <v>1</v>
      </c>
      <c r="C2588" s="5">
        <f t="shared" si="736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13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32"/>
        <v>45322</v>
      </c>
      <c r="L2588" s="5">
        <f t="shared" si="733"/>
        <v>1</v>
      </c>
      <c r="M2588" s="5">
        <f t="shared" si="734"/>
        <v>2024</v>
      </c>
      <c r="N2588" s="6">
        <v>1716.8</v>
      </c>
      <c r="P2588" s="6">
        <f t="shared" si="740"/>
        <v>1716.8</v>
      </c>
      <c r="Q2588" s="7">
        <f t="shared" si="739"/>
        <v>4187787.1500000008</v>
      </c>
      <c r="R2588" s="44" t="str">
        <f>VLOOKUP(F2588,'Set up'!$A$2:$E$55,5,FALSE)</f>
        <v>Trsf</v>
      </c>
    </row>
    <row r="2589" spans="1:19" ht="15" customHeight="1" x14ac:dyDescent="0.3">
      <c r="A2589" s="4">
        <v>45322</v>
      </c>
      <c r="B2589" s="5">
        <f t="shared" si="735"/>
        <v>1</v>
      </c>
      <c r="C2589" s="5">
        <f t="shared" si="736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13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32"/>
        <v>45322</v>
      </c>
      <c r="L2589" s="5">
        <f t="shared" si="733"/>
        <v>1</v>
      </c>
      <c r="M2589" s="5">
        <f t="shared" si="734"/>
        <v>2024</v>
      </c>
      <c r="N2589" s="6">
        <v>1638</v>
      </c>
      <c r="P2589" s="6">
        <f t="shared" si="740"/>
        <v>1638</v>
      </c>
      <c r="Q2589" s="7">
        <f t="shared" si="739"/>
        <v>4189425.1500000008</v>
      </c>
      <c r="R2589" s="44" t="str">
        <f>VLOOKUP(F2589,'Set up'!$A$2:$E$55,5,FALSE)</f>
        <v>Trsf</v>
      </c>
    </row>
    <row r="2590" spans="1:19" ht="15" customHeight="1" x14ac:dyDescent="0.3">
      <c r="A2590" s="4">
        <v>45322</v>
      </c>
      <c r="B2590" s="5">
        <f t="shared" si="735"/>
        <v>1</v>
      </c>
      <c r="C2590" s="5">
        <f t="shared" si="736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13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32"/>
        <v>45322</v>
      </c>
      <c r="L2590" s="5">
        <f t="shared" si="733"/>
        <v>1</v>
      </c>
      <c r="M2590" s="5">
        <f t="shared" si="734"/>
        <v>2024</v>
      </c>
      <c r="N2590" s="6">
        <v>416</v>
      </c>
      <c r="P2590" s="6">
        <f t="shared" si="740"/>
        <v>416</v>
      </c>
      <c r="Q2590" s="7">
        <f t="shared" si="739"/>
        <v>4189841.1500000008</v>
      </c>
      <c r="R2590" s="44" t="str">
        <f>VLOOKUP(F2590,'Set up'!$A$2:$E$55,5,FALSE)</f>
        <v>Trsf</v>
      </c>
    </row>
    <row r="2591" spans="1:19" ht="15" customHeight="1" x14ac:dyDescent="0.3">
      <c r="A2591" s="4">
        <v>45322</v>
      </c>
      <c r="B2591" s="5">
        <f t="shared" si="735"/>
        <v>1</v>
      </c>
      <c r="C2591" s="5">
        <f t="shared" si="736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8" t="s">
        <v>1074</v>
      </c>
      <c r="H2591" s="13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32"/>
        <v>45322</v>
      </c>
      <c r="L2591" s="5">
        <f t="shared" si="733"/>
        <v>1</v>
      </c>
      <c r="M2591" s="5">
        <f t="shared" si="734"/>
        <v>2024</v>
      </c>
      <c r="N2591" s="6">
        <v>1000</v>
      </c>
      <c r="P2591" s="6">
        <f t="shared" si="740"/>
        <v>1000</v>
      </c>
      <c r="Q2591" s="7">
        <f t="shared" si="739"/>
        <v>4190841.1500000008</v>
      </c>
      <c r="R2591" s="44" t="str">
        <f>VLOOKUP(F2591,'Set up'!$A$2:$E$55,5,FALSE)</f>
        <v>Trsf</v>
      </c>
    </row>
    <row r="2592" spans="1:19" ht="15" customHeight="1" x14ac:dyDescent="0.3">
      <c r="A2592" s="4">
        <v>45323</v>
      </c>
      <c r="B2592" s="5">
        <f t="shared" ref="B2592:B2655" si="741">MONTH(A2592)</f>
        <v>2</v>
      </c>
      <c r="C2592" s="5">
        <f t="shared" ref="C2592:C2655" si="742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8" t="s">
        <v>95</v>
      </c>
      <c r="H2592" s="13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32"/>
        <v>45323</v>
      </c>
      <c r="L2592" s="5">
        <f t="shared" si="733"/>
        <v>2</v>
      </c>
      <c r="M2592" s="5">
        <f t="shared" si="734"/>
        <v>2024</v>
      </c>
      <c r="N2592" s="6">
        <v>1738</v>
      </c>
      <c r="P2592" s="6">
        <v>1738</v>
      </c>
      <c r="Q2592" s="7">
        <f t="shared" si="739"/>
        <v>4192579.1500000008</v>
      </c>
      <c r="R2592" s="44" t="str">
        <f>VLOOKUP(F2592,'Set up'!$A$2:$E$55,5,FALSE)</f>
        <v>Trsf</v>
      </c>
    </row>
    <row r="2593" spans="1:19" ht="15" customHeight="1" x14ac:dyDescent="0.3">
      <c r="A2593" s="4">
        <v>45323</v>
      </c>
      <c r="B2593" s="5">
        <f t="shared" si="741"/>
        <v>2</v>
      </c>
      <c r="C2593" s="5">
        <f t="shared" si="742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8" t="s">
        <v>2212</v>
      </c>
      <c r="H2593" s="13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32"/>
        <v>45323</v>
      </c>
      <c r="L2593" s="5">
        <f t="shared" si="733"/>
        <v>2</v>
      </c>
      <c r="M2593" s="5">
        <f t="shared" si="734"/>
        <v>2024</v>
      </c>
      <c r="N2593" s="6">
        <v>405</v>
      </c>
      <c r="P2593" s="6">
        <v>405</v>
      </c>
      <c r="Q2593" s="7">
        <f t="shared" si="739"/>
        <v>4192984.1500000008</v>
      </c>
      <c r="R2593" s="44" t="str">
        <f>VLOOKUP(F2593,'Set up'!$A$2:$E$55,5,FALSE)</f>
        <v>Trsf</v>
      </c>
    </row>
    <row r="2594" spans="1:19" ht="15" customHeight="1" x14ac:dyDescent="0.3">
      <c r="A2594" s="4">
        <v>45323</v>
      </c>
      <c r="B2594" s="5">
        <f t="shared" si="741"/>
        <v>2</v>
      </c>
      <c r="C2594" s="5">
        <f t="shared" si="742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8" t="s">
        <v>46</v>
      </c>
      <c r="H2594" s="13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32"/>
        <v>45323</v>
      </c>
      <c r="L2594" s="5">
        <f t="shared" si="733"/>
        <v>2</v>
      </c>
      <c r="M2594" s="5">
        <f t="shared" si="734"/>
        <v>2024</v>
      </c>
      <c r="N2594" s="6">
        <v>110</v>
      </c>
      <c r="P2594" s="6">
        <v>110</v>
      </c>
      <c r="Q2594" s="7">
        <f t="shared" si="739"/>
        <v>4193094.1500000008</v>
      </c>
      <c r="R2594" s="44" t="str">
        <f>VLOOKUP(F2594,'Set up'!$A$2:$E$55,5,FALSE)</f>
        <v>Trsf</v>
      </c>
    </row>
    <row r="2595" spans="1:19" ht="15" customHeight="1" x14ac:dyDescent="0.3">
      <c r="A2595" s="4">
        <v>45323</v>
      </c>
      <c r="B2595" s="5">
        <f t="shared" si="741"/>
        <v>2</v>
      </c>
      <c r="C2595" s="5">
        <f t="shared" si="742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8" t="s">
        <v>1470</v>
      </c>
      <c r="H2595" s="13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32"/>
        <v>45323</v>
      </c>
      <c r="L2595" s="5">
        <f t="shared" si="733"/>
        <v>2</v>
      </c>
      <c r="M2595" s="5">
        <f t="shared" si="734"/>
        <v>2024</v>
      </c>
      <c r="N2595" s="6">
        <v>390</v>
      </c>
      <c r="P2595" s="6">
        <v>390</v>
      </c>
      <c r="Q2595" s="7">
        <f t="shared" si="739"/>
        <v>4193484.1500000008</v>
      </c>
      <c r="R2595" s="44" t="str">
        <f>VLOOKUP(F2595,'Set up'!$A$2:$E$55,5,FALSE)</f>
        <v>Trsf</v>
      </c>
    </row>
    <row r="2596" spans="1:19" ht="15" customHeight="1" x14ac:dyDescent="0.3">
      <c r="A2596" s="4">
        <v>45324</v>
      </c>
      <c r="B2596" s="5">
        <f t="shared" si="741"/>
        <v>2</v>
      </c>
      <c r="C2596" s="5">
        <f t="shared" si="742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8" t="s">
        <v>1895</v>
      </c>
      <c r="H2596" s="13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32"/>
        <v>45354</v>
      </c>
      <c r="L2596" s="5">
        <f t="shared" si="733"/>
        <v>3</v>
      </c>
      <c r="M2596" s="5">
        <f t="shared" si="734"/>
        <v>2024</v>
      </c>
      <c r="N2596" s="6">
        <v>5214</v>
      </c>
      <c r="O2596" s="6">
        <f t="shared" ref="O2596:O2600" si="743">-N2596</f>
        <v>-5214</v>
      </c>
      <c r="P2596" s="6">
        <f t="shared" ref="P2596:P2600" si="744">SUM(N2596+O2596)</f>
        <v>0</v>
      </c>
      <c r="Q2596" s="7">
        <f t="shared" si="739"/>
        <v>4198698.1500000004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41"/>
        <v>2</v>
      </c>
      <c r="C2597" s="5">
        <f t="shared" si="742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8" t="s">
        <v>2214</v>
      </c>
      <c r="H2597" s="13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32"/>
        <v>45354</v>
      </c>
      <c r="L2597" s="5">
        <f t="shared" si="733"/>
        <v>3</v>
      </c>
      <c r="M2597" s="5">
        <f t="shared" si="734"/>
        <v>2024</v>
      </c>
      <c r="N2597" s="6">
        <v>2613</v>
      </c>
      <c r="O2597" s="6">
        <f t="shared" si="743"/>
        <v>-2613</v>
      </c>
      <c r="P2597" s="6">
        <f t="shared" si="744"/>
        <v>0</v>
      </c>
      <c r="Q2597" s="7">
        <f t="shared" si="739"/>
        <v>4201311.1500000004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41"/>
        <v>2</v>
      </c>
      <c r="C2598" s="5">
        <f t="shared" si="742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8" t="s">
        <v>1406</v>
      </c>
      <c r="H2598" s="13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32"/>
        <v>45354</v>
      </c>
      <c r="L2598" s="5">
        <f t="shared" si="733"/>
        <v>3</v>
      </c>
      <c r="M2598" s="5">
        <f t="shared" si="734"/>
        <v>2024</v>
      </c>
      <c r="N2598" s="6">
        <v>144</v>
      </c>
      <c r="O2598" s="6">
        <f t="shared" si="743"/>
        <v>-144</v>
      </c>
      <c r="P2598" s="6">
        <f t="shared" si="744"/>
        <v>0</v>
      </c>
      <c r="Q2598" s="7">
        <f t="shared" si="739"/>
        <v>4201455.1500000004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41"/>
        <v>2</v>
      </c>
      <c r="C2599" s="5">
        <f t="shared" si="742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8" t="s">
        <v>2200</v>
      </c>
      <c r="H2599" s="13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32"/>
        <v>45354</v>
      </c>
      <c r="L2599" s="5">
        <f t="shared" si="733"/>
        <v>3</v>
      </c>
      <c r="M2599" s="5">
        <f t="shared" si="734"/>
        <v>2024</v>
      </c>
      <c r="N2599" s="6">
        <v>187.5</v>
      </c>
      <c r="O2599" s="6">
        <f t="shared" si="743"/>
        <v>-187.5</v>
      </c>
      <c r="P2599" s="6">
        <f t="shared" si="744"/>
        <v>0</v>
      </c>
      <c r="Q2599" s="7">
        <f t="shared" si="739"/>
        <v>4201642.6500000004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41"/>
        <v>2</v>
      </c>
      <c r="C2600" s="5">
        <f t="shared" si="742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8" t="s">
        <v>1062</v>
      </c>
      <c r="H2600" s="13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32"/>
        <v>45354</v>
      </c>
      <c r="L2600" s="5">
        <f t="shared" si="733"/>
        <v>3</v>
      </c>
      <c r="M2600" s="5">
        <f t="shared" si="734"/>
        <v>2024</v>
      </c>
      <c r="N2600" s="6">
        <v>190</v>
      </c>
      <c r="O2600" s="6">
        <f t="shared" si="743"/>
        <v>-190</v>
      </c>
      <c r="P2600" s="6">
        <f t="shared" si="744"/>
        <v>0</v>
      </c>
      <c r="Q2600" s="7">
        <f t="shared" si="739"/>
        <v>4201832.6500000004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41"/>
        <v>2</v>
      </c>
      <c r="C2601" s="5">
        <f t="shared" si="742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8" t="s">
        <v>2352</v>
      </c>
      <c r="H2601" s="13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32"/>
        <v>45324</v>
      </c>
      <c r="L2601" s="5">
        <f t="shared" si="733"/>
        <v>2</v>
      </c>
      <c r="M2601" s="5">
        <f t="shared" si="734"/>
        <v>2024</v>
      </c>
      <c r="N2601" s="6">
        <v>555</v>
      </c>
      <c r="O2601" s="6">
        <f t="shared" ref="O2601" si="745">-N2601</f>
        <v>-555</v>
      </c>
      <c r="P2601" s="6">
        <f t="shared" ref="P2601" si="746">SUM(N2601+O2601)</f>
        <v>0</v>
      </c>
      <c r="Q2601" s="7">
        <f t="shared" si="739"/>
        <v>4202387.6500000004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41"/>
        <v>2</v>
      </c>
      <c r="C2602" s="5">
        <f t="shared" si="742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8" t="s">
        <v>2200</v>
      </c>
      <c r="H2602" s="13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32"/>
        <v>45325</v>
      </c>
      <c r="L2602" s="5">
        <f t="shared" si="733"/>
        <v>2</v>
      </c>
      <c r="M2602" s="5">
        <f t="shared" si="734"/>
        <v>2024</v>
      </c>
      <c r="N2602" s="6">
        <v>187.5</v>
      </c>
      <c r="P2602" s="6">
        <v>187.5</v>
      </c>
      <c r="Q2602" s="7">
        <f t="shared" si="739"/>
        <v>4202575.1500000004</v>
      </c>
      <c r="R2602" s="44" t="str">
        <f>VLOOKUP(F2602,'Set up'!$A$2:$E$55,5,FALSE)</f>
        <v>Trsf</v>
      </c>
    </row>
    <row r="2603" spans="1:19" ht="15" customHeight="1" x14ac:dyDescent="0.3">
      <c r="A2603" s="4">
        <v>45325</v>
      </c>
      <c r="B2603" s="5">
        <f t="shared" si="741"/>
        <v>2</v>
      </c>
      <c r="C2603" s="5">
        <f t="shared" si="742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8" t="s">
        <v>1895</v>
      </c>
      <c r="H2603" s="13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32"/>
        <v>45325</v>
      </c>
      <c r="L2603" s="5">
        <f t="shared" si="733"/>
        <v>2</v>
      </c>
      <c r="M2603" s="5">
        <f t="shared" si="734"/>
        <v>2024</v>
      </c>
      <c r="N2603" s="6">
        <v>4818</v>
      </c>
      <c r="P2603" s="6">
        <v>4818</v>
      </c>
      <c r="Q2603" s="7">
        <f t="shared" si="739"/>
        <v>4207393.1500000004</v>
      </c>
      <c r="R2603" s="44" t="str">
        <f>VLOOKUP(F2603,'Set up'!$A$2:$E$55,5,FALSE)</f>
        <v>Trsf</v>
      </c>
    </row>
    <row r="2604" spans="1:19" ht="15" customHeight="1" x14ac:dyDescent="0.3">
      <c r="A2604" s="4">
        <v>45325</v>
      </c>
      <c r="B2604" s="5">
        <f t="shared" si="741"/>
        <v>2</v>
      </c>
      <c r="C2604" s="5">
        <f t="shared" si="742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8" t="s">
        <v>1797</v>
      </c>
      <c r="H2604" s="13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32"/>
        <v>45325</v>
      </c>
      <c r="L2604" s="5">
        <f t="shared" si="733"/>
        <v>2</v>
      </c>
      <c r="M2604" s="5">
        <f t="shared" si="734"/>
        <v>2024</v>
      </c>
      <c r="N2604" s="6">
        <v>174</v>
      </c>
      <c r="P2604" s="6">
        <v>174</v>
      </c>
      <c r="Q2604" s="7">
        <f t="shared" si="739"/>
        <v>4207567.1500000004</v>
      </c>
      <c r="R2604" s="44" t="str">
        <f>VLOOKUP(F2604,'Set up'!$A$2:$E$55,5,FALSE)</f>
        <v>Trsf</v>
      </c>
    </row>
    <row r="2605" spans="1:19" ht="15" customHeight="1" x14ac:dyDescent="0.3">
      <c r="A2605" s="4">
        <v>45325</v>
      </c>
      <c r="B2605" s="5">
        <f t="shared" si="741"/>
        <v>2</v>
      </c>
      <c r="C2605" s="5">
        <f t="shared" si="742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8" t="s">
        <v>2352</v>
      </c>
      <c r="H2605" s="13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32"/>
        <v>45325</v>
      </c>
      <c r="L2605" s="5">
        <f t="shared" si="733"/>
        <v>2</v>
      </c>
      <c r="M2605" s="5">
        <f t="shared" si="734"/>
        <v>2024</v>
      </c>
      <c r="N2605" s="6">
        <v>1716.8</v>
      </c>
      <c r="P2605" s="6">
        <v>1716.8</v>
      </c>
      <c r="Q2605" s="7">
        <f t="shared" si="739"/>
        <v>4209283.95</v>
      </c>
      <c r="R2605" s="44" t="str">
        <f>VLOOKUP(F2605,'Set up'!$A$2:$E$55,5,FALSE)</f>
        <v>Trsf</v>
      </c>
    </row>
    <row r="2606" spans="1:19" ht="15" customHeight="1" x14ac:dyDescent="0.3">
      <c r="A2606" s="4">
        <v>45325</v>
      </c>
      <c r="B2606" s="5">
        <f t="shared" si="741"/>
        <v>2</v>
      </c>
      <c r="C2606" s="5">
        <f t="shared" si="742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8" t="s">
        <v>2031</v>
      </c>
      <c r="H2606" s="13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32"/>
        <v>45325</v>
      </c>
      <c r="L2606" s="5">
        <f t="shared" si="733"/>
        <v>2</v>
      </c>
      <c r="M2606" s="5">
        <f t="shared" si="734"/>
        <v>2024</v>
      </c>
      <c r="N2606" s="6">
        <v>1040</v>
      </c>
      <c r="P2606" s="6">
        <v>1040</v>
      </c>
      <c r="Q2606" s="7">
        <f t="shared" si="739"/>
        <v>4210323.95</v>
      </c>
      <c r="R2606" s="44" t="str">
        <f>VLOOKUP(F2606,'Set up'!$A$2:$E$55,5,FALSE)</f>
        <v>Trsf</v>
      </c>
    </row>
    <row r="2607" spans="1:19" ht="15" customHeight="1" x14ac:dyDescent="0.3">
      <c r="A2607" s="4">
        <v>45325</v>
      </c>
      <c r="B2607" s="5">
        <f t="shared" si="741"/>
        <v>2</v>
      </c>
      <c r="C2607" s="5">
        <f t="shared" si="742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8" t="s">
        <v>2003</v>
      </c>
      <c r="H2607" s="13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32"/>
        <v>45325</v>
      </c>
      <c r="L2607" s="5">
        <f t="shared" si="733"/>
        <v>2</v>
      </c>
      <c r="M2607" s="5">
        <f t="shared" si="734"/>
        <v>2024</v>
      </c>
      <c r="N2607" s="6">
        <v>1800</v>
      </c>
      <c r="P2607" s="6">
        <v>1800</v>
      </c>
      <c r="Q2607" s="7">
        <f t="shared" si="739"/>
        <v>4212123.95</v>
      </c>
      <c r="R2607" s="44" t="str">
        <f>VLOOKUP(F2607,'Set up'!$A$2:$E$55,5,FALSE)</f>
        <v>Trsf</v>
      </c>
    </row>
    <row r="2608" spans="1:19" ht="15" customHeight="1" x14ac:dyDescent="0.3">
      <c r="A2608" s="4">
        <v>45325</v>
      </c>
      <c r="B2608" s="5">
        <f t="shared" si="741"/>
        <v>2</v>
      </c>
      <c r="C2608" s="5">
        <f t="shared" si="742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8" t="s">
        <v>1062</v>
      </c>
      <c r="H2608" s="13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32"/>
        <v>45325</v>
      </c>
      <c r="L2608" s="5">
        <f t="shared" si="733"/>
        <v>2</v>
      </c>
      <c r="M2608" s="5">
        <f t="shared" si="734"/>
        <v>2024</v>
      </c>
      <c r="N2608" s="6">
        <v>380</v>
      </c>
      <c r="P2608" s="6">
        <v>380</v>
      </c>
      <c r="Q2608" s="7">
        <f t="shared" si="739"/>
        <v>4212503.95</v>
      </c>
      <c r="R2608" s="44" t="str">
        <f>VLOOKUP(F2608,'Set up'!$A$2:$E$55,5,FALSE)</f>
        <v>Trsf</v>
      </c>
    </row>
    <row r="2609" spans="1:19" ht="15" customHeight="1" x14ac:dyDescent="0.3">
      <c r="A2609" s="4">
        <v>45325</v>
      </c>
      <c r="B2609" s="5">
        <f t="shared" si="741"/>
        <v>2</v>
      </c>
      <c r="C2609" s="5">
        <f t="shared" si="742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8" t="s">
        <v>1074</v>
      </c>
      <c r="H2609" s="13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32"/>
        <v>45325</v>
      </c>
      <c r="L2609" s="5">
        <f t="shared" si="733"/>
        <v>2</v>
      </c>
      <c r="M2609" s="5">
        <f t="shared" si="734"/>
        <v>2024</v>
      </c>
      <c r="N2609" s="6">
        <v>1000</v>
      </c>
      <c r="P2609" s="6">
        <v>1000</v>
      </c>
      <c r="Q2609" s="7">
        <f t="shared" si="739"/>
        <v>4213503.95</v>
      </c>
      <c r="R2609" s="44" t="str">
        <f>VLOOKUP(F2609,'Set up'!$A$2:$E$55,5,FALSE)</f>
        <v>Trsf</v>
      </c>
    </row>
    <row r="2610" spans="1:19" ht="15" customHeight="1" x14ac:dyDescent="0.3">
      <c r="A2610" s="4">
        <v>45327</v>
      </c>
      <c r="B2610" s="5">
        <f t="shared" si="741"/>
        <v>2</v>
      </c>
      <c r="C2610" s="5">
        <f t="shared" si="742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8" t="s">
        <v>1179</v>
      </c>
      <c r="H2610" s="13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32"/>
        <v>45447</v>
      </c>
      <c r="L2610" s="5">
        <f t="shared" si="733"/>
        <v>6</v>
      </c>
      <c r="M2610" s="5">
        <f t="shared" si="734"/>
        <v>2024</v>
      </c>
      <c r="N2610" s="6">
        <v>12848</v>
      </c>
      <c r="P2610" s="6">
        <v>12848</v>
      </c>
      <c r="Q2610" s="7">
        <f t="shared" si="739"/>
        <v>4226351.95</v>
      </c>
      <c r="R2610" s="44" t="str">
        <f>VLOOKUP(F2610,'Set up'!$A$2:$E$55,5,FALSE)</f>
        <v>Trsf</v>
      </c>
    </row>
    <row r="2611" spans="1:19" ht="15" customHeight="1" x14ac:dyDescent="0.3">
      <c r="A2611" s="4">
        <v>45327</v>
      </c>
      <c r="B2611" s="5">
        <f t="shared" si="741"/>
        <v>2</v>
      </c>
      <c r="C2611" s="5">
        <f t="shared" si="742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8" t="s">
        <v>1393</v>
      </c>
      <c r="H2611" s="13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32"/>
        <v>45447</v>
      </c>
      <c r="L2611" s="5">
        <f t="shared" si="733"/>
        <v>6</v>
      </c>
      <c r="M2611" s="5">
        <f t="shared" si="734"/>
        <v>2024</v>
      </c>
      <c r="N2611" s="6">
        <v>1740</v>
      </c>
      <c r="P2611" s="6">
        <v>1740</v>
      </c>
      <c r="Q2611" s="7">
        <f t="shared" si="739"/>
        <v>4228091.95</v>
      </c>
      <c r="R2611" s="44" t="str">
        <f>VLOOKUP(F2611,'Set up'!$A$2:$E$55,5,FALSE)</f>
        <v>Trsf</v>
      </c>
    </row>
    <row r="2612" spans="1:19" ht="15" customHeight="1" x14ac:dyDescent="0.3">
      <c r="A2612" s="4">
        <v>45327</v>
      </c>
      <c r="B2612" s="5">
        <f t="shared" si="741"/>
        <v>2</v>
      </c>
      <c r="C2612" s="5">
        <f t="shared" si="742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8" t="s">
        <v>792</v>
      </c>
      <c r="H2612" s="13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32"/>
        <v>45447</v>
      </c>
      <c r="L2612" s="5">
        <f t="shared" si="733"/>
        <v>6</v>
      </c>
      <c r="M2612" s="5">
        <f t="shared" si="734"/>
        <v>2024</v>
      </c>
      <c r="N2612" s="6">
        <v>575</v>
      </c>
      <c r="P2612" s="6">
        <v>575</v>
      </c>
      <c r="Q2612" s="7">
        <f t="shared" si="739"/>
        <v>4228666.95</v>
      </c>
      <c r="R2612" s="44" t="str">
        <f>VLOOKUP(F2612,'Set up'!$A$2:$E$55,5,FALSE)</f>
        <v>Trsf</v>
      </c>
    </row>
    <row r="2613" spans="1:19" ht="15" customHeight="1" x14ac:dyDescent="0.3">
      <c r="A2613" s="4">
        <v>45327</v>
      </c>
      <c r="B2613" s="5">
        <f t="shared" si="741"/>
        <v>2</v>
      </c>
      <c r="C2613" s="5">
        <f t="shared" si="742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8" t="s">
        <v>46</v>
      </c>
      <c r="H2613" s="13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32"/>
        <v>45447</v>
      </c>
      <c r="L2613" s="5">
        <f t="shared" si="733"/>
        <v>6</v>
      </c>
      <c r="M2613" s="5">
        <f t="shared" si="734"/>
        <v>2024</v>
      </c>
      <c r="N2613" s="6">
        <v>880</v>
      </c>
      <c r="P2613" s="6">
        <v>880</v>
      </c>
      <c r="Q2613" s="7">
        <f t="shared" si="739"/>
        <v>4229546.95</v>
      </c>
      <c r="R2613" s="44" t="str">
        <f>VLOOKUP(F2613,'Set up'!$A$2:$E$55,5,FALSE)</f>
        <v>Trsf</v>
      </c>
    </row>
    <row r="2614" spans="1:19" ht="15" customHeight="1" x14ac:dyDescent="0.3">
      <c r="A2614" s="4">
        <v>45327</v>
      </c>
      <c r="B2614" s="5">
        <f t="shared" si="741"/>
        <v>2</v>
      </c>
      <c r="C2614" s="5">
        <f t="shared" si="742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8" t="s">
        <v>945</v>
      </c>
      <c r="H2614" s="13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32"/>
        <v>45447</v>
      </c>
      <c r="L2614" s="5">
        <f t="shared" si="733"/>
        <v>6</v>
      </c>
      <c r="M2614" s="5">
        <f t="shared" si="734"/>
        <v>2024</v>
      </c>
      <c r="N2614" s="6">
        <v>420</v>
      </c>
      <c r="P2614" s="6">
        <v>420</v>
      </c>
      <c r="Q2614" s="7">
        <f t="shared" si="739"/>
        <v>4229966.95</v>
      </c>
      <c r="R2614" s="44" t="str">
        <f>VLOOKUP(F2614,'Set up'!$A$2:$E$55,5,FALSE)</f>
        <v>Trsf</v>
      </c>
    </row>
    <row r="2615" spans="1:19" ht="15" customHeight="1" x14ac:dyDescent="0.3">
      <c r="A2615" s="4">
        <v>45327</v>
      </c>
      <c r="B2615" s="5">
        <f t="shared" si="741"/>
        <v>2</v>
      </c>
      <c r="C2615" s="5">
        <f t="shared" si="742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8" t="s">
        <v>615</v>
      </c>
      <c r="H2615" s="13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32"/>
        <v>45447</v>
      </c>
      <c r="L2615" s="5">
        <f t="shared" si="733"/>
        <v>6</v>
      </c>
      <c r="M2615" s="5">
        <f t="shared" si="734"/>
        <v>2024</v>
      </c>
      <c r="N2615" s="6">
        <v>395</v>
      </c>
      <c r="P2615" s="6">
        <v>395</v>
      </c>
      <c r="Q2615" s="7">
        <f t="shared" si="739"/>
        <v>4230361.95</v>
      </c>
      <c r="R2615" s="44" t="str">
        <f>VLOOKUP(F2615,'Set up'!$A$2:$E$55,5,FALSE)</f>
        <v>Trsf</v>
      </c>
    </row>
    <row r="2616" spans="1:19" ht="15" customHeight="1" x14ac:dyDescent="0.3">
      <c r="A2616" s="4">
        <v>45328</v>
      </c>
      <c r="B2616" s="5">
        <f t="shared" si="741"/>
        <v>2</v>
      </c>
      <c r="C2616" s="5">
        <f t="shared" si="742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8" t="s">
        <v>2200</v>
      </c>
      <c r="H2616" s="13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32"/>
        <v>45328</v>
      </c>
      <c r="L2616" s="5">
        <f t="shared" si="733"/>
        <v>2</v>
      </c>
      <c r="M2616" s="5">
        <f t="shared" si="734"/>
        <v>2024</v>
      </c>
      <c r="N2616" s="6">
        <v>812.5</v>
      </c>
      <c r="P2616" s="6">
        <v>812.5</v>
      </c>
      <c r="Q2616" s="7">
        <f t="shared" si="739"/>
        <v>4231174.45</v>
      </c>
      <c r="R2616" s="44" t="str">
        <f>VLOOKUP(F2616,'Set up'!$A$2:$E$55,5,FALSE)</f>
        <v>Trsf</v>
      </c>
    </row>
    <row r="2617" spans="1:19" ht="15" customHeight="1" x14ac:dyDescent="0.3">
      <c r="A2617" s="4">
        <v>45328</v>
      </c>
      <c r="B2617" s="5">
        <f t="shared" si="741"/>
        <v>2</v>
      </c>
      <c r="C2617" s="5">
        <f t="shared" si="742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8" t="s">
        <v>1895</v>
      </c>
      <c r="H2617" s="13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32"/>
        <v>45328</v>
      </c>
      <c r="L2617" s="5">
        <f t="shared" si="733"/>
        <v>2</v>
      </c>
      <c r="M2617" s="5">
        <f t="shared" si="734"/>
        <v>2024</v>
      </c>
      <c r="N2617" s="6">
        <v>19272</v>
      </c>
      <c r="P2617" s="6">
        <v>19272</v>
      </c>
      <c r="Q2617" s="7">
        <f t="shared" si="739"/>
        <v>4250446.45</v>
      </c>
      <c r="R2617" s="44" t="str">
        <f>VLOOKUP(F2617,'Set up'!$A$2:$E$55,5,FALSE)</f>
        <v>Trsf</v>
      </c>
    </row>
    <row r="2618" spans="1:19" ht="15" customHeight="1" x14ac:dyDescent="0.3">
      <c r="A2618" s="4">
        <v>45328</v>
      </c>
      <c r="B2618" s="5">
        <f t="shared" si="741"/>
        <v>2</v>
      </c>
      <c r="C2618" s="5">
        <f t="shared" si="742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8" t="s">
        <v>1797</v>
      </c>
      <c r="H2618" s="13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32"/>
        <v>45328</v>
      </c>
      <c r="L2618" s="5">
        <f t="shared" si="733"/>
        <v>2</v>
      </c>
      <c r="M2618" s="5">
        <f t="shared" si="734"/>
        <v>2024</v>
      </c>
      <c r="N2618" s="6">
        <v>5742</v>
      </c>
      <c r="P2618" s="6">
        <v>5742</v>
      </c>
      <c r="Q2618" s="7">
        <f t="shared" si="739"/>
        <v>4256188.45</v>
      </c>
      <c r="R2618" s="44" t="str">
        <f>VLOOKUP(F2618,'Set up'!$A$2:$E$55,5,FALSE)</f>
        <v>Trsf</v>
      </c>
    </row>
    <row r="2619" spans="1:19" ht="15" customHeight="1" x14ac:dyDescent="0.3">
      <c r="A2619" s="4">
        <v>45328</v>
      </c>
      <c r="B2619" s="5">
        <f t="shared" si="741"/>
        <v>2</v>
      </c>
      <c r="C2619" s="5">
        <f t="shared" si="742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8" t="s">
        <v>1923</v>
      </c>
      <c r="H2619" s="13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32"/>
        <v>45328</v>
      </c>
      <c r="L2619" s="5">
        <f t="shared" si="733"/>
        <v>2</v>
      </c>
      <c r="M2619" s="5">
        <f t="shared" si="734"/>
        <v>2024</v>
      </c>
      <c r="N2619" s="6">
        <v>4914</v>
      </c>
      <c r="P2619" s="6">
        <v>4914</v>
      </c>
      <c r="Q2619" s="7">
        <f t="shared" si="739"/>
        <v>4261102.45</v>
      </c>
      <c r="R2619" s="44" t="str">
        <f>VLOOKUP(F2619,'Set up'!$A$2:$E$55,5,FALSE)</f>
        <v>Trsf</v>
      </c>
    </row>
    <row r="2620" spans="1:19" ht="15" customHeight="1" x14ac:dyDescent="0.3">
      <c r="A2620" s="4">
        <v>45328</v>
      </c>
      <c r="B2620" s="5">
        <f t="shared" si="741"/>
        <v>2</v>
      </c>
      <c r="C2620" s="5">
        <f t="shared" si="742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8" t="s">
        <v>1062</v>
      </c>
      <c r="H2620" s="13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32"/>
        <v>45328</v>
      </c>
      <c r="L2620" s="5">
        <f t="shared" si="733"/>
        <v>2</v>
      </c>
      <c r="M2620" s="5">
        <f t="shared" si="734"/>
        <v>2024</v>
      </c>
      <c r="N2620" s="6">
        <v>380</v>
      </c>
      <c r="P2620" s="6">
        <v>380</v>
      </c>
      <c r="Q2620" s="7">
        <f t="shared" si="739"/>
        <v>4261482.45</v>
      </c>
      <c r="R2620" s="44" t="str">
        <f>VLOOKUP(F2620,'Set up'!$A$2:$E$55,5,FALSE)</f>
        <v>Trsf</v>
      </c>
    </row>
    <row r="2621" spans="1:19" ht="15" customHeight="1" x14ac:dyDescent="0.3">
      <c r="A2621" s="4">
        <v>45328</v>
      </c>
      <c r="B2621" s="5">
        <f t="shared" si="741"/>
        <v>2</v>
      </c>
      <c r="C2621" s="5">
        <f t="shared" si="742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8" t="s">
        <v>1734</v>
      </c>
      <c r="H2621" s="13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32"/>
        <v>45328</v>
      </c>
      <c r="L2621" s="5">
        <f t="shared" si="733"/>
        <v>2</v>
      </c>
      <c r="M2621" s="5">
        <f t="shared" si="734"/>
        <v>2024</v>
      </c>
      <c r="N2621" s="6">
        <v>1738</v>
      </c>
      <c r="O2621" s="6">
        <f t="shared" ref="O2621:O2627" si="747">-N2621</f>
        <v>-1738</v>
      </c>
      <c r="P2621" s="6">
        <f t="shared" ref="P2621:P2627" si="748">SUM(N2621+O2621)</f>
        <v>0</v>
      </c>
      <c r="Q2621" s="7">
        <f t="shared" si="739"/>
        <v>4263220.45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41"/>
        <v>2</v>
      </c>
      <c r="C2622" s="5">
        <f t="shared" si="742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8" t="s">
        <v>641</v>
      </c>
      <c r="H2622" s="13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32"/>
        <v>45328</v>
      </c>
      <c r="L2622" s="5">
        <f t="shared" si="733"/>
        <v>2</v>
      </c>
      <c r="M2622" s="5">
        <f t="shared" si="734"/>
        <v>2024</v>
      </c>
      <c r="N2622" s="6">
        <v>250</v>
      </c>
      <c r="O2622" s="6">
        <f t="shared" si="747"/>
        <v>-250</v>
      </c>
      <c r="P2622" s="6">
        <f t="shared" si="748"/>
        <v>0</v>
      </c>
      <c r="Q2622" s="7">
        <f t="shared" si="739"/>
        <v>4263470.45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41"/>
        <v>2</v>
      </c>
      <c r="C2623" s="5">
        <f t="shared" si="742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8" t="s">
        <v>2215</v>
      </c>
      <c r="H2623" s="13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32"/>
        <v>45328</v>
      </c>
      <c r="L2623" s="5">
        <f t="shared" si="733"/>
        <v>2</v>
      </c>
      <c r="M2623" s="5">
        <f t="shared" si="734"/>
        <v>2024</v>
      </c>
      <c r="N2623" s="6">
        <v>283.8</v>
      </c>
      <c r="O2623" s="6">
        <f t="shared" si="747"/>
        <v>-283.8</v>
      </c>
      <c r="P2623" s="6">
        <f t="shared" si="748"/>
        <v>0</v>
      </c>
      <c r="Q2623" s="7">
        <f t="shared" si="739"/>
        <v>4263754.25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41"/>
        <v>2</v>
      </c>
      <c r="C2624" s="5">
        <f t="shared" si="742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8" t="s">
        <v>1744</v>
      </c>
      <c r="H2624" s="13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32"/>
        <v>45328</v>
      </c>
      <c r="L2624" s="5">
        <f t="shared" si="733"/>
        <v>2</v>
      </c>
      <c r="M2624" s="5">
        <f t="shared" si="734"/>
        <v>2024</v>
      </c>
      <c r="N2624" s="6">
        <v>55.2</v>
      </c>
      <c r="O2624" s="6">
        <f t="shared" si="747"/>
        <v>-55.2</v>
      </c>
      <c r="P2624" s="6">
        <f t="shared" si="748"/>
        <v>0</v>
      </c>
      <c r="Q2624" s="7">
        <f t="shared" si="739"/>
        <v>4263809.45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41"/>
        <v>2</v>
      </c>
      <c r="C2625" s="5">
        <f t="shared" si="742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8" t="s">
        <v>1400</v>
      </c>
      <c r="H2625" s="13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32"/>
        <v>45328</v>
      </c>
      <c r="L2625" s="5">
        <f t="shared" si="733"/>
        <v>2</v>
      </c>
      <c r="M2625" s="5">
        <f t="shared" si="734"/>
        <v>2024</v>
      </c>
      <c r="N2625" s="6">
        <v>160</v>
      </c>
      <c r="O2625" s="6">
        <f t="shared" si="747"/>
        <v>-160</v>
      </c>
      <c r="P2625" s="6">
        <f t="shared" si="748"/>
        <v>0</v>
      </c>
      <c r="Q2625" s="7">
        <f t="shared" si="739"/>
        <v>4263969.45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41"/>
        <v>2</v>
      </c>
      <c r="C2626" s="5">
        <f t="shared" si="742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8" t="s">
        <v>950</v>
      </c>
      <c r="H2626" s="13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32"/>
        <v>45328</v>
      </c>
      <c r="L2626" s="5">
        <f t="shared" si="733"/>
        <v>2</v>
      </c>
      <c r="M2626" s="5">
        <f t="shared" si="734"/>
        <v>2024</v>
      </c>
      <c r="N2626" s="6">
        <v>120</v>
      </c>
      <c r="O2626" s="6">
        <f t="shared" si="747"/>
        <v>-120</v>
      </c>
      <c r="P2626" s="6">
        <f t="shared" si="748"/>
        <v>0</v>
      </c>
      <c r="Q2626" s="7">
        <f t="shared" si="739"/>
        <v>4264089.45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41"/>
        <v>2</v>
      </c>
      <c r="C2627" s="5">
        <f t="shared" si="742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8" t="s">
        <v>1739</v>
      </c>
      <c r="H2627" s="13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49">A2627+J2627</f>
        <v>45330</v>
      </c>
      <c r="L2627" s="5">
        <f t="shared" ref="L2627:L2690" si="750">MONTH(K2627)</f>
        <v>2</v>
      </c>
      <c r="M2627" s="5">
        <f t="shared" ref="M2627:M2690" si="751">YEAR(K2627)</f>
        <v>2024</v>
      </c>
      <c r="N2627" s="6">
        <v>1694</v>
      </c>
      <c r="O2627" s="6">
        <f t="shared" si="747"/>
        <v>-1694</v>
      </c>
      <c r="P2627" s="6">
        <f t="shared" si="748"/>
        <v>0</v>
      </c>
      <c r="Q2627" s="7">
        <f t="shared" si="739"/>
        <v>4265783.45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41"/>
        <v>2</v>
      </c>
      <c r="C2628" s="5">
        <f t="shared" si="742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8" t="s">
        <v>1179</v>
      </c>
      <c r="H2628" s="13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49"/>
        <v>45450</v>
      </c>
      <c r="L2628" s="5">
        <f t="shared" si="750"/>
        <v>6</v>
      </c>
      <c r="M2628" s="5">
        <f t="shared" si="751"/>
        <v>2024</v>
      </c>
      <c r="N2628" s="6">
        <v>9636</v>
      </c>
      <c r="P2628" s="6">
        <v>9636</v>
      </c>
      <c r="Q2628" s="7">
        <f t="shared" si="739"/>
        <v>4275419.45</v>
      </c>
      <c r="R2628" s="44" t="str">
        <f>VLOOKUP(F2628,'Set up'!$A$2:$E$55,5,FALSE)</f>
        <v>Trsf</v>
      </c>
    </row>
    <row r="2629" spans="1:19" ht="15" customHeight="1" x14ac:dyDescent="0.3">
      <c r="A2629" s="4">
        <v>45330</v>
      </c>
      <c r="B2629" s="5">
        <f t="shared" si="741"/>
        <v>2</v>
      </c>
      <c r="C2629" s="5">
        <f t="shared" si="742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8" t="s">
        <v>1393</v>
      </c>
      <c r="H2629" s="13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49"/>
        <v>45450</v>
      </c>
      <c r="L2629" s="5">
        <f t="shared" si="750"/>
        <v>6</v>
      </c>
      <c r="M2629" s="5">
        <f t="shared" si="751"/>
        <v>2024</v>
      </c>
      <c r="N2629" s="6">
        <v>1740</v>
      </c>
      <c r="P2629" s="6">
        <v>1740</v>
      </c>
      <c r="Q2629" s="7">
        <f t="shared" si="739"/>
        <v>4277159.45</v>
      </c>
      <c r="R2629" s="44" t="str">
        <f>VLOOKUP(F2629,'Set up'!$A$2:$E$55,5,FALSE)</f>
        <v>Trsf</v>
      </c>
    </row>
    <row r="2630" spans="1:19" ht="15" customHeight="1" x14ac:dyDescent="0.3">
      <c r="A2630" s="4">
        <v>45330</v>
      </c>
      <c r="B2630" s="5">
        <f t="shared" si="741"/>
        <v>2</v>
      </c>
      <c r="C2630" s="5">
        <f t="shared" si="742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8" t="s">
        <v>792</v>
      </c>
      <c r="H2630" s="13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49"/>
        <v>45450</v>
      </c>
      <c r="L2630" s="5">
        <f t="shared" si="750"/>
        <v>6</v>
      </c>
      <c r="M2630" s="5">
        <f t="shared" si="751"/>
        <v>2024</v>
      </c>
      <c r="N2630" s="6">
        <v>287.5</v>
      </c>
      <c r="P2630" s="6">
        <v>287.5</v>
      </c>
      <c r="Q2630" s="7">
        <f t="shared" si="739"/>
        <v>4277446.95</v>
      </c>
      <c r="R2630" s="44" t="str">
        <f>VLOOKUP(F2630,'Set up'!$A$2:$E$55,5,FALSE)</f>
        <v>Trsf</v>
      </c>
    </row>
    <row r="2631" spans="1:19" ht="15" customHeight="1" x14ac:dyDescent="0.3">
      <c r="A2631" s="4">
        <v>45330</v>
      </c>
      <c r="B2631" s="5">
        <f t="shared" si="741"/>
        <v>2</v>
      </c>
      <c r="C2631" s="5">
        <f t="shared" si="742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8" t="s">
        <v>46</v>
      </c>
      <c r="H2631" s="13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49"/>
        <v>45450</v>
      </c>
      <c r="L2631" s="5">
        <f t="shared" si="750"/>
        <v>6</v>
      </c>
      <c r="M2631" s="5">
        <f t="shared" si="751"/>
        <v>2024</v>
      </c>
      <c r="N2631" s="6">
        <v>440</v>
      </c>
      <c r="P2631" s="6">
        <v>440</v>
      </c>
      <c r="Q2631" s="7">
        <f t="shared" si="739"/>
        <v>4277886.95</v>
      </c>
      <c r="R2631" s="44" t="str">
        <f>VLOOKUP(F2631,'Set up'!$A$2:$E$55,5,FALSE)</f>
        <v>Trsf</v>
      </c>
    </row>
    <row r="2632" spans="1:19" ht="15" customHeight="1" x14ac:dyDescent="0.3">
      <c r="A2632" s="4">
        <v>45330</v>
      </c>
      <c r="B2632" s="5">
        <f t="shared" si="741"/>
        <v>2</v>
      </c>
      <c r="C2632" s="5">
        <f t="shared" si="742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8" t="s">
        <v>945</v>
      </c>
      <c r="H2632" s="13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49"/>
        <v>45450</v>
      </c>
      <c r="L2632" s="5">
        <f t="shared" si="750"/>
        <v>6</v>
      </c>
      <c r="M2632" s="5">
        <f t="shared" si="751"/>
        <v>2024</v>
      </c>
      <c r="N2632" s="6">
        <v>420</v>
      </c>
      <c r="P2632" s="6">
        <v>420</v>
      </c>
      <c r="Q2632" s="7">
        <f t="shared" si="739"/>
        <v>4278306.95</v>
      </c>
      <c r="R2632" s="44" t="str">
        <f>VLOOKUP(F2632,'Set up'!$A$2:$E$55,5,FALSE)</f>
        <v>Trsf</v>
      </c>
    </row>
    <row r="2633" spans="1:19" ht="15" customHeight="1" x14ac:dyDescent="0.3">
      <c r="A2633" s="4">
        <v>45330</v>
      </c>
      <c r="B2633" s="5">
        <f t="shared" si="741"/>
        <v>2</v>
      </c>
      <c r="C2633" s="5">
        <f t="shared" si="742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8" t="s">
        <v>947</v>
      </c>
      <c r="H2633" s="13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49"/>
        <v>45450</v>
      </c>
      <c r="L2633" s="5">
        <f t="shared" si="750"/>
        <v>6</v>
      </c>
      <c r="M2633" s="5">
        <f t="shared" si="751"/>
        <v>2024</v>
      </c>
      <c r="N2633" s="6">
        <v>220</v>
      </c>
      <c r="P2633" s="6">
        <v>220</v>
      </c>
      <c r="Q2633" s="7">
        <f t="shared" si="739"/>
        <v>4278526.95</v>
      </c>
      <c r="R2633" s="44" t="str">
        <f>VLOOKUP(F2633,'Set up'!$A$2:$E$55,5,FALSE)</f>
        <v>Trsf</v>
      </c>
    </row>
    <row r="2634" spans="1:19" ht="15" customHeight="1" x14ac:dyDescent="0.3">
      <c r="A2634" s="4">
        <v>45337</v>
      </c>
      <c r="B2634" s="5">
        <f t="shared" si="741"/>
        <v>2</v>
      </c>
      <c r="C2634" s="5">
        <f t="shared" si="742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8" t="s">
        <v>720</v>
      </c>
      <c r="H2634" s="13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49"/>
        <v>45337</v>
      </c>
      <c r="L2634" s="5">
        <f t="shared" si="750"/>
        <v>2</v>
      </c>
      <c r="M2634" s="5">
        <f t="shared" si="751"/>
        <v>2024</v>
      </c>
      <c r="N2634" s="6">
        <v>1738</v>
      </c>
      <c r="P2634" s="6">
        <v>1738</v>
      </c>
      <c r="Q2634" s="7">
        <f t="shared" si="739"/>
        <v>4280264.95</v>
      </c>
      <c r="R2634" s="44" t="str">
        <f>VLOOKUP(F2634,'Set up'!$A$2:$E$55,5,FALSE)</f>
        <v>Trsf</v>
      </c>
    </row>
    <row r="2635" spans="1:19" ht="15" customHeight="1" x14ac:dyDescent="0.3">
      <c r="A2635" s="4">
        <v>45337</v>
      </c>
      <c r="B2635" s="5">
        <f t="shared" si="741"/>
        <v>2</v>
      </c>
      <c r="C2635" s="5">
        <f t="shared" si="742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8" t="s">
        <v>2212</v>
      </c>
      <c r="H2635" s="13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49"/>
        <v>45337</v>
      </c>
      <c r="L2635" s="5">
        <f t="shared" si="750"/>
        <v>2</v>
      </c>
      <c r="M2635" s="5">
        <f t="shared" si="751"/>
        <v>2024</v>
      </c>
      <c r="N2635" s="6">
        <v>405</v>
      </c>
      <c r="P2635" s="6">
        <v>405</v>
      </c>
      <c r="Q2635" s="7">
        <f t="shared" si="739"/>
        <v>4280669.95</v>
      </c>
      <c r="R2635" s="44" t="str">
        <f>VLOOKUP(F2635,'Set up'!$A$2:$E$55,5,FALSE)</f>
        <v>Trsf</v>
      </c>
    </row>
    <row r="2636" spans="1:19" ht="15" customHeight="1" x14ac:dyDescent="0.3">
      <c r="A2636" s="4">
        <v>45337</v>
      </c>
      <c r="B2636" s="5">
        <f t="shared" si="741"/>
        <v>2</v>
      </c>
      <c r="C2636" s="5">
        <f t="shared" si="742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8" t="s">
        <v>792</v>
      </c>
      <c r="H2636" s="13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49"/>
        <v>45337</v>
      </c>
      <c r="L2636" s="5">
        <f t="shared" si="750"/>
        <v>2</v>
      </c>
      <c r="M2636" s="5">
        <f t="shared" si="751"/>
        <v>2024</v>
      </c>
      <c r="N2636" s="6">
        <v>187.5</v>
      </c>
      <c r="P2636" s="6">
        <v>187.5</v>
      </c>
      <c r="Q2636" s="7">
        <f t="shared" si="739"/>
        <v>4280857.45</v>
      </c>
      <c r="R2636" s="44" t="str">
        <f>VLOOKUP(F2636,'Set up'!$A$2:$E$55,5,FALSE)</f>
        <v>Trsf</v>
      </c>
    </row>
    <row r="2637" spans="1:19" ht="15" customHeight="1" x14ac:dyDescent="0.3">
      <c r="A2637" s="4">
        <v>45337</v>
      </c>
      <c r="B2637" s="5">
        <f t="shared" si="741"/>
        <v>2</v>
      </c>
      <c r="C2637" s="5">
        <f t="shared" si="742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8" t="s">
        <v>1470</v>
      </c>
      <c r="H2637" s="13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49"/>
        <v>45337</v>
      </c>
      <c r="L2637" s="5">
        <f t="shared" si="750"/>
        <v>2</v>
      </c>
      <c r="M2637" s="5">
        <f t="shared" si="751"/>
        <v>2024</v>
      </c>
      <c r="N2637" s="6">
        <v>390</v>
      </c>
      <c r="P2637" s="6">
        <v>390</v>
      </c>
      <c r="Q2637" s="7">
        <f t="shared" si="739"/>
        <v>4281247.45</v>
      </c>
      <c r="R2637" s="44" t="str">
        <f>VLOOKUP(F2637,'Set up'!$A$2:$E$55,5,FALSE)</f>
        <v>Trsf</v>
      </c>
    </row>
    <row r="2638" spans="1:19" ht="15" customHeight="1" x14ac:dyDescent="0.3">
      <c r="A2638" s="4">
        <v>45337</v>
      </c>
      <c r="B2638" s="5">
        <f t="shared" si="741"/>
        <v>2</v>
      </c>
      <c r="C2638" s="5">
        <f t="shared" si="742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8" t="s">
        <v>792</v>
      </c>
      <c r="H2638" s="13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49"/>
        <v>45457</v>
      </c>
      <c r="L2638" s="5">
        <f t="shared" si="750"/>
        <v>6</v>
      </c>
      <c r="M2638" s="5">
        <f t="shared" si="751"/>
        <v>2024</v>
      </c>
      <c r="N2638" s="6">
        <v>287.5</v>
      </c>
      <c r="P2638" s="6">
        <v>287.5</v>
      </c>
      <c r="Q2638" s="7">
        <f t="shared" si="739"/>
        <v>4281534.95</v>
      </c>
      <c r="R2638" s="44" t="str">
        <f>VLOOKUP(F2638,'Set up'!$A$2:$E$55,5,FALSE)</f>
        <v>Trsf</v>
      </c>
    </row>
    <row r="2639" spans="1:19" ht="15" customHeight="1" x14ac:dyDescent="0.3">
      <c r="A2639" s="4">
        <v>45337</v>
      </c>
      <c r="B2639" s="5">
        <f t="shared" si="741"/>
        <v>2</v>
      </c>
      <c r="C2639" s="5">
        <f t="shared" si="742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8" t="s">
        <v>945</v>
      </c>
      <c r="H2639" s="13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49"/>
        <v>45457</v>
      </c>
      <c r="L2639" s="5">
        <f t="shared" si="750"/>
        <v>6</v>
      </c>
      <c r="M2639" s="5">
        <f t="shared" si="751"/>
        <v>2024</v>
      </c>
      <c r="N2639" s="6">
        <v>420</v>
      </c>
      <c r="P2639" s="6">
        <v>420</v>
      </c>
      <c r="Q2639" s="7">
        <f t="shared" si="739"/>
        <v>4281954.95</v>
      </c>
      <c r="R2639" s="44" t="str">
        <f>VLOOKUP(F2639,'Set up'!$A$2:$E$55,5,FALSE)</f>
        <v>Trsf</v>
      </c>
    </row>
    <row r="2640" spans="1:19" ht="15" customHeight="1" x14ac:dyDescent="0.3">
      <c r="A2640" s="4">
        <v>45338</v>
      </c>
      <c r="B2640" s="5">
        <f t="shared" si="741"/>
        <v>2</v>
      </c>
      <c r="C2640" s="5">
        <f t="shared" si="742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8" t="s">
        <v>67</v>
      </c>
      <c r="H2640" s="13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49"/>
        <v>45338</v>
      </c>
      <c r="L2640" s="5">
        <f t="shared" si="750"/>
        <v>2</v>
      </c>
      <c r="M2640" s="5">
        <f t="shared" si="751"/>
        <v>2024</v>
      </c>
      <c r="N2640" s="6">
        <v>1738</v>
      </c>
      <c r="P2640" s="6">
        <v>1738</v>
      </c>
      <c r="Q2640" s="7">
        <f t="shared" si="739"/>
        <v>4283692.95</v>
      </c>
      <c r="R2640" s="44" t="str">
        <f>VLOOKUP(F2640,'Set up'!$A$2:$E$55,5,FALSE)</f>
        <v>PD Chq</v>
      </c>
    </row>
    <row r="2641" spans="1:19" ht="15" customHeight="1" x14ac:dyDescent="0.3">
      <c r="A2641" s="4">
        <v>45338</v>
      </c>
      <c r="B2641" s="5">
        <f t="shared" si="741"/>
        <v>2</v>
      </c>
      <c r="C2641" s="5">
        <f t="shared" si="742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8" t="s">
        <v>2215</v>
      </c>
      <c r="H2641" s="13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49"/>
        <v>45338</v>
      </c>
      <c r="L2641" s="5">
        <f t="shared" si="750"/>
        <v>2</v>
      </c>
      <c r="M2641" s="5">
        <f t="shared" si="751"/>
        <v>2024</v>
      </c>
      <c r="N2641" s="6">
        <v>259.60000000000002</v>
      </c>
      <c r="P2641" s="6">
        <v>259.60000000000002</v>
      </c>
      <c r="Q2641" s="7">
        <f t="shared" si="739"/>
        <v>4283952.55</v>
      </c>
      <c r="R2641" s="44" t="str">
        <f>VLOOKUP(F2641,'Set up'!$A$2:$E$55,5,FALSE)</f>
        <v>PD Chq</v>
      </c>
    </row>
    <row r="2642" spans="1:19" ht="15" customHeight="1" x14ac:dyDescent="0.3">
      <c r="A2642" s="4">
        <v>45338</v>
      </c>
      <c r="B2642" s="5">
        <f t="shared" si="741"/>
        <v>2</v>
      </c>
      <c r="C2642" s="5">
        <f t="shared" si="742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8" t="s">
        <v>1062</v>
      </c>
      <c r="H2642" s="13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49"/>
        <v>45338</v>
      </c>
      <c r="L2642" s="5">
        <f t="shared" si="750"/>
        <v>2</v>
      </c>
      <c r="M2642" s="5">
        <f t="shared" si="751"/>
        <v>2024</v>
      </c>
      <c r="N2642" s="6">
        <v>95</v>
      </c>
      <c r="P2642" s="6">
        <v>95</v>
      </c>
      <c r="Q2642" s="7">
        <f t="shared" ref="Q2642:Q2705" si="752">SUM(Q2641+N2642)</f>
        <v>4284047.55</v>
      </c>
      <c r="R2642" s="44" t="str">
        <f>VLOOKUP(F2642,'Set up'!$A$2:$E$55,5,FALSE)</f>
        <v>PD Chq</v>
      </c>
    </row>
    <row r="2643" spans="1:19" ht="15" customHeight="1" x14ac:dyDescent="0.3">
      <c r="A2643" s="4">
        <v>45338</v>
      </c>
      <c r="B2643" s="5">
        <f t="shared" si="741"/>
        <v>2</v>
      </c>
      <c r="C2643" s="5">
        <f t="shared" si="742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8" t="s">
        <v>1111</v>
      </c>
      <c r="H2643" s="13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49"/>
        <v>45338</v>
      </c>
      <c r="L2643" s="5">
        <f t="shared" si="750"/>
        <v>2</v>
      </c>
      <c r="M2643" s="5">
        <f t="shared" si="751"/>
        <v>2024</v>
      </c>
      <c r="N2643" s="6">
        <v>312.5</v>
      </c>
      <c r="P2643" s="6">
        <v>312.5</v>
      </c>
      <c r="Q2643" s="7">
        <f t="shared" si="752"/>
        <v>4284360.05</v>
      </c>
      <c r="R2643" s="44" t="str">
        <f>VLOOKUP(F2643,'Set up'!$A$2:$E$55,5,FALSE)</f>
        <v>PD Chq</v>
      </c>
    </row>
    <row r="2644" spans="1:19" ht="15" customHeight="1" x14ac:dyDescent="0.3">
      <c r="A2644" s="4">
        <v>45341</v>
      </c>
      <c r="B2644" s="5">
        <f t="shared" si="741"/>
        <v>2</v>
      </c>
      <c r="C2644" s="5">
        <f t="shared" si="742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8" t="s">
        <v>1111</v>
      </c>
      <c r="H2644" s="13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49"/>
        <v>45341</v>
      </c>
      <c r="L2644" s="5">
        <f t="shared" si="750"/>
        <v>2</v>
      </c>
      <c r="M2644" s="5">
        <f t="shared" si="751"/>
        <v>2024</v>
      </c>
      <c r="N2644" s="6">
        <v>125</v>
      </c>
      <c r="P2644" s="6">
        <v>125</v>
      </c>
      <c r="Q2644" s="7">
        <f t="shared" si="752"/>
        <v>4284485.05</v>
      </c>
      <c r="R2644" s="44" t="str">
        <f>VLOOKUP(F2644,'Set up'!$A$2:$E$55,5,FALSE)</f>
        <v>Trsf</v>
      </c>
    </row>
    <row r="2645" spans="1:19" ht="15" customHeight="1" x14ac:dyDescent="0.3">
      <c r="A2645" s="4">
        <v>45342</v>
      </c>
      <c r="B2645" s="5">
        <f t="shared" si="741"/>
        <v>2</v>
      </c>
      <c r="C2645" s="5">
        <f t="shared" si="742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8" t="s">
        <v>1734</v>
      </c>
      <c r="H2645" s="13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49"/>
        <v>45342</v>
      </c>
      <c r="L2645" s="5">
        <f t="shared" si="750"/>
        <v>2</v>
      </c>
      <c r="M2645" s="5">
        <f t="shared" si="751"/>
        <v>2024</v>
      </c>
      <c r="N2645" s="6">
        <v>3212</v>
      </c>
      <c r="P2645" s="6">
        <v>3212</v>
      </c>
      <c r="Q2645" s="7">
        <f t="shared" si="752"/>
        <v>4287697.05</v>
      </c>
      <c r="R2645" s="44" t="str">
        <f>VLOOKUP(F2645,'Set up'!$A$2:$E$55,5,FALSE)</f>
        <v>Trsf</v>
      </c>
    </row>
    <row r="2646" spans="1:19" ht="15" customHeight="1" x14ac:dyDescent="0.3">
      <c r="A2646" s="4">
        <v>45342</v>
      </c>
      <c r="B2646" s="5">
        <f t="shared" si="741"/>
        <v>2</v>
      </c>
      <c r="C2646" s="5">
        <f t="shared" si="742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8" t="s">
        <v>914</v>
      </c>
      <c r="H2646" s="13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49"/>
        <v>45342</v>
      </c>
      <c r="L2646" s="5">
        <f t="shared" si="750"/>
        <v>2</v>
      </c>
      <c r="M2646" s="5">
        <f t="shared" si="751"/>
        <v>2024</v>
      </c>
      <c r="N2646" s="6">
        <v>2610</v>
      </c>
      <c r="P2646" s="6">
        <v>2610</v>
      </c>
      <c r="Q2646" s="7">
        <f t="shared" si="752"/>
        <v>4290307.05</v>
      </c>
      <c r="R2646" s="44" t="str">
        <f>VLOOKUP(F2646,'Set up'!$A$2:$E$55,5,FALSE)</f>
        <v>Trsf</v>
      </c>
    </row>
    <row r="2647" spans="1:19" ht="15" customHeight="1" x14ac:dyDescent="0.3">
      <c r="A2647" s="4">
        <v>45342</v>
      </c>
      <c r="B2647" s="5">
        <f t="shared" si="741"/>
        <v>2</v>
      </c>
      <c r="C2647" s="5">
        <f t="shared" si="742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8" t="s">
        <v>1923</v>
      </c>
      <c r="H2647" s="13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49"/>
        <v>45342</v>
      </c>
      <c r="L2647" s="5">
        <f t="shared" si="750"/>
        <v>2</v>
      </c>
      <c r="M2647" s="5">
        <f t="shared" si="751"/>
        <v>2024</v>
      </c>
      <c r="N2647" s="6">
        <v>468</v>
      </c>
      <c r="P2647" s="6">
        <v>468</v>
      </c>
      <c r="Q2647" s="7">
        <f t="shared" si="752"/>
        <v>4290775.05</v>
      </c>
      <c r="R2647" s="44" t="str">
        <f>VLOOKUP(F2647,'Set up'!$A$2:$E$55,5,FALSE)</f>
        <v>Trsf</v>
      </c>
    </row>
    <row r="2648" spans="1:19" ht="15" customHeight="1" x14ac:dyDescent="0.3">
      <c r="A2648" s="4">
        <v>45342</v>
      </c>
      <c r="B2648" s="5">
        <f t="shared" si="741"/>
        <v>2</v>
      </c>
      <c r="C2648" s="5">
        <f t="shared" si="742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8" t="s">
        <v>1062</v>
      </c>
      <c r="H2648" s="13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49"/>
        <v>45342</v>
      </c>
      <c r="L2648" s="5">
        <f t="shared" si="750"/>
        <v>2</v>
      </c>
      <c r="M2648" s="5">
        <f t="shared" si="751"/>
        <v>2024</v>
      </c>
      <c r="N2648" s="6">
        <v>380</v>
      </c>
      <c r="P2648" s="6">
        <v>380</v>
      </c>
      <c r="Q2648" s="7">
        <f t="shared" si="752"/>
        <v>4291155.05</v>
      </c>
      <c r="R2648" s="44" t="str">
        <f>VLOOKUP(F2648,'Set up'!$A$2:$E$55,5,FALSE)</f>
        <v>Trsf</v>
      </c>
    </row>
    <row r="2649" spans="1:19" ht="15" customHeight="1" x14ac:dyDescent="0.3">
      <c r="A2649" s="4">
        <v>45342</v>
      </c>
      <c r="B2649" s="5">
        <f t="shared" si="741"/>
        <v>2</v>
      </c>
      <c r="C2649" s="5">
        <f t="shared" si="742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8" t="s">
        <v>2003</v>
      </c>
      <c r="H2649" s="13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49"/>
        <v>45342</v>
      </c>
      <c r="L2649" s="5">
        <f t="shared" si="750"/>
        <v>2</v>
      </c>
      <c r="M2649" s="5">
        <f t="shared" si="751"/>
        <v>2024</v>
      </c>
      <c r="N2649" s="6">
        <v>900</v>
      </c>
      <c r="P2649" s="6">
        <v>900</v>
      </c>
      <c r="Q2649" s="7">
        <f t="shared" si="752"/>
        <v>4292055.05</v>
      </c>
      <c r="R2649" s="44" t="str">
        <f>VLOOKUP(F2649,'Set up'!$A$2:$E$55,5,FALSE)</f>
        <v>Trsf</v>
      </c>
    </row>
    <row r="2650" spans="1:19" ht="15" customHeight="1" x14ac:dyDescent="0.3">
      <c r="A2650" s="4">
        <v>45342</v>
      </c>
      <c r="B2650" s="5">
        <f t="shared" si="741"/>
        <v>2</v>
      </c>
      <c r="C2650" s="5">
        <f t="shared" si="742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8" t="s">
        <v>46</v>
      </c>
      <c r="H2650" s="13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49"/>
        <v>45342</v>
      </c>
      <c r="L2650" s="5">
        <f t="shared" si="750"/>
        <v>2</v>
      </c>
      <c r="M2650" s="5">
        <f t="shared" si="751"/>
        <v>2024</v>
      </c>
      <c r="N2650" s="6">
        <v>110</v>
      </c>
      <c r="P2650" s="6">
        <v>110</v>
      </c>
      <c r="Q2650" s="7">
        <f t="shared" si="752"/>
        <v>4292165.05</v>
      </c>
      <c r="R2650" s="44" t="str">
        <f>VLOOKUP(F2650,'Set up'!$A$2:$E$55,5,FALSE)</f>
        <v>Trsf</v>
      </c>
    </row>
    <row r="2651" spans="1:19" ht="15" customHeight="1" x14ac:dyDescent="0.3">
      <c r="A2651" s="4">
        <v>45342</v>
      </c>
      <c r="B2651" s="5">
        <f t="shared" si="741"/>
        <v>2</v>
      </c>
      <c r="C2651" s="5">
        <f t="shared" si="742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8" t="s">
        <v>1400</v>
      </c>
      <c r="H2651" s="13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49"/>
        <v>45342</v>
      </c>
      <c r="L2651" s="5">
        <f t="shared" si="750"/>
        <v>2</v>
      </c>
      <c r="M2651" s="5">
        <f t="shared" si="751"/>
        <v>2024</v>
      </c>
      <c r="N2651" s="6">
        <v>350</v>
      </c>
      <c r="O2651" s="6">
        <f t="shared" ref="O2651:O2654" si="753">-N2651</f>
        <v>-350</v>
      </c>
      <c r="P2651" s="6">
        <f t="shared" ref="P2651:P2654" si="754">SUM(N2651+O2651)</f>
        <v>0</v>
      </c>
      <c r="Q2651" s="7">
        <f t="shared" si="752"/>
        <v>4292515.05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41"/>
        <v>2</v>
      </c>
      <c r="C2652" s="5">
        <f t="shared" si="742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8" t="s">
        <v>1130</v>
      </c>
      <c r="H2652" s="13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49"/>
        <v>45342</v>
      </c>
      <c r="L2652" s="5">
        <f t="shared" si="750"/>
        <v>2</v>
      </c>
      <c r="M2652" s="5">
        <f t="shared" si="751"/>
        <v>2024</v>
      </c>
      <c r="N2652" s="6">
        <v>50</v>
      </c>
      <c r="O2652" s="6">
        <f t="shared" si="753"/>
        <v>-50</v>
      </c>
      <c r="P2652" s="6">
        <f t="shared" si="754"/>
        <v>0</v>
      </c>
      <c r="Q2652" s="7">
        <f t="shared" si="752"/>
        <v>4292565.05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41"/>
        <v>2</v>
      </c>
      <c r="C2653" s="5">
        <f t="shared" si="742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8" t="s">
        <v>2208</v>
      </c>
      <c r="H2653" s="13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49"/>
        <v>45342</v>
      </c>
      <c r="L2653" s="5">
        <f t="shared" si="750"/>
        <v>2</v>
      </c>
      <c r="M2653" s="5">
        <f t="shared" si="751"/>
        <v>2024</v>
      </c>
      <c r="N2653" s="6">
        <v>575</v>
      </c>
      <c r="O2653" s="6">
        <f t="shared" si="753"/>
        <v>-575</v>
      </c>
      <c r="P2653" s="6">
        <f t="shared" si="754"/>
        <v>0</v>
      </c>
      <c r="Q2653" s="7">
        <f t="shared" si="752"/>
        <v>4293140.05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41"/>
        <v>2</v>
      </c>
      <c r="C2654" s="5">
        <f t="shared" si="742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8" t="s">
        <v>2436</v>
      </c>
      <c r="H2654" s="13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49"/>
        <v>45342</v>
      </c>
      <c r="L2654" s="5">
        <f t="shared" si="750"/>
        <v>2</v>
      </c>
      <c r="M2654" s="5">
        <f t="shared" si="751"/>
        <v>2024</v>
      </c>
      <c r="N2654" s="6">
        <v>48</v>
      </c>
      <c r="O2654" s="6">
        <f t="shared" si="753"/>
        <v>-48</v>
      </c>
      <c r="P2654" s="6">
        <f t="shared" si="754"/>
        <v>0</v>
      </c>
      <c r="Q2654" s="7">
        <f t="shared" si="752"/>
        <v>4293188.05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41"/>
        <v>2</v>
      </c>
      <c r="C2655" s="5">
        <f t="shared" si="742"/>
        <v>2024</v>
      </c>
      <c r="D2655" s="5" t="s">
        <v>2437</v>
      </c>
      <c r="E2655" s="5" t="str">
        <f>VLOOKUP(F2655,'Set up'!$A$2:$C$55,2,FALSE)</f>
        <v>C00000044</v>
      </c>
      <c r="F2655" s="1" t="s">
        <v>2959</v>
      </c>
      <c r="G2655" s="98" t="s">
        <v>2364</v>
      </c>
      <c r="H2655" s="13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49"/>
        <v>45343</v>
      </c>
      <c r="L2655" s="5">
        <f t="shared" si="750"/>
        <v>2</v>
      </c>
      <c r="M2655" s="5">
        <f t="shared" si="751"/>
        <v>2024</v>
      </c>
      <c r="N2655" s="6">
        <v>1606</v>
      </c>
      <c r="O2655" s="6">
        <f t="shared" ref="O2655:O2656" si="755">-N2655</f>
        <v>-1606</v>
      </c>
      <c r="P2655" s="6">
        <f t="shared" ref="P2655:P2656" si="756">SUM(N2655+O2655)</f>
        <v>0</v>
      </c>
      <c r="Q2655" s="7">
        <f t="shared" si="752"/>
        <v>4294794.05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57">MONTH(A2656)</f>
        <v>2</v>
      </c>
      <c r="C2656" s="5">
        <f t="shared" ref="C2656:C2719" si="75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2959</v>
      </c>
      <c r="G2656" s="98" t="s">
        <v>2365</v>
      </c>
      <c r="H2656" s="13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49"/>
        <v>45343</v>
      </c>
      <c r="L2656" s="5">
        <f t="shared" si="750"/>
        <v>2</v>
      </c>
      <c r="M2656" s="5">
        <f t="shared" si="751"/>
        <v>2024</v>
      </c>
      <c r="N2656" s="6">
        <v>630</v>
      </c>
      <c r="O2656" s="6">
        <f t="shared" si="755"/>
        <v>-630</v>
      </c>
      <c r="P2656" s="6">
        <f t="shared" si="756"/>
        <v>0</v>
      </c>
      <c r="Q2656" s="7">
        <f t="shared" si="752"/>
        <v>4295424.05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57"/>
        <v>2</v>
      </c>
      <c r="C2657" s="5">
        <f t="shared" si="75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8" t="s">
        <v>95</v>
      </c>
      <c r="H2657" s="13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49"/>
        <v>45404</v>
      </c>
      <c r="L2657" s="5">
        <f t="shared" si="750"/>
        <v>4</v>
      </c>
      <c r="M2657" s="5">
        <f t="shared" si="751"/>
        <v>2024</v>
      </c>
      <c r="N2657" s="6">
        <v>3212</v>
      </c>
      <c r="P2657" s="6">
        <v>3212</v>
      </c>
      <c r="Q2657" s="7">
        <f t="shared" si="752"/>
        <v>4298636.05</v>
      </c>
      <c r="R2657" s="44" t="str">
        <f>VLOOKUP(F2657,'Set up'!$A$2:$E$55,5,FALSE)</f>
        <v>Chq</v>
      </c>
    </row>
    <row r="2658" spans="1:18" ht="15" customHeight="1" x14ac:dyDescent="0.3">
      <c r="A2658" s="4">
        <v>45344</v>
      </c>
      <c r="B2658" s="5">
        <f t="shared" si="757"/>
        <v>2</v>
      </c>
      <c r="C2658" s="5">
        <f t="shared" si="75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8" t="s">
        <v>617</v>
      </c>
      <c r="H2658" s="13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49"/>
        <v>45404</v>
      </c>
      <c r="L2658" s="5">
        <f t="shared" si="750"/>
        <v>4</v>
      </c>
      <c r="M2658" s="5">
        <f t="shared" si="751"/>
        <v>2024</v>
      </c>
      <c r="N2658" s="6">
        <v>1606</v>
      </c>
      <c r="P2658" s="6">
        <v>1606</v>
      </c>
      <c r="Q2658" s="7">
        <f t="shared" si="752"/>
        <v>4300242.05</v>
      </c>
      <c r="R2658" s="44" t="str">
        <f>VLOOKUP(F2658,'Set up'!$A$2:$E$55,5,FALSE)</f>
        <v>Chq</v>
      </c>
    </row>
    <row r="2659" spans="1:18" ht="15" customHeight="1" x14ac:dyDescent="0.3">
      <c r="A2659" s="4">
        <v>45344</v>
      </c>
      <c r="B2659" s="5">
        <f t="shared" si="757"/>
        <v>2</v>
      </c>
      <c r="C2659" s="5">
        <f t="shared" si="75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8" t="s">
        <v>1412</v>
      </c>
      <c r="H2659" s="13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49"/>
        <v>45404</v>
      </c>
      <c r="L2659" s="5">
        <f t="shared" si="750"/>
        <v>4</v>
      </c>
      <c r="M2659" s="5">
        <f t="shared" si="751"/>
        <v>2024</v>
      </c>
      <c r="N2659" s="6">
        <v>626.4</v>
      </c>
      <c r="P2659" s="6">
        <v>626.4</v>
      </c>
      <c r="Q2659" s="7">
        <f t="shared" si="752"/>
        <v>4300868.45</v>
      </c>
      <c r="R2659" s="44" t="str">
        <f>VLOOKUP(F2659,'Set up'!$A$2:$E$55,5,FALSE)</f>
        <v>Chq</v>
      </c>
    </row>
    <row r="2660" spans="1:18" ht="15" customHeight="1" x14ac:dyDescent="0.3">
      <c r="A2660" s="4">
        <v>45344</v>
      </c>
      <c r="B2660" s="5">
        <f t="shared" si="757"/>
        <v>2</v>
      </c>
      <c r="C2660" s="5">
        <f t="shared" si="75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8" t="s">
        <v>46</v>
      </c>
      <c r="H2660" s="13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49"/>
        <v>45404</v>
      </c>
      <c r="L2660" s="5">
        <f t="shared" si="750"/>
        <v>4</v>
      </c>
      <c r="M2660" s="5">
        <f t="shared" si="751"/>
        <v>2024</v>
      </c>
      <c r="N2660" s="6">
        <v>440</v>
      </c>
      <c r="P2660" s="6">
        <v>440</v>
      </c>
      <c r="Q2660" s="7">
        <f t="shared" si="752"/>
        <v>4301308.45</v>
      </c>
      <c r="R2660" s="44" t="str">
        <f>VLOOKUP(F2660,'Set up'!$A$2:$E$55,5,FALSE)</f>
        <v>Chq</v>
      </c>
    </row>
    <row r="2661" spans="1:18" ht="15" customHeight="1" x14ac:dyDescent="0.3">
      <c r="A2661" s="4">
        <v>45345</v>
      </c>
      <c r="B2661" s="5">
        <f t="shared" si="757"/>
        <v>2</v>
      </c>
      <c r="C2661" s="5">
        <f t="shared" si="75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8" t="s">
        <v>95</v>
      </c>
      <c r="H2661" s="13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49"/>
        <v>45345</v>
      </c>
      <c r="L2661" s="5">
        <f t="shared" si="750"/>
        <v>2</v>
      </c>
      <c r="M2661" s="5">
        <f t="shared" si="751"/>
        <v>2024</v>
      </c>
      <c r="N2661" s="6">
        <v>1738</v>
      </c>
      <c r="P2661" s="6">
        <v>1738</v>
      </c>
      <c r="Q2661" s="7">
        <f t="shared" si="752"/>
        <v>4303046.45</v>
      </c>
      <c r="R2661" s="44" t="str">
        <f>VLOOKUP(F2661,'Set up'!$A$2:$E$55,5,FALSE)</f>
        <v>Trsf</v>
      </c>
    </row>
    <row r="2662" spans="1:18" ht="15" customHeight="1" x14ac:dyDescent="0.3">
      <c r="A2662" s="4">
        <v>45345</v>
      </c>
      <c r="B2662" s="5">
        <f t="shared" si="757"/>
        <v>2</v>
      </c>
      <c r="C2662" s="5">
        <f t="shared" si="75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8" t="s">
        <v>2212</v>
      </c>
      <c r="H2662" s="13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49"/>
        <v>45345</v>
      </c>
      <c r="L2662" s="5">
        <f t="shared" si="750"/>
        <v>2</v>
      </c>
      <c r="M2662" s="5">
        <f t="shared" si="751"/>
        <v>2024</v>
      </c>
      <c r="N2662" s="6">
        <v>405</v>
      </c>
      <c r="P2662" s="6">
        <v>405</v>
      </c>
      <c r="Q2662" s="7">
        <f t="shared" si="752"/>
        <v>4303451.45</v>
      </c>
      <c r="R2662" s="44" t="str">
        <f>VLOOKUP(F2662,'Set up'!$A$2:$E$55,5,FALSE)</f>
        <v>Trsf</v>
      </c>
    </row>
    <row r="2663" spans="1:18" ht="15" customHeight="1" x14ac:dyDescent="0.3">
      <c r="A2663" s="4">
        <v>45345</v>
      </c>
      <c r="B2663" s="5">
        <f t="shared" si="757"/>
        <v>2</v>
      </c>
      <c r="C2663" s="5">
        <f t="shared" si="75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8" t="s">
        <v>792</v>
      </c>
      <c r="H2663" s="13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49"/>
        <v>45345</v>
      </c>
      <c r="L2663" s="5">
        <f t="shared" si="750"/>
        <v>2</v>
      </c>
      <c r="M2663" s="5">
        <f t="shared" si="751"/>
        <v>2024</v>
      </c>
      <c r="N2663" s="6">
        <v>187.5</v>
      </c>
      <c r="P2663" s="6">
        <v>187.5</v>
      </c>
      <c r="Q2663" s="7">
        <f t="shared" si="752"/>
        <v>4303638.95</v>
      </c>
      <c r="R2663" s="44" t="str">
        <f>VLOOKUP(F2663,'Set up'!$A$2:$E$55,5,FALSE)</f>
        <v>Trsf</v>
      </c>
    </row>
    <row r="2664" spans="1:18" ht="15" customHeight="1" x14ac:dyDescent="0.3">
      <c r="A2664" s="4">
        <v>45345</v>
      </c>
      <c r="B2664" s="5">
        <f t="shared" si="757"/>
        <v>2</v>
      </c>
      <c r="C2664" s="5">
        <f t="shared" si="75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8" t="s">
        <v>945</v>
      </c>
      <c r="H2664" s="13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49"/>
        <v>45345</v>
      </c>
      <c r="L2664" s="5">
        <f t="shared" si="750"/>
        <v>2</v>
      </c>
      <c r="M2664" s="5">
        <f t="shared" si="751"/>
        <v>2024</v>
      </c>
      <c r="N2664" s="6">
        <v>420</v>
      </c>
      <c r="P2664" s="6">
        <v>420</v>
      </c>
      <c r="Q2664" s="7">
        <f t="shared" si="752"/>
        <v>4304058.95</v>
      </c>
      <c r="R2664" s="44" t="str">
        <f>VLOOKUP(F2664,'Set up'!$A$2:$E$55,5,FALSE)</f>
        <v>Trsf</v>
      </c>
    </row>
    <row r="2665" spans="1:18" ht="15" customHeight="1" x14ac:dyDescent="0.3">
      <c r="A2665" s="4">
        <v>45345</v>
      </c>
      <c r="B2665" s="5">
        <f t="shared" si="757"/>
        <v>2</v>
      </c>
      <c r="C2665" s="5">
        <f t="shared" si="75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8" t="s">
        <v>2440</v>
      </c>
      <c r="H2665" s="13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49"/>
        <v>45345</v>
      </c>
      <c r="L2665" s="5">
        <f t="shared" si="750"/>
        <v>2</v>
      </c>
      <c r="M2665" s="5">
        <f t="shared" si="751"/>
        <v>2024</v>
      </c>
      <c r="N2665" s="6">
        <v>150</v>
      </c>
      <c r="P2665" s="6">
        <v>150</v>
      </c>
      <c r="Q2665" s="7">
        <f t="shared" si="752"/>
        <v>4304208.95</v>
      </c>
      <c r="R2665" s="44" t="str">
        <f>VLOOKUP(F2665,'Set up'!$A$2:$E$55,5,FALSE)</f>
        <v>Trsf</v>
      </c>
    </row>
    <row r="2666" spans="1:18" ht="15" customHeight="1" x14ac:dyDescent="0.3">
      <c r="A2666" s="4">
        <v>45345</v>
      </c>
      <c r="B2666" s="5">
        <f t="shared" si="757"/>
        <v>2</v>
      </c>
      <c r="C2666" s="5">
        <f t="shared" si="75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8" t="s">
        <v>1661</v>
      </c>
      <c r="H2666" s="13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49"/>
        <v>45345</v>
      </c>
      <c r="L2666" s="5">
        <f t="shared" si="750"/>
        <v>2</v>
      </c>
      <c r="M2666" s="5">
        <f t="shared" si="751"/>
        <v>2024</v>
      </c>
      <c r="N2666" s="6">
        <v>160</v>
      </c>
      <c r="P2666" s="6">
        <v>160</v>
      </c>
      <c r="Q2666" s="7">
        <f t="shared" si="752"/>
        <v>4304368.95</v>
      </c>
      <c r="R2666" s="44" t="str">
        <f>VLOOKUP(F2666,'Set up'!$A$2:$E$55,5,FALSE)</f>
        <v>Trsf</v>
      </c>
    </row>
    <row r="2667" spans="1:18" ht="15" customHeight="1" x14ac:dyDescent="0.3">
      <c r="A2667" s="4">
        <v>45348</v>
      </c>
      <c r="B2667" s="5">
        <f t="shared" si="757"/>
        <v>2</v>
      </c>
      <c r="C2667" s="5">
        <f t="shared" si="75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8" t="s">
        <v>1111</v>
      </c>
      <c r="H2667" s="13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49"/>
        <v>45348</v>
      </c>
      <c r="L2667" s="5">
        <f t="shared" si="750"/>
        <v>2</v>
      </c>
      <c r="M2667" s="5">
        <f t="shared" si="751"/>
        <v>2024</v>
      </c>
      <c r="N2667" s="6">
        <v>437.5</v>
      </c>
      <c r="P2667" s="6">
        <v>437.5</v>
      </c>
      <c r="Q2667" s="7">
        <f t="shared" si="752"/>
        <v>4304806.45</v>
      </c>
      <c r="R2667" s="44" t="str">
        <f>VLOOKUP(F2667,'Set up'!$A$2:$E$55,5,FALSE)</f>
        <v>Trsf</v>
      </c>
    </row>
    <row r="2668" spans="1:18" ht="15" customHeight="1" x14ac:dyDescent="0.3">
      <c r="A2668" s="4">
        <v>45348</v>
      </c>
      <c r="B2668" s="5">
        <f t="shared" si="757"/>
        <v>2</v>
      </c>
      <c r="C2668" s="5">
        <f t="shared" si="75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8" t="s">
        <v>1734</v>
      </c>
      <c r="H2668" s="13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49"/>
        <v>45348</v>
      </c>
      <c r="L2668" s="5">
        <f t="shared" si="750"/>
        <v>2</v>
      </c>
      <c r="M2668" s="5">
        <f t="shared" si="751"/>
        <v>2024</v>
      </c>
      <c r="N2668" s="6">
        <v>11121</v>
      </c>
      <c r="P2668" s="6">
        <v>11121</v>
      </c>
      <c r="Q2668" s="7">
        <f t="shared" si="752"/>
        <v>4315927.45</v>
      </c>
      <c r="R2668" s="44" t="str">
        <f>VLOOKUP(F2668,'Set up'!$A$2:$E$55,5,FALSE)</f>
        <v>Trsf</v>
      </c>
    </row>
    <row r="2669" spans="1:18" ht="15" customHeight="1" x14ac:dyDescent="0.3">
      <c r="A2669" s="4">
        <v>45348</v>
      </c>
      <c r="B2669" s="5">
        <f t="shared" si="757"/>
        <v>2</v>
      </c>
      <c r="C2669" s="5">
        <f t="shared" si="75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8" t="s">
        <v>2443</v>
      </c>
      <c r="H2669" s="13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49"/>
        <v>45348</v>
      </c>
      <c r="L2669" s="5">
        <f t="shared" si="750"/>
        <v>2</v>
      </c>
      <c r="M2669" s="5">
        <f t="shared" si="751"/>
        <v>2024</v>
      </c>
      <c r="N2669" s="6">
        <v>4077.4</v>
      </c>
      <c r="P2669" s="6">
        <v>4077.4</v>
      </c>
      <c r="Q2669" s="7">
        <f t="shared" si="752"/>
        <v>4320004.8500000006</v>
      </c>
      <c r="R2669" s="44" t="str">
        <f>VLOOKUP(F2669,'Set up'!$A$2:$E$55,5,FALSE)</f>
        <v>Trsf</v>
      </c>
    </row>
    <row r="2670" spans="1:18" ht="15" customHeight="1" x14ac:dyDescent="0.3">
      <c r="A2670" s="4">
        <v>45348</v>
      </c>
      <c r="B2670" s="5">
        <f t="shared" si="757"/>
        <v>2</v>
      </c>
      <c r="C2670" s="5">
        <f t="shared" si="75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8" t="s">
        <v>1923</v>
      </c>
      <c r="H2670" s="13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49"/>
        <v>45348</v>
      </c>
      <c r="L2670" s="5">
        <f t="shared" si="750"/>
        <v>2</v>
      </c>
      <c r="M2670" s="5">
        <f t="shared" si="751"/>
        <v>2024</v>
      </c>
      <c r="N2670" s="6">
        <v>2340</v>
      </c>
      <c r="P2670" s="6">
        <v>2340</v>
      </c>
      <c r="Q2670" s="7">
        <f t="shared" si="752"/>
        <v>4322344.8500000006</v>
      </c>
      <c r="R2670" s="44" t="str">
        <f>VLOOKUP(F2670,'Set up'!$A$2:$E$55,5,FALSE)</f>
        <v>Trsf</v>
      </c>
    </row>
    <row r="2671" spans="1:18" ht="15" customHeight="1" x14ac:dyDescent="0.3">
      <c r="A2671" s="4">
        <v>45348</v>
      </c>
      <c r="B2671" s="5">
        <f t="shared" si="757"/>
        <v>2</v>
      </c>
      <c r="C2671" s="5">
        <f t="shared" si="75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8" t="s">
        <v>1062</v>
      </c>
      <c r="H2671" s="13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49"/>
        <v>45348</v>
      </c>
      <c r="L2671" s="5">
        <f t="shared" si="750"/>
        <v>2</v>
      </c>
      <c r="M2671" s="5">
        <f t="shared" si="751"/>
        <v>2024</v>
      </c>
      <c r="N2671" s="6">
        <v>380</v>
      </c>
      <c r="P2671" s="6">
        <v>380</v>
      </c>
      <c r="Q2671" s="7">
        <f t="shared" si="752"/>
        <v>4322724.8500000006</v>
      </c>
      <c r="R2671" s="44" t="str">
        <f>VLOOKUP(F2671,'Set up'!$A$2:$E$55,5,FALSE)</f>
        <v>Trsf</v>
      </c>
    </row>
    <row r="2672" spans="1:18" ht="15" customHeight="1" x14ac:dyDescent="0.3">
      <c r="A2672" s="4">
        <v>45348</v>
      </c>
      <c r="B2672" s="5">
        <f t="shared" si="757"/>
        <v>2</v>
      </c>
      <c r="C2672" s="5">
        <f t="shared" si="75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8" t="s">
        <v>2003</v>
      </c>
      <c r="H2672" s="13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49"/>
        <v>45348</v>
      </c>
      <c r="L2672" s="5">
        <f t="shared" si="750"/>
        <v>2</v>
      </c>
      <c r="M2672" s="5">
        <f t="shared" si="751"/>
        <v>2024</v>
      </c>
      <c r="N2672" s="6">
        <v>900</v>
      </c>
      <c r="P2672" s="6">
        <v>900</v>
      </c>
      <c r="Q2672" s="7">
        <f t="shared" si="752"/>
        <v>4323624.8500000006</v>
      </c>
      <c r="R2672" s="44" t="str">
        <f>VLOOKUP(F2672,'Set up'!$A$2:$E$55,5,FALSE)</f>
        <v>Trsf</v>
      </c>
    </row>
    <row r="2673" spans="1:19" ht="15" customHeight="1" x14ac:dyDescent="0.3">
      <c r="A2673" s="4">
        <v>45349</v>
      </c>
      <c r="B2673" s="5">
        <f t="shared" si="757"/>
        <v>2</v>
      </c>
      <c r="C2673" s="5">
        <f t="shared" si="75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8" t="s">
        <v>2215</v>
      </c>
      <c r="H2673" s="13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49"/>
        <v>45349</v>
      </c>
      <c r="L2673" s="5">
        <f t="shared" si="750"/>
        <v>2</v>
      </c>
      <c r="M2673" s="5">
        <f t="shared" si="751"/>
        <v>2024</v>
      </c>
      <c r="N2673" s="6">
        <v>567.6</v>
      </c>
      <c r="O2673" s="6">
        <f t="shared" ref="O2673" si="759">-N2673</f>
        <v>-567.6</v>
      </c>
      <c r="P2673" s="6">
        <f t="shared" ref="P2673" si="760">SUM(N2673+O2673)</f>
        <v>0</v>
      </c>
      <c r="Q2673" s="7">
        <f t="shared" si="752"/>
        <v>4324192.45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57"/>
        <v>2</v>
      </c>
      <c r="C2674" s="5">
        <f t="shared" si="75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8" t="s">
        <v>1074</v>
      </c>
      <c r="H2674" s="13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49"/>
        <v>45350</v>
      </c>
      <c r="L2674" s="5">
        <f t="shared" si="750"/>
        <v>2</v>
      </c>
      <c r="M2674" s="5">
        <f t="shared" si="751"/>
        <v>2024</v>
      </c>
      <c r="N2674" s="6">
        <v>1000</v>
      </c>
      <c r="P2674" s="6">
        <v>1000</v>
      </c>
      <c r="Q2674" s="7">
        <f t="shared" si="752"/>
        <v>4325192.45</v>
      </c>
      <c r="R2674" s="44" t="str">
        <f>VLOOKUP(F2674,'Set up'!$A$2:$E$55,5,FALSE)</f>
        <v>Trsf</v>
      </c>
    </row>
    <row r="2675" spans="1:19" ht="15" customHeight="1" x14ac:dyDescent="0.3">
      <c r="A2675" s="4">
        <v>45352</v>
      </c>
      <c r="B2675" s="5">
        <f t="shared" si="757"/>
        <v>3</v>
      </c>
      <c r="C2675" s="5">
        <f t="shared" si="75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99" t="s">
        <v>717</v>
      </c>
      <c r="H2675" s="138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49"/>
        <v>45352</v>
      </c>
      <c r="L2675" s="5">
        <f t="shared" si="750"/>
        <v>3</v>
      </c>
      <c r="M2675" s="5">
        <f t="shared" si="751"/>
        <v>2024</v>
      </c>
      <c r="N2675" s="12">
        <v>1738</v>
      </c>
      <c r="O2675" s="12"/>
      <c r="P2675" s="12">
        <f>SUM(N2675+O2675)</f>
        <v>1738</v>
      </c>
      <c r="Q2675" s="7">
        <f t="shared" si="752"/>
        <v>4326930.45</v>
      </c>
      <c r="R2675" s="44" t="str">
        <f>VLOOKUP(F2675,'Set up'!$A$2:$E$55,5,FALSE)</f>
        <v>PD Chq</v>
      </c>
    </row>
    <row r="2676" spans="1:19" ht="15" customHeight="1" x14ac:dyDescent="0.3">
      <c r="A2676" s="4">
        <v>45352</v>
      </c>
      <c r="B2676" s="5">
        <f t="shared" si="757"/>
        <v>3</v>
      </c>
      <c r="C2676" s="5">
        <f t="shared" si="75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8" t="s">
        <v>2443</v>
      </c>
      <c r="H2676" s="138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49"/>
        <v>45352</v>
      </c>
      <c r="L2676" s="5">
        <f t="shared" si="750"/>
        <v>3</v>
      </c>
      <c r="M2676" s="5">
        <f t="shared" si="751"/>
        <v>2024</v>
      </c>
      <c r="N2676" s="12">
        <v>555</v>
      </c>
      <c r="O2676" s="12"/>
      <c r="P2676" s="12">
        <f t="shared" ref="P2676:P2728" si="761">SUM(N2676+O2676)</f>
        <v>555</v>
      </c>
      <c r="Q2676" s="7">
        <f t="shared" si="752"/>
        <v>4327485.45</v>
      </c>
      <c r="R2676" s="44" t="str">
        <f>VLOOKUP(F2676,'Set up'!$A$2:$E$55,5,FALSE)</f>
        <v>PD Chq</v>
      </c>
    </row>
    <row r="2677" spans="1:19" ht="15" customHeight="1" x14ac:dyDescent="0.3">
      <c r="A2677" s="4">
        <v>45352</v>
      </c>
      <c r="B2677" s="5">
        <f t="shared" si="757"/>
        <v>3</v>
      </c>
      <c r="C2677" s="5">
        <f t="shared" si="75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8" t="s">
        <v>1062</v>
      </c>
      <c r="H2677" s="138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49"/>
        <v>45352</v>
      </c>
      <c r="L2677" s="5">
        <f t="shared" si="750"/>
        <v>3</v>
      </c>
      <c r="M2677" s="5">
        <f t="shared" si="751"/>
        <v>2024</v>
      </c>
      <c r="N2677" s="12">
        <v>95</v>
      </c>
      <c r="O2677" s="12"/>
      <c r="P2677" s="12">
        <f t="shared" si="761"/>
        <v>95</v>
      </c>
      <c r="Q2677" s="7">
        <f t="shared" si="752"/>
        <v>4327580.45</v>
      </c>
      <c r="R2677" s="44" t="str">
        <f>VLOOKUP(F2677,'Set up'!$A$2:$E$55,5,FALSE)</f>
        <v>PD Chq</v>
      </c>
    </row>
    <row r="2678" spans="1:19" ht="15" customHeight="1" x14ac:dyDescent="0.3">
      <c r="A2678" s="4">
        <v>45352</v>
      </c>
      <c r="B2678" s="5">
        <f t="shared" si="757"/>
        <v>3</v>
      </c>
      <c r="C2678" s="5">
        <f t="shared" si="75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38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49"/>
        <v>45352</v>
      </c>
      <c r="L2678" s="5">
        <f t="shared" si="750"/>
        <v>3</v>
      </c>
      <c r="M2678" s="5">
        <f t="shared" si="751"/>
        <v>2024</v>
      </c>
      <c r="N2678" s="12">
        <v>225</v>
      </c>
      <c r="O2678" s="12"/>
      <c r="P2678" s="12">
        <f t="shared" si="761"/>
        <v>225</v>
      </c>
      <c r="Q2678" s="7">
        <f t="shared" si="752"/>
        <v>4327805.45</v>
      </c>
      <c r="R2678" s="44" t="str">
        <f>VLOOKUP(F2678,'Set up'!$A$2:$E$55,5,FALSE)</f>
        <v>PD Chq</v>
      </c>
    </row>
    <row r="2679" spans="1:19" ht="15" customHeight="1" x14ac:dyDescent="0.3">
      <c r="A2679" s="4">
        <v>45353</v>
      </c>
      <c r="B2679" s="5">
        <f t="shared" si="757"/>
        <v>3</v>
      </c>
      <c r="C2679" s="5">
        <f t="shared" si="75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3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49"/>
        <v>45473</v>
      </c>
      <c r="L2679" s="5">
        <f t="shared" si="750"/>
        <v>6</v>
      </c>
      <c r="M2679" s="5">
        <f t="shared" si="751"/>
        <v>2024</v>
      </c>
      <c r="N2679" s="12">
        <v>12848</v>
      </c>
      <c r="O2679" s="12"/>
      <c r="P2679" s="12">
        <f t="shared" si="761"/>
        <v>12848</v>
      </c>
      <c r="Q2679" s="7">
        <f t="shared" si="752"/>
        <v>4340653.45</v>
      </c>
      <c r="R2679" s="44" t="str">
        <f>VLOOKUP(F2679,'Set up'!$A$2:$E$55,5,FALSE)</f>
        <v>Trsf</v>
      </c>
    </row>
    <row r="2680" spans="1:19" ht="15" customHeight="1" x14ac:dyDescent="0.3">
      <c r="A2680" s="4">
        <v>45353</v>
      </c>
      <c r="B2680" s="5">
        <f t="shared" si="757"/>
        <v>3</v>
      </c>
      <c r="C2680" s="5">
        <f t="shared" si="75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137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49"/>
        <v>45473</v>
      </c>
      <c r="L2680" s="5">
        <f t="shared" si="750"/>
        <v>6</v>
      </c>
      <c r="M2680" s="5">
        <f t="shared" si="751"/>
        <v>2024</v>
      </c>
      <c r="N2680" s="12">
        <v>870</v>
      </c>
      <c r="O2680" s="12"/>
      <c r="P2680" s="12">
        <f t="shared" si="761"/>
        <v>870</v>
      </c>
      <c r="Q2680" s="7">
        <f t="shared" si="752"/>
        <v>4341523.45</v>
      </c>
      <c r="R2680" s="44" t="str">
        <f>VLOOKUP(F2680,'Set up'!$A$2:$E$55,5,FALSE)</f>
        <v>Trsf</v>
      </c>
    </row>
    <row r="2681" spans="1:19" ht="15" customHeight="1" x14ac:dyDescent="0.3">
      <c r="A2681" s="4">
        <v>45353</v>
      </c>
      <c r="B2681" s="5">
        <f t="shared" si="757"/>
        <v>3</v>
      </c>
      <c r="C2681" s="5">
        <f t="shared" si="75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137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49"/>
        <v>45473</v>
      </c>
      <c r="L2681" s="5">
        <f t="shared" si="750"/>
        <v>6</v>
      </c>
      <c r="M2681" s="5">
        <f t="shared" si="751"/>
        <v>2024</v>
      </c>
      <c r="N2681" s="12">
        <v>575</v>
      </c>
      <c r="O2681" s="12"/>
      <c r="P2681" s="12">
        <f t="shared" si="761"/>
        <v>575</v>
      </c>
      <c r="Q2681" s="7">
        <f t="shared" si="752"/>
        <v>4342098.45</v>
      </c>
      <c r="R2681" s="44" t="str">
        <f>VLOOKUP(F2681,'Set up'!$A$2:$E$55,5,FALSE)</f>
        <v>Trsf</v>
      </c>
    </row>
    <row r="2682" spans="1:19" ht="15" customHeight="1" x14ac:dyDescent="0.3">
      <c r="A2682" s="4">
        <v>45353</v>
      </c>
      <c r="B2682" s="5">
        <f t="shared" si="757"/>
        <v>3</v>
      </c>
      <c r="C2682" s="5">
        <f t="shared" si="75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137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49"/>
        <v>45473</v>
      </c>
      <c r="L2682" s="5">
        <f t="shared" si="750"/>
        <v>6</v>
      </c>
      <c r="M2682" s="5">
        <f t="shared" si="751"/>
        <v>2024</v>
      </c>
      <c r="N2682" s="12">
        <v>440</v>
      </c>
      <c r="O2682" s="12"/>
      <c r="P2682" s="12">
        <f t="shared" si="761"/>
        <v>440</v>
      </c>
      <c r="Q2682" s="7">
        <f t="shared" si="752"/>
        <v>4342538.45</v>
      </c>
      <c r="R2682" s="44" t="str">
        <f>VLOOKUP(F2682,'Set up'!$A$2:$E$55,5,FALSE)</f>
        <v>Trsf</v>
      </c>
    </row>
    <row r="2683" spans="1:19" ht="15" customHeight="1" x14ac:dyDescent="0.3">
      <c r="A2683" s="4">
        <v>45353</v>
      </c>
      <c r="B2683" s="5">
        <f t="shared" si="757"/>
        <v>3</v>
      </c>
      <c r="C2683" s="5">
        <f t="shared" si="75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137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49"/>
        <v>45473</v>
      </c>
      <c r="L2683" s="5">
        <f t="shared" si="750"/>
        <v>6</v>
      </c>
      <c r="M2683" s="5">
        <f t="shared" si="751"/>
        <v>2024</v>
      </c>
      <c r="N2683" s="12">
        <v>420</v>
      </c>
      <c r="O2683" s="12"/>
      <c r="P2683" s="12">
        <f t="shared" si="761"/>
        <v>420</v>
      </c>
      <c r="Q2683" s="7">
        <f t="shared" si="752"/>
        <v>4342958.45</v>
      </c>
      <c r="R2683" s="44" t="str">
        <f>VLOOKUP(F2683,'Set up'!$A$2:$E$55,5,FALSE)</f>
        <v>Trsf</v>
      </c>
    </row>
    <row r="2684" spans="1:19" ht="15" customHeight="1" x14ac:dyDescent="0.3">
      <c r="A2684" s="4">
        <v>45353</v>
      </c>
      <c r="B2684" s="5">
        <f t="shared" si="757"/>
        <v>3</v>
      </c>
      <c r="C2684" s="5">
        <f t="shared" si="75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137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49"/>
        <v>45473</v>
      </c>
      <c r="L2684" s="5">
        <f t="shared" si="750"/>
        <v>6</v>
      </c>
      <c r="M2684" s="5">
        <f t="shared" si="751"/>
        <v>2024</v>
      </c>
      <c r="N2684" s="12">
        <v>395</v>
      </c>
      <c r="O2684" s="12"/>
      <c r="P2684" s="12">
        <f t="shared" si="761"/>
        <v>395</v>
      </c>
      <c r="Q2684" s="7">
        <f t="shared" si="752"/>
        <v>4343353.45</v>
      </c>
      <c r="R2684" s="44" t="str">
        <f>VLOOKUP(F2684,'Set up'!$A$2:$E$55,5,FALSE)</f>
        <v>Trsf</v>
      </c>
    </row>
    <row r="2685" spans="1:19" ht="15" customHeight="1" x14ac:dyDescent="0.3">
      <c r="A2685" s="4">
        <v>45353</v>
      </c>
      <c r="B2685" s="5">
        <f t="shared" si="757"/>
        <v>3</v>
      </c>
      <c r="C2685" s="5">
        <f t="shared" si="75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99" t="s">
        <v>1391</v>
      </c>
      <c r="H2685" s="13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49"/>
        <v>45353</v>
      </c>
      <c r="L2685" s="5">
        <f t="shared" si="750"/>
        <v>3</v>
      </c>
      <c r="M2685" s="5">
        <f t="shared" si="751"/>
        <v>2024</v>
      </c>
      <c r="N2685" s="12">
        <v>1279.8</v>
      </c>
      <c r="O2685" s="6">
        <f t="shared" ref="O2685" si="762">-N2685</f>
        <v>-1279.8</v>
      </c>
      <c r="P2685" s="12">
        <f t="shared" si="761"/>
        <v>0</v>
      </c>
      <c r="Q2685" s="7">
        <f t="shared" si="752"/>
        <v>4344633.25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57"/>
        <v>3</v>
      </c>
      <c r="C2686" s="5">
        <f t="shared" si="75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17" t="s">
        <v>1111</v>
      </c>
      <c r="H2686" s="13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49"/>
        <v>45356</v>
      </c>
      <c r="L2686" s="5">
        <f t="shared" si="750"/>
        <v>3</v>
      </c>
      <c r="M2686" s="5">
        <f t="shared" si="751"/>
        <v>2024</v>
      </c>
      <c r="N2686" s="12">
        <v>625</v>
      </c>
      <c r="O2686" s="12"/>
      <c r="P2686" s="12">
        <f t="shared" si="761"/>
        <v>625</v>
      </c>
      <c r="Q2686" s="7">
        <f t="shared" si="752"/>
        <v>4345258.25</v>
      </c>
      <c r="R2686" s="44" t="str">
        <f>VLOOKUP(F2686,'Set up'!$A$2:$E$55,5,FALSE)</f>
        <v>Trsf</v>
      </c>
    </row>
    <row r="2687" spans="1:19" ht="15" customHeight="1" x14ac:dyDescent="0.3">
      <c r="A2687" s="4">
        <v>45356</v>
      </c>
      <c r="B2687" s="5">
        <f t="shared" si="757"/>
        <v>3</v>
      </c>
      <c r="C2687" s="5">
        <f t="shared" si="75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17" t="s">
        <v>1734</v>
      </c>
      <c r="H2687" s="137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49"/>
        <v>45356</v>
      </c>
      <c r="L2687" s="5">
        <f t="shared" si="750"/>
        <v>3</v>
      </c>
      <c r="M2687" s="5">
        <f t="shared" si="751"/>
        <v>2024</v>
      </c>
      <c r="N2687" s="12">
        <v>16060</v>
      </c>
      <c r="O2687" s="12"/>
      <c r="P2687" s="12">
        <f t="shared" si="761"/>
        <v>16060</v>
      </c>
      <c r="Q2687" s="7">
        <f t="shared" si="752"/>
        <v>4361318.25</v>
      </c>
      <c r="R2687" s="44" t="str">
        <f>VLOOKUP(F2687,'Set up'!$A$2:$E$55,5,FALSE)</f>
        <v>Trsf</v>
      </c>
    </row>
    <row r="2688" spans="1:19" ht="15" customHeight="1" x14ac:dyDescent="0.3">
      <c r="A2688" s="4">
        <v>45356</v>
      </c>
      <c r="B2688" s="5">
        <f t="shared" si="757"/>
        <v>3</v>
      </c>
      <c r="C2688" s="5">
        <f t="shared" si="75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137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49"/>
        <v>45356</v>
      </c>
      <c r="L2688" s="5">
        <f t="shared" si="750"/>
        <v>3</v>
      </c>
      <c r="M2688" s="5">
        <f t="shared" si="751"/>
        <v>2024</v>
      </c>
      <c r="N2688" s="12">
        <v>3480</v>
      </c>
      <c r="O2688" s="12"/>
      <c r="P2688" s="12">
        <f t="shared" si="761"/>
        <v>3480</v>
      </c>
      <c r="Q2688" s="7">
        <f t="shared" si="752"/>
        <v>4364798.25</v>
      </c>
      <c r="R2688" s="44" t="str">
        <f>VLOOKUP(F2688,'Set up'!$A$2:$E$55,5,FALSE)</f>
        <v>Trsf</v>
      </c>
    </row>
    <row r="2689" spans="1:19" ht="15" customHeight="1" x14ac:dyDescent="0.3">
      <c r="A2689" s="4">
        <v>45356</v>
      </c>
      <c r="B2689" s="5">
        <f t="shared" si="757"/>
        <v>3</v>
      </c>
      <c r="C2689" s="5">
        <f t="shared" si="75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137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49"/>
        <v>45356</v>
      </c>
      <c r="L2689" s="5">
        <f t="shared" si="750"/>
        <v>3</v>
      </c>
      <c r="M2689" s="5">
        <f t="shared" si="751"/>
        <v>2024</v>
      </c>
      <c r="N2689" s="12">
        <v>2146</v>
      </c>
      <c r="O2689" s="12"/>
      <c r="P2689" s="12">
        <f t="shared" si="761"/>
        <v>2146</v>
      </c>
      <c r="Q2689" s="7">
        <f t="shared" si="752"/>
        <v>4366944.25</v>
      </c>
      <c r="R2689" s="44" t="str">
        <f>VLOOKUP(F2689,'Set up'!$A$2:$E$55,5,FALSE)</f>
        <v>Trsf</v>
      </c>
    </row>
    <row r="2690" spans="1:19" ht="15" customHeight="1" x14ac:dyDescent="0.3">
      <c r="A2690" s="4">
        <v>45356</v>
      </c>
      <c r="B2690" s="5">
        <f t="shared" si="757"/>
        <v>3</v>
      </c>
      <c r="C2690" s="5">
        <f t="shared" si="75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137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49"/>
        <v>45356</v>
      </c>
      <c r="L2690" s="5">
        <f t="shared" si="750"/>
        <v>3</v>
      </c>
      <c r="M2690" s="5">
        <f t="shared" si="751"/>
        <v>2024</v>
      </c>
      <c r="N2690" s="12">
        <v>3510</v>
      </c>
      <c r="O2690" s="12"/>
      <c r="P2690" s="12">
        <f t="shared" si="761"/>
        <v>3510</v>
      </c>
      <c r="Q2690" s="7">
        <f t="shared" si="752"/>
        <v>4370454.25</v>
      </c>
      <c r="R2690" s="44" t="str">
        <f>VLOOKUP(F2690,'Set up'!$A$2:$E$55,5,FALSE)</f>
        <v>Trsf</v>
      </c>
    </row>
    <row r="2691" spans="1:19" ht="15" customHeight="1" x14ac:dyDescent="0.3">
      <c r="A2691" s="4">
        <v>45356</v>
      </c>
      <c r="B2691" s="5">
        <f t="shared" si="757"/>
        <v>3</v>
      </c>
      <c r="C2691" s="5">
        <f t="shared" si="75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137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63">A2691+J2691</f>
        <v>45356</v>
      </c>
      <c r="L2691" s="5">
        <f t="shared" ref="L2691:L2754" si="764">MONTH(K2691)</f>
        <v>3</v>
      </c>
      <c r="M2691" s="5">
        <f t="shared" ref="M2691:M2754" si="765">YEAR(K2691)</f>
        <v>2024</v>
      </c>
      <c r="N2691" s="12">
        <v>380</v>
      </c>
      <c r="O2691" s="12"/>
      <c r="P2691" s="12">
        <f t="shared" si="761"/>
        <v>380</v>
      </c>
      <c r="Q2691" s="7">
        <f t="shared" si="752"/>
        <v>4370834.25</v>
      </c>
      <c r="R2691" s="44" t="str">
        <f>VLOOKUP(F2691,'Set up'!$A$2:$E$55,5,FALSE)</f>
        <v>Trsf</v>
      </c>
    </row>
    <row r="2692" spans="1:19" ht="15" customHeight="1" x14ac:dyDescent="0.3">
      <c r="A2692" s="4">
        <v>45355</v>
      </c>
      <c r="B2692" s="5">
        <f t="shared" si="757"/>
        <v>3</v>
      </c>
      <c r="C2692" s="5">
        <f t="shared" si="75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13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63"/>
        <v>45415</v>
      </c>
      <c r="L2692" s="5">
        <f t="shared" si="764"/>
        <v>5</v>
      </c>
      <c r="M2692" s="5">
        <f t="shared" si="765"/>
        <v>2024</v>
      </c>
      <c r="N2692" s="12">
        <v>3212</v>
      </c>
      <c r="O2692" s="12"/>
      <c r="P2692" s="12">
        <f t="shared" si="761"/>
        <v>3212</v>
      </c>
      <c r="Q2692" s="7">
        <f t="shared" si="752"/>
        <v>4374046.25</v>
      </c>
      <c r="R2692" s="44" t="str">
        <f>VLOOKUP(F2692,'Set up'!$A$2:$E$55,5,FALSE)</f>
        <v>Chq</v>
      </c>
    </row>
    <row r="2693" spans="1:19" ht="15" customHeight="1" x14ac:dyDescent="0.3">
      <c r="A2693" s="4">
        <v>45356</v>
      </c>
      <c r="B2693" s="5">
        <f t="shared" si="757"/>
        <v>3</v>
      </c>
      <c r="C2693" s="5">
        <f t="shared" si="758"/>
        <v>2024</v>
      </c>
      <c r="D2693" s="5" t="s">
        <v>2502</v>
      </c>
      <c r="E2693" s="5" t="str">
        <f>VLOOKUP(F2693,'Set up'!$A$2:$C$55,2,FALSE)</f>
        <v>C00000044</v>
      </c>
      <c r="F2693" s="1" t="s">
        <v>2959</v>
      </c>
      <c r="G2693" s="118" t="s">
        <v>2364</v>
      </c>
      <c r="H2693" s="13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63"/>
        <v>45356</v>
      </c>
      <c r="L2693" s="5">
        <f t="shared" si="764"/>
        <v>3</v>
      </c>
      <c r="M2693" s="5">
        <f t="shared" si="765"/>
        <v>2024</v>
      </c>
      <c r="N2693" s="12">
        <v>1628</v>
      </c>
      <c r="O2693" s="6">
        <f t="shared" ref="O2693:O2694" si="766">-N2693</f>
        <v>-1628</v>
      </c>
      <c r="P2693" s="12">
        <f t="shared" si="761"/>
        <v>0</v>
      </c>
      <c r="Q2693" s="7">
        <f t="shared" si="752"/>
        <v>4375674.25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57"/>
        <v>3</v>
      </c>
      <c r="C2694" s="5">
        <f t="shared" si="758"/>
        <v>2024</v>
      </c>
      <c r="D2694" s="5" t="s">
        <v>2502</v>
      </c>
      <c r="E2694" s="5" t="str">
        <f>VLOOKUP(F2694,'Set up'!$A$2:$C$55,2,FALSE)</f>
        <v>C00000044</v>
      </c>
      <c r="F2694" s="1" t="s">
        <v>2959</v>
      </c>
      <c r="G2694" s="116" t="s">
        <v>2365</v>
      </c>
      <c r="H2694" s="13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63"/>
        <v>45356</v>
      </c>
      <c r="L2694" s="5">
        <f t="shared" si="764"/>
        <v>3</v>
      </c>
      <c r="M2694" s="5">
        <f t="shared" si="765"/>
        <v>2024</v>
      </c>
      <c r="N2694" s="12">
        <v>630</v>
      </c>
      <c r="O2694" s="6">
        <f t="shared" si="766"/>
        <v>-630</v>
      </c>
      <c r="P2694" s="12">
        <f t="shared" si="761"/>
        <v>0</v>
      </c>
      <c r="Q2694" s="7">
        <f t="shared" si="752"/>
        <v>4376304.25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57"/>
        <v>3</v>
      </c>
      <c r="C2695" s="5">
        <f t="shared" si="75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13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63"/>
        <v>45356</v>
      </c>
      <c r="L2695" s="5">
        <f t="shared" si="764"/>
        <v>3</v>
      </c>
      <c r="M2695" s="5">
        <f t="shared" si="765"/>
        <v>2024</v>
      </c>
      <c r="N2695" s="12">
        <v>1738</v>
      </c>
      <c r="O2695" s="12"/>
      <c r="P2695" s="12">
        <f t="shared" si="761"/>
        <v>1738</v>
      </c>
      <c r="Q2695" s="7">
        <f t="shared" si="752"/>
        <v>4378042.25</v>
      </c>
      <c r="R2695" s="44" t="str">
        <f>VLOOKUP(F2695,'Set up'!$A$2:$E$55,5,FALSE)</f>
        <v>Trsf</v>
      </c>
    </row>
    <row r="2696" spans="1:19" ht="15" customHeight="1" x14ac:dyDescent="0.3">
      <c r="A2696" s="4">
        <v>45356</v>
      </c>
      <c r="B2696" s="5">
        <f t="shared" si="757"/>
        <v>3</v>
      </c>
      <c r="C2696" s="5">
        <f t="shared" si="75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13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63"/>
        <v>45356</v>
      </c>
      <c r="L2696" s="5">
        <f t="shared" si="764"/>
        <v>3</v>
      </c>
      <c r="M2696" s="5">
        <f t="shared" si="765"/>
        <v>2024</v>
      </c>
      <c r="N2696" s="12">
        <v>110</v>
      </c>
      <c r="O2696" s="12"/>
      <c r="P2696" s="12">
        <f t="shared" si="761"/>
        <v>110</v>
      </c>
      <c r="Q2696" s="7">
        <f t="shared" si="752"/>
        <v>4378152.25</v>
      </c>
      <c r="R2696" s="44" t="str">
        <f>VLOOKUP(F2696,'Set up'!$A$2:$E$55,5,FALSE)</f>
        <v>Trsf</v>
      </c>
    </row>
    <row r="2697" spans="1:19" ht="15" customHeight="1" x14ac:dyDescent="0.3">
      <c r="A2697" s="4">
        <v>45358</v>
      </c>
      <c r="B2697" s="5">
        <f t="shared" si="757"/>
        <v>3</v>
      </c>
      <c r="C2697" s="5">
        <f t="shared" si="75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13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63"/>
        <v>45358</v>
      </c>
      <c r="L2697" s="5">
        <f t="shared" si="764"/>
        <v>3</v>
      </c>
      <c r="M2697" s="5">
        <f t="shared" si="765"/>
        <v>2024</v>
      </c>
      <c r="N2697" s="12">
        <v>1738</v>
      </c>
      <c r="O2697" s="6">
        <f t="shared" ref="O2697:O2699" si="767">-N2697</f>
        <v>-1738</v>
      </c>
      <c r="P2697" s="12">
        <f t="shared" si="761"/>
        <v>0</v>
      </c>
      <c r="Q2697" s="7">
        <f t="shared" si="752"/>
        <v>4379890.25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57"/>
        <v>3</v>
      </c>
      <c r="C2698" s="5">
        <f t="shared" si="75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13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63"/>
        <v>45358</v>
      </c>
      <c r="L2698" s="5">
        <f t="shared" si="764"/>
        <v>3</v>
      </c>
      <c r="M2698" s="5">
        <f t="shared" si="765"/>
        <v>2024</v>
      </c>
      <c r="N2698" s="12">
        <v>110</v>
      </c>
      <c r="O2698" s="6">
        <f t="shared" si="767"/>
        <v>-110</v>
      </c>
      <c r="P2698" s="12">
        <f t="shared" si="761"/>
        <v>0</v>
      </c>
      <c r="Q2698" s="7">
        <f t="shared" si="752"/>
        <v>4380000.25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57"/>
        <v>3</v>
      </c>
      <c r="C2699" s="5">
        <f t="shared" si="75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13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63"/>
        <v>45358</v>
      </c>
      <c r="L2699" s="5">
        <f t="shared" si="764"/>
        <v>3</v>
      </c>
      <c r="M2699" s="5">
        <f t="shared" si="765"/>
        <v>2024</v>
      </c>
      <c r="N2699" s="12">
        <v>125</v>
      </c>
      <c r="O2699" s="6">
        <f t="shared" si="767"/>
        <v>-125</v>
      </c>
      <c r="P2699" s="12">
        <f t="shared" si="761"/>
        <v>0</v>
      </c>
      <c r="Q2699" s="7">
        <f t="shared" si="752"/>
        <v>4380125.25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57"/>
        <v>3</v>
      </c>
      <c r="C2700" s="5">
        <f t="shared" si="75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99" t="s">
        <v>67</v>
      </c>
      <c r="H2700" s="13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63"/>
        <v>45408</v>
      </c>
      <c r="L2700" s="5">
        <f t="shared" si="764"/>
        <v>4</v>
      </c>
      <c r="M2700" s="5">
        <f t="shared" si="765"/>
        <v>2024</v>
      </c>
      <c r="N2700" s="12">
        <v>1738</v>
      </c>
      <c r="O2700" s="6">
        <f>-N2700</f>
        <v>-1738</v>
      </c>
      <c r="P2700" s="12">
        <f t="shared" si="761"/>
        <v>0</v>
      </c>
      <c r="Q2700" s="7">
        <f t="shared" si="752"/>
        <v>4381863.25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57"/>
        <v>3</v>
      </c>
      <c r="C2701" s="5">
        <f t="shared" si="75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8" t="s">
        <v>17</v>
      </c>
      <c r="H2701" s="13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63"/>
        <v>45408</v>
      </c>
      <c r="L2701" s="5">
        <f t="shared" si="764"/>
        <v>4</v>
      </c>
      <c r="M2701" s="5">
        <f t="shared" si="765"/>
        <v>2024</v>
      </c>
      <c r="N2701" s="12">
        <v>220</v>
      </c>
      <c r="O2701" s="6">
        <f>-N2701</f>
        <v>-220</v>
      </c>
      <c r="P2701" s="12">
        <f t="shared" si="761"/>
        <v>0</v>
      </c>
      <c r="Q2701" s="7">
        <f t="shared" si="752"/>
        <v>4382083.25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57"/>
        <v>3</v>
      </c>
      <c r="C2702" s="5">
        <f t="shared" si="75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8" t="s">
        <v>950</v>
      </c>
      <c r="H2702" s="13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63"/>
        <v>45408</v>
      </c>
      <c r="L2702" s="5">
        <f t="shared" si="764"/>
        <v>4</v>
      </c>
      <c r="M2702" s="5">
        <f t="shared" si="765"/>
        <v>2024</v>
      </c>
      <c r="N2702" s="12">
        <v>60</v>
      </c>
      <c r="O2702" s="6">
        <f>-N2702</f>
        <v>-60</v>
      </c>
      <c r="P2702" s="12">
        <f t="shared" si="761"/>
        <v>0</v>
      </c>
      <c r="Q2702" s="7">
        <f t="shared" si="752"/>
        <v>4382143.25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57"/>
        <v>3</v>
      </c>
      <c r="C2703" s="5">
        <f t="shared" si="75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3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63"/>
        <v>45484</v>
      </c>
      <c r="L2703" s="5">
        <f t="shared" si="764"/>
        <v>7</v>
      </c>
      <c r="M2703" s="5">
        <f t="shared" si="765"/>
        <v>2024</v>
      </c>
      <c r="N2703" s="12">
        <v>12848</v>
      </c>
      <c r="O2703" s="12"/>
      <c r="P2703" s="12">
        <f t="shared" si="761"/>
        <v>12848</v>
      </c>
      <c r="Q2703" s="7">
        <f t="shared" si="752"/>
        <v>4394991.25</v>
      </c>
      <c r="R2703" s="44" t="str">
        <f>VLOOKUP(F2703,'Set up'!$A$2:$E$55,5,FALSE)</f>
        <v>Trsf</v>
      </c>
    </row>
    <row r="2704" spans="1:19" ht="15" customHeight="1" x14ac:dyDescent="0.3">
      <c r="A2704" s="4">
        <v>45364</v>
      </c>
      <c r="B2704" s="5">
        <f t="shared" si="757"/>
        <v>3</v>
      </c>
      <c r="C2704" s="5">
        <f t="shared" si="75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137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63"/>
        <v>45484</v>
      </c>
      <c r="L2704" s="5">
        <f t="shared" si="764"/>
        <v>7</v>
      </c>
      <c r="M2704" s="5">
        <f t="shared" si="765"/>
        <v>2024</v>
      </c>
      <c r="N2704" s="12">
        <v>1073</v>
      </c>
      <c r="O2704" s="12"/>
      <c r="P2704" s="12">
        <f t="shared" si="761"/>
        <v>1073</v>
      </c>
      <c r="Q2704" s="7">
        <f t="shared" si="752"/>
        <v>4396064.25</v>
      </c>
      <c r="R2704" s="44" t="str">
        <f>VLOOKUP(F2704,'Set up'!$A$2:$E$55,5,FALSE)</f>
        <v>Trsf</v>
      </c>
    </row>
    <row r="2705" spans="1:19" ht="15" customHeight="1" x14ac:dyDescent="0.3">
      <c r="A2705" s="4">
        <v>45364</v>
      </c>
      <c r="B2705" s="5">
        <f t="shared" si="757"/>
        <v>3</v>
      </c>
      <c r="C2705" s="5">
        <f t="shared" si="75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137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63"/>
        <v>45484</v>
      </c>
      <c r="L2705" s="5">
        <f t="shared" si="764"/>
        <v>7</v>
      </c>
      <c r="M2705" s="5">
        <f t="shared" si="765"/>
        <v>2024</v>
      </c>
      <c r="N2705" s="12">
        <v>287.5</v>
      </c>
      <c r="O2705" s="12"/>
      <c r="P2705" s="12">
        <f t="shared" si="761"/>
        <v>287.5</v>
      </c>
      <c r="Q2705" s="7">
        <f t="shared" si="752"/>
        <v>4396351.75</v>
      </c>
      <c r="R2705" s="44" t="str">
        <f>VLOOKUP(F2705,'Set up'!$A$2:$E$55,5,FALSE)</f>
        <v>Trsf</v>
      </c>
    </row>
    <row r="2706" spans="1:19" ht="15" customHeight="1" x14ac:dyDescent="0.3">
      <c r="A2706" s="4">
        <v>45364</v>
      </c>
      <c r="B2706" s="5">
        <f t="shared" si="757"/>
        <v>3</v>
      </c>
      <c r="C2706" s="5">
        <f t="shared" si="75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137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63"/>
        <v>45484</v>
      </c>
      <c r="L2706" s="5">
        <f t="shared" si="764"/>
        <v>7</v>
      </c>
      <c r="M2706" s="5">
        <f t="shared" si="765"/>
        <v>2024</v>
      </c>
      <c r="N2706" s="12">
        <v>440</v>
      </c>
      <c r="O2706" s="12"/>
      <c r="P2706" s="12">
        <f t="shared" si="761"/>
        <v>440</v>
      </c>
      <c r="Q2706" s="7">
        <f t="shared" ref="Q2706:Q2769" si="768">SUM(Q2705+N2706)</f>
        <v>4396791.75</v>
      </c>
      <c r="R2706" s="44" t="str">
        <f>VLOOKUP(F2706,'Set up'!$A$2:$E$55,5,FALSE)</f>
        <v>Trsf</v>
      </c>
    </row>
    <row r="2707" spans="1:19" ht="15" customHeight="1" x14ac:dyDescent="0.3">
      <c r="A2707" s="4">
        <v>45364</v>
      </c>
      <c r="B2707" s="5">
        <f t="shared" si="757"/>
        <v>3</v>
      </c>
      <c r="C2707" s="5">
        <f t="shared" si="75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137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63"/>
        <v>45484</v>
      </c>
      <c r="L2707" s="5">
        <f t="shared" si="764"/>
        <v>7</v>
      </c>
      <c r="M2707" s="5">
        <f t="shared" si="765"/>
        <v>2024</v>
      </c>
      <c r="N2707" s="12">
        <v>420</v>
      </c>
      <c r="O2707" s="12"/>
      <c r="P2707" s="12">
        <f t="shared" si="761"/>
        <v>420</v>
      </c>
      <c r="Q2707" s="7">
        <f t="shared" si="768"/>
        <v>4397211.75</v>
      </c>
      <c r="R2707" s="44" t="str">
        <f>VLOOKUP(F2707,'Set up'!$A$2:$E$55,5,FALSE)</f>
        <v>Trsf</v>
      </c>
    </row>
    <row r="2708" spans="1:19" ht="15" customHeight="1" x14ac:dyDescent="0.3">
      <c r="A2708" s="4">
        <v>45364</v>
      </c>
      <c r="B2708" s="5">
        <f t="shared" si="757"/>
        <v>3</v>
      </c>
      <c r="C2708" s="5">
        <f t="shared" si="75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17" t="s">
        <v>1111</v>
      </c>
      <c r="H2708" s="13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63"/>
        <v>45364</v>
      </c>
      <c r="L2708" s="5">
        <f t="shared" si="764"/>
        <v>3</v>
      </c>
      <c r="M2708" s="5">
        <f t="shared" si="765"/>
        <v>2024</v>
      </c>
      <c r="N2708" s="12">
        <v>625</v>
      </c>
      <c r="O2708" s="12"/>
      <c r="P2708" s="12">
        <f t="shared" si="761"/>
        <v>625</v>
      </c>
      <c r="Q2708" s="7">
        <f t="shared" si="768"/>
        <v>4397836.75</v>
      </c>
      <c r="R2708" s="44" t="str">
        <f>VLOOKUP(F2708,'Set up'!$A$2:$E$55,5,FALSE)</f>
        <v>Trsf</v>
      </c>
    </row>
    <row r="2709" spans="1:19" ht="15" customHeight="1" x14ac:dyDescent="0.3">
      <c r="A2709" s="4">
        <v>45364</v>
      </c>
      <c r="B2709" s="5">
        <f t="shared" si="757"/>
        <v>3</v>
      </c>
      <c r="C2709" s="5">
        <f t="shared" si="75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17" t="s">
        <v>1734</v>
      </c>
      <c r="H2709" s="137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63"/>
        <v>45364</v>
      </c>
      <c r="L2709" s="5">
        <f t="shared" si="764"/>
        <v>3</v>
      </c>
      <c r="M2709" s="5">
        <f t="shared" si="765"/>
        <v>2024</v>
      </c>
      <c r="N2709" s="12">
        <v>16060</v>
      </c>
      <c r="O2709" s="12"/>
      <c r="P2709" s="12">
        <f t="shared" si="761"/>
        <v>16060</v>
      </c>
      <c r="Q2709" s="7">
        <f t="shared" si="768"/>
        <v>4413896.75</v>
      </c>
      <c r="R2709" s="44" t="str">
        <f>VLOOKUP(F2709,'Set up'!$A$2:$E$55,5,FALSE)</f>
        <v>Trsf</v>
      </c>
    </row>
    <row r="2710" spans="1:19" ht="15" customHeight="1" x14ac:dyDescent="0.3">
      <c r="A2710" s="4">
        <v>45364</v>
      </c>
      <c r="B2710" s="5">
        <f t="shared" si="757"/>
        <v>3</v>
      </c>
      <c r="C2710" s="5">
        <f t="shared" si="75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137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63"/>
        <v>45364</v>
      </c>
      <c r="L2710" s="5">
        <f t="shared" si="764"/>
        <v>3</v>
      </c>
      <c r="M2710" s="5">
        <f t="shared" si="765"/>
        <v>2024</v>
      </c>
      <c r="N2710" s="12">
        <v>5220</v>
      </c>
      <c r="O2710" s="12"/>
      <c r="P2710" s="12">
        <f t="shared" si="761"/>
        <v>5220</v>
      </c>
      <c r="Q2710" s="7">
        <f t="shared" si="768"/>
        <v>4419116.75</v>
      </c>
      <c r="R2710" s="44" t="str">
        <f>VLOOKUP(F2710,'Set up'!$A$2:$E$55,5,FALSE)</f>
        <v>Trsf</v>
      </c>
    </row>
    <row r="2711" spans="1:19" ht="15" customHeight="1" x14ac:dyDescent="0.3">
      <c r="A2711" s="4">
        <v>45364</v>
      </c>
      <c r="B2711" s="5">
        <f t="shared" si="757"/>
        <v>3</v>
      </c>
      <c r="C2711" s="5">
        <f t="shared" si="75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137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63"/>
        <v>45364</v>
      </c>
      <c r="L2711" s="5">
        <f t="shared" si="764"/>
        <v>3</v>
      </c>
      <c r="M2711" s="5">
        <f t="shared" si="765"/>
        <v>2024</v>
      </c>
      <c r="N2711" s="12">
        <v>3510</v>
      </c>
      <c r="O2711" s="12"/>
      <c r="P2711" s="12">
        <f t="shared" si="761"/>
        <v>3510</v>
      </c>
      <c r="Q2711" s="7">
        <f t="shared" si="768"/>
        <v>4422626.75</v>
      </c>
      <c r="R2711" s="44" t="str">
        <f>VLOOKUP(F2711,'Set up'!$A$2:$E$55,5,FALSE)</f>
        <v>Trsf</v>
      </c>
    </row>
    <row r="2712" spans="1:19" ht="15" customHeight="1" x14ac:dyDescent="0.3">
      <c r="A2712" s="4">
        <v>45364</v>
      </c>
      <c r="B2712" s="5">
        <f t="shared" si="757"/>
        <v>3</v>
      </c>
      <c r="C2712" s="5">
        <f t="shared" si="75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137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63"/>
        <v>45364</v>
      </c>
      <c r="L2712" s="5">
        <f t="shared" si="764"/>
        <v>3</v>
      </c>
      <c r="M2712" s="5">
        <f t="shared" si="765"/>
        <v>2024</v>
      </c>
      <c r="N2712" s="12">
        <v>1000</v>
      </c>
      <c r="O2712" s="12"/>
      <c r="P2712" s="12">
        <f t="shared" si="761"/>
        <v>1000</v>
      </c>
      <c r="Q2712" s="7">
        <f t="shared" si="768"/>
        <v>4423626.75</v>
      </c>
      <c r="R2712" s="44" t="str">
        <f>VLOOKUP(F2712,'Set up'!$A$2:$E$55,5,FALSE)</f>
        <v>Trsf</v>
      </c>
    </row>
    <row r="2713" spans="1:19" ht="15" customHeight="1" x14ac:dyDescent="0.3">
      <c r="A2713" s="4">
        <v>45364</v>
      </c>
      <c r="B2713" s="5">
        <f t="shared" si="757"/>
        <v>3</v>
      </c>
      <c r="C2713" s="5">
        <f t="shared" si="75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137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63"/>
        <v>45364</v>
      </c>
      <c r="L2713" s="5">
        <f t="shared" si="764"/>
        <v>3</v>
      </c>
      <c r="M2713" s="5">
        <f t="shared" si="765"/>
        <v>2024</v>
      </c>
      <c r="N2713" s="12">
        <v>360</v>
      </c>
      <c r="O2713" s="12"/>
      <c r="P2713" s="12">
        <f t="shared" si="761"/>
        <v>360</v>
      </c>
      <c r="Q2713" s="7">
        <f t="shared" si="768"/>
        <v>4423986.75</v>
      </c>
      <c r="R2713" s="44" t="str">
        <f>VLOOKUP(F2713,'Set up'!$A$2:$E$55,5,FALSE)</f>
        <v>Trsf</v>
      </c>
    </row>
    <row r="2714" spans="1:19" ht="15" customHeight="1" x14ac:dyDescent="0.3">
      <c r="A2714" s="4">
        <v>45364</v>
      </c>
      <c r="B2714" s="5">
        <f t="shared" si="757"/>
        <v>3</v>
      </c>
      <c r="C2714" s="5">
        <f t="shared" si="75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8" t="s">
        <v>1062</v>
      </c>
      <c r="H2714" s="138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63"/>
        <v>45364</v>
      </c>
      <c r="L2714" s="5">
        <f t="shared" si="764"/>
        <v>3</v>
      </c>
      <c r="M2714" s="5">
        <f t="shared" si="765"/>
        <v>2024</v>
      </c>
      <c r="N2714" s="12">
        <v>380</v>
      </c>
      <c r="O2714" s="12"/>
      <c r="P2714" s="12">
        <f t="shared" si="761"/>
        <v>380</v>
      </c>
      <c r="Q2714" s="7">
        <f t="shared" si="768"/>
        <v>4424366.75</v>
      </c>
      <c r="R2714" s="44" t="str">
        <f>VLOOKUP(F2714,'Set up'!$A$2:$E$55,5,FALSE)</f>
        <v>Trsf</v>
      </c>
    </row>
    <row r="2715" spans="1:19" ht="15" customHeight="1" x14ac:dyDescent="0.3">
      <c r="A2715" s="4">
        <v>45367</v>
      </c>
      <c r="B2715" s="5">
        <f t="shared" si="757"/>
        <v>3</v>
      </c>
      <c r="C2715" s="5">
        <f t="shared" si="75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137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63"/>
        <v>45367</v>
      </c>
      <c r="L2715" s="5">
        <f t="shared" si="764"/>
        <v>3</v>
      </c>
      <c r="M2715" s="5">
        <f t="shared" si="765"/>
        <v>2024</v>
      </c>
      <c r="N2715" s="12">
        <v>3212</v>
      </c>
      <c r="O2715" s="6">
        <f t="shared" ref="O2715:O2717" si="769">-N2715</f>
        <v>-3212</v>
      </c>
      <c r="P2715" s="12">
        <f t="shared" si="761"/>
        <v>0</v>
      </c>
      <c r="Q2715" s="7">
        <f t="shared" si="768"/>
        <v>4427578.75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57"/>
        <v>3</v>
      </c>
      <c r="C2716" s="5">
        <f t="shared" si="75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137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63"/>
        <v>45367</v>
      </c>
      <c r="L2716" s="5">
        <f t="shared" si="764"/>
        <v>3</v>
      </c>
      <c r="M2716" s="5">
        <f t="shared" si="765"/>
        <v>2024</v>
      </c>
      <c r="N2716" s="12">
        <v>828</v>
      </c>
      <c r="O2716" s="6">
        <f t="shared" si="769"/>
        <v>-828</v>
      </c>
      <c r="P2716" s="12">
        <f t="shared" si="761"/>
        <v>0</v>
      </c>
      <c r="Q2716" s="7">
        <f t="shared" si="768"/>
        <v>4428406.75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57"/>
        <v>3</v>
      </c>
      <c r="C2717" s="5">
        <f t="shared" si="75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137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63"/>
        <v>45367</v>
      </c>
      <c r="L2717" s="5">
        <f t="shared" si="764"/>
        <v>3</v>
      </c>
      <c r="M2717" s="5">
        <f t="shared" si="765"/>
        <v>2024</v>
      </c>
      <c r="N2717" s="12">
        <v>567.6</v>
      </c>
      <c r="O2717" s="6">
        <f t="shared" si="769"/>
        <v>-567.6</v>
      </c>
      <c r="P2717" s="12">
        <f t="shared" si="761"/>
        <v>0</v>
      </c>
      <c r="Q2717" s="7">
        <f t="shared" si="768"/>
        <v>4428974.3499999996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57"/>
        <v>3</v>
      </c>
      <c r="C2718" s="5">
        <f t="shared" si="75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137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63"/>
        <v>45367</v>
      </c>
      <c r="L2718" s="5">
        <f t="shared" si="764"/>
        <v>3</v>
      </c>
      <c r="M2718" s="5">
        <f t="shared" si="765"/>
        <v>2024</v>
      </c>
      <c r="N2718" s="12">
        <v>110</v>
      </c>
      <c r="O2718" s="6">
        <f t="shared" ref="O2718:O2719" si="770">-N2718</f>
        <v>-110</v>
      </c>
      <c r="P2718" s="12">
        <f t="shared" si="761"/>
        <v>0</v>
      </c>
      <c r="Q2718" s="7">
        <f t="shared" si="768"/>
        <v>4429084.3499999996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57"/>
        <v>3</v>
      </c>
      <c r="C2719" s="5">
        <f t="shared" si="75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8" t="s">
        <v>1887</v>
      </c>
      <c r="H2719" s="137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63"/>
        <v>45367</v>
      </c>
      <c r="L2719" s="5">
        <f t="shared" si="764"/>
        <v>3</v>
      </c>
      <c r="M2719" s="5">
        <f t="shared" si="765"/>
        <v>2024</v>
      </c>
      <c r="N2719" s="12">
        <v>160</v>
      </c>
      <c r="O2719" s="6">
        <f t="shared" si="770"/>
        <v>-160</v>
      </c>
      <c r="P2719" s="12">
        <f t="shared" si="761"/>
        <v>0</v>
      </c>
      <c r="Q2719" s="7">
        <f t="shared" si="768"/>
        <v>4429244.3499999996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771">MONTH(A2720)</f>
        <v>3</v>
      </c>
      <c r="C2720" s="5">
        <f t="shared" ref="C2720:C2783" si="77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13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63"/>
        <v>45367</v>
      </c>
      <c r="L2720" s="5">
        <f t="shared" si="764"/>
        <v>3</v>
      </c>
      <c r="M2720" s="5">
        <f t="shared" si="765"/>
        <v>2024</v>
      </c>
      <c r="N2720" s="12">
        <v>200</v>
      </c>
      <c r="O2720" s="6">
        <f t="shared" ref="O2720" si="773">-N2720</f>
        <v>-200</v>
      </c>
      <c r="P2720" s="12">
        <f t="shared" si="761"/>
        <v>0</v>
      </c>
      <c r="Q2720" s="7">
        <f t="shared" si="768"/>
        <v>4429444.3499999996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771"/>
        <v>3</v>
      </c>
      <c r="C2721" s="5">
        <f t="shared" si="77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137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63"/>
        <v>45367</v>
      </c>
      <c r="L2721" s="5">
        <f t="shared" si="764"/>
        <v>3</v>
      </c>
      <c r="M2721" s="5">
        <f t="shared" si="765"/>
        <v>2024</v>
      </c>
      <c r="N2721" s="12">
        <v>1738</v>
      </c>
      <c r="O2721" s="12"/>
      <c r="P2721" s="12">
        <f t="shared" si="761"/>
        <v>1738</v>
      </c>
      <c r="Q2721" s="7">
        <f t="shared" si="768"/>
        <v>4431182.3499999996</v>
      </c>
      <c r="R2721" s="44" t="str">
        <f>VLOOKUP(F2721,'Set up'!$A$2:$E$55,5,FALSE)</f>
        <v>Trsf</v>
      </c>
    </row>
    <row r="2722" spans="1:18" ht="15" customHeight="1" x14ac:dyDescent="0.3">
      <c r="A2722" s="4">
        <v>45367</v>
      </c>
      <c r="B2722" s="5">
        <f t="shared" si="771"/>
        <v>3</v>
      </c>
      <c r="C2722" s="5">
        <f t="shared" si="77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137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63"/>
        <v>45367</v>
      </c>
      <c r="L2722" s="5">
        <f t="shared" si="764"/>
        <v>3</v>
      </c>
      <c r="M2722" s="5">
        <f t="shared" si="765"/>
        <v>2024</v>
      </c>
      <c r="N2722" s="12">
        <v>405</v>
      </c>
      <c r="O2722" s="12"/>
      <c r="P2722" s="12">
        <f t="shared" si="761"/>
        <v>405</v>
      </c>
      <c r="Q2722" s="7">
        <f t="shared" si="768"/>
        <v>4431587.3499999996</v>
      </c>
      <c r="R2722" s="44" t="str">
        <f>VLOOKUP(F2722,'Set up'!$A$2:$E$55,5,FALSE)</f>
        <v>Trsf</v>
      </c>
    </row>
    <row r="2723" spans="1:18" ht="15" customHeight="1" x14ac:dyDescent="0.3">
      <c r="A2723" s="4">
        <v>45367</v>
      </c>
      <c r="B2723" s="5">
        <f t="shared" si="771"/>
        <v>3</v>
      </c>
      <c r="C2723" s="5">
        <f t="shared" si="77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137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63"/>
        <v>45367</v>
      </c>
      <c r="L2723" s="5">
        <f t="shared" si="764"/>
        <v>3</v>
      </c>
      <c r="M2723" s="5">
        <f t="shared" si="765"/>
        <v>2024</v>
      </c>
      <c r="N2723" s="12">
        <v>187.5</v>
      </c>
      <c r="O2723" s="12"/>
      <c r="P2723" s="12">
        <f t="shared" si="761"/>
        <v>187.5</v>
      </c>
      <c r="Q2723" s="7">
        <f t="shared" si="768"/>
        <v>4431774.8499999996</v>
      </c>
      <c r="R2723" s="44" t="str">
        <f>VLOOKUP(F2723,'Set up'!$A$2:$E$55,5,FALSE)</f>
        <v>Trsf</v>
      </c>
    </row>
    <row r="2724" spans="1:18" ht="15" customHeight="1" x14ac:dyDescent="0.3">
      <c r="A2724" s="4">
        <v>45367</v>
      </c>
      <c r="B2724" s="5">
        <f t="shared" si="771"/>
        <v>3</v>
      </c>
      <c r="C2724" s="5">
        <f t="shared" si="77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137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63"/>
        <v>45367</v>
      </c>
      <c r="L2724" s="5">
        <f t="shared" si="764"/>
        <v>3</v>
      </c>
      <c r="M2724" s="5">
        <f t="shared" si="765"/>
        <v>2024</v>
      </c>
      <c r="N2724" s="12">
        <v>110</v>
      </c>
      <c r="O2724" s="12"/>
      <c r="P2724" s="12">
        <f t="shared" si="761"/>
        <v>110</v>
      </c>
      <c r="Q2724" s="7">
        <f t="shared" si="768"/>
        <v>4431884.8499999996</v>
      </c>
      <c r="R2724" s="44" t="str">
        <f>VLOOKUP(F2724,'Set up'!$A$2:$E$55,5,FALSE)</f>
        <v>Trsf</v>
      </c>
    </row>
    <row r="2725" spans="1:18" ht="15" customHeight="1" x14ac:dyDescent="0.3">
      <c r="A2725" s="4">
        <v>45367</v>
      </c>
      <c r="B2725" s="5">
        <f t="shared" si="771"/>
        <v>3</v>
      </c>
      <c r="C2725" s="5">
        <f t="shared" si="77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137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63"/>
        <v>45367</v>
      </c>
      <c r="L2725" s="5">
        <f t="shared" si="764"/>
        <v>3</v>
      </c>
      <c r="M2725" s="5">
        <f t="shared" si="765"/>
        <v>2024</v>
      </c>
      <c r="N2725" s="12">
        <v>390</v>
      </c>
      <c r="O2725" s="12"/>
      <c r="P2725" s="12">
        <f t="shared" si="761"/>
        <v>390</v>
      </c>
      <c r="Q2725" s="7">
        <f t="shared" si="768"/>
        <v>4432274.8499999996</v>
      </c>
      <c r="R2725" s="44" t="str">
        <f>VLOOKUP(F2725,'Set up'!$A$2:$E$55,5,FALSE)</f>
        <v>Trsf</v>
      </c>
    </row>
    <row r="2726" spans="1:18" ht="15" customHeight="1" x14ac:dyDescent="0.3">
      <c r="A2726" s="4">
        <v>45367</v>
      </c>
      <c r="B2726" s="5">
        <f t="shared" si="771"/>
        <v>3</v>
      </c>
      <c r="C2726" s="5">
        <f t="shared" si="77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137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63"/>
        <v>45367</v>
      </c>
      <c r="L2726" s="5">
        <f t="shared" si="764"/>
        <v>3</v>
      </c>
      <c r="M2726" s="5">
        <f t="shared" si="765"/>
        <v>2024</v>
      </c>
      <c r="N2726" s="12">
        <v>283.8</v>
      </c>
      <c r="O2726" s="12"/>
      <c r="P2726" s="12">
        <f t="shared" si="761"/>
        <v>283.8</v>
      </c>
      <c r="Q2726" s="7">
        <f t="shared" si="768"/>
        <v>4432558.6499999994</v>
      </c>
      <c r="R2726" s="44" t="str">
        <f>VLOOKUP(F2726,'Set up'!$A$2:$E$55,5,FALSE)</f>
        <v>Trsf</v>
      </c>
    </row>
    <row r="2727" spans="1:18" ht="15" customHeight="1" x14ac:dyDescent="0.3">
      <c r="A2727" s="4">
        <v>45367</v>
      </c>
      <c r="B2727" s="5">
        <f t="shared" si="771"/>
        <v>3</v>
      </c>
      <c r="C2727" s="5">
        <f t="shared" si="77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137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63"/>
        <v>45367</v>
      </c>
      <c r="L2727" s="5">
        <f t="shared" si="764"/>
        <v>3</v>
      </c>
      <c r="M2727" s="5">
        <f t="shared" si="765"/>
        <v>2024</v>
      </c>
      <c r="N2727" s="12">
        <v>260</v>
      </c>
      <c r="O2727" s="12"/>
      <c r="P2727" s="12">
        <f t="shared" si="761"/>
        <v>260</v>
      </c>
      <c r="Q2727" s="7">
        <f t="shared" si="768"/>
        <v>4432818.6499999994</v>
      </c>
      <c r="R2727" s="44" t="str">
        <f>VLOOKUP(F2727,'Set up'!$A$2:$E$55,5,FALSE)</f>
        <v>Trsf</v>
      </c>
    </row>
    <row r="2728" spans="1:18" ht="15" customHeight="1" x14ac:dyDescent="0.3">
      <c r="A2728" s="4">
        <v>45367</v>
      </c>
      <c r="B2728" s="5">
        <f t="shared" si="771"/>
        <v>3</v>
      </c>
      <c r="C2728" s="5">
        <f t="shared" si="77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137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63"/>
        <v>45367</v>
      </c>
      <c r="L2728" s="5">
        <f t="shared" si="764"/>
        <v>3</v>
      </c>
      <c r="M2728" s="5">
        <f t="shared" si="765"/>
        <v>2024</v>
      </c>
      <c r="N2728" s="12">
        <v>120</v>
      </c>
      <c r="O2728" s="12"/>
      <c r="P2728" s="12">
        <f t="shared" si="761"/>
        <v>120</v>
      </c>
      <c r="Q2728" s="7">
        <f t="shared" si="768"/>
        <v>4432938.6499999994</v>
      </c>
      <c r="R2728" s="44" t="str">
        <f>VLOOKUP(F2728,'Set up'!$A$2:$E$55,5,FALSE)</f>
        <v>Trsf</v>
      </c>
    </row>
    <row r="2729" spans="1:18" ht="15" customHeight="1" x14ac:dyDescent="0.3">
      <c r="A2729" s="4">
        <v>45367</v>
      </c>
      <c r="B2729" s="5">
        <f t="shared" si="771"/>
        <v>3</v>
      </c>
      <c r="C2729" s="5">
        <f t="shared" si="77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17" t="s">
        <v>1111</v>
      </c>
      <c r="H2729" s="13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63"/>
        <v>45367</v>
      </c>
      <c r="L2729" s="5">
        <f t="shared" si="764"/>
        <v>3</v>
      </c>
      <c r="M2729" s="5">
        <f t="shared" si="765"/>
        <v>2024</v>
      </c>
      <c r="N2729" s="12">
        <v>187.5</v>
      </c>
      <c r="O2729" s="12"/>
      <c r="P2729" s="12">
        <f>SUM(N2729+O2729)</f>
        <v>187.5</v>
      </c>
      <c r="Q2729" s="7">
        <f t="shared" si="768"/>
        <v>4433126.1499999994</v>
      </c>
      <c r="R2729" s="44" t="str">
        <f>VLOOKUP(F2729,'Set up'!$A$2:$E$55,5,FALSE)</f>
        <v>Trsf</v>
      </c>
    </row>
    <row r="2730" spans="1:18" ht="15" customHeight="1" x14ac:dyDescent="0.3">
      <c r="A2730" s="4">
        <v>45367</v>
      </c>
      <c r="B2730" s="5">
        <f t="shared" si="771"/>
        <v>3</v>
      </c>
      <c r="C2730" s="5">
        <f t="shared" si="77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17" t="s">
        <v>1734</v>
      </c>
      <c r="H2730" s="137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63"/>
        <v>45367</v>
      </c>
      <c r="L2730" s="5">
        <f t="shared" si="764"/>
        <v>3</v>
      </c>
      <c r="M2730" s="5">
        <f t="shared" si="765"/>
        <v>2024</v>
      </c>
      <c r="N2730" s="12">
        <v>4818</v>
      </c>
      <c r="O2730" s="12"/>
      <c r="P2730" s="12">
        <f t="shared" ref="P2730:P2772" si="774">SUM(N2730+O2730)</f>
        <v>4818</v>
      </c>
      <c r="Q2730" s="7">
        <f t="shared" si="768"/>
        <v>4437944.1499999994</v>
      </c>
      <c r="R2730" s="44" t="str">
        <f>VLOOKUP(F2730,'Set up'!$A$2:$E$55,5,FALSE)</f>
        <v>Trsf</v>
      </c>
    </row>
    <row r="2731" spans="1:18" ht="15" customHeight="1" x14ac:dyDescent="0.3">
      <c r="A2731" s="4">
        <v>45367</v>
      </c>
      <c r="B2731" s="5">
        <f t="shared" si="771"/>
        <v>3</v>
      </c>
      <c r="C2731" s="5">
        <f t="shared" si="77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137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63"/>
        <v>45367</v>
      </c>
      <c r="L2731" s="5">
        <f t="shared" si="764"/>
        <v>3</v>
      </c>
      <c r="M2731" s="5">
        <f t="shared" si="765"/>
        <v>2024</v>
      </c>
      <c r="N2731" s="12">
        <v>1931.4</v>
      </c>
      <c r="O2731" s="12"/>
      <c r="P2731" s="12">
        <f t="shared" si="774"/>
        <v>1931.4</v>
      </c>
      <c r="Q2731" s="7">
        <f t="shared" si="768"/>
        <v>4439875.55</v>
      </c>
      <c r="R2731" s="44" t="str">
        <f>VLOOKUP(F2731,'Set up'!$A$2:$E$55,5,FALSE)</f>
        <v>Trsf</v>
      </c>
    </row>
    <row r="2732" spans="1:18" ht="15" customHeight="1" x14ac:dyDescent="0.3">
      <c r="A2732" s="4">
        <v>45367</v>
      </c>
      <c r="B2732" s="5">
        <f t="shared" si="771"/>
        <v>3</v>
      </c>
      <c r="C2732" s="5">
        <f t="shared" si="77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137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63"/>
        <v>45367</v>
      </c>
      <c r="L2732" s="5">
        <f t="shared" si="764"/>
        <v>3</v>
      </c>
      <c r="M2732" s="5">
        <f t="shared" si="765"/>
        <v>2024</v>
      </c>
      <c r="N2732" s="12">
        <v>1170</v>
      </c>
      <c r="O2732" s="12"/>
      <c r="P2732" s="12">
        <f t="shared" si="774"/>
        <v>1170</v>
      </c>
      <c r="Q2732" s="7">
        <f t="shared" si="768"/>
        <v>4441045.55</v>
      </c>
      <c r="R2732" s="44" t="str">
        <f>VLOOKUP(F2732,'Set up'!$A$2:$E$55,5,FALSE)</f>
        <v>Trsf</v>
      </c>
    </row>
    <row r="2733" spans="1:18" ht="15" customHeight="1" x14ac:dyDescent="0.3">
      <c r="A2733" s="4">
        <v>45367</v>
      </c>
      <c r="B2733" s="5">
        <f t="shared" si="771"/>
        <v>3</v>
      </c>
      <c r="C2733" s="5">
        <f t="shared" si="77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137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63"/>
        <v>45367</v>
      </c>
      <c r="L2733" s="5">
        <f t="shared" si="764"/>
        <v>3</v>
      </c>
      <c r="M2733" s="5">
        <f t="shared" si="765"/>
        <v>2024</v>
      </c>
      <c r="N2733" s="12">
        <v>1000</v>
      </c>
      <c r="O2733" s="12"/>
      <c r="P2733" s="12">
        <f t="shared" si="774"/>
        <v>1000</v>
      </c>
      <c r="Q2733" s="7">
        <f t="shared" si="768"/>
        <v>4442045.55</v>
      </c>
      <c r="R2733" s="44" t="str">
        <f>VLOOKUP(F2733,'Set up'!$A$2:$E$55,5,FALSE)</f>
        <v>Trsf</v>
      </c>
    </row>
    <row r="2734" spans="1:18" ht="15" customHeight="1" x14ac:dyDescent="0.3">
      <c r="A2734" s="4">
        <v>45367</v>
      </c>
      <c r="B2734" s="5">
        <f t="shared" si="771"/>
        <v>3</v>
      </c>
      <c r="C2734" s="5">
        <f t="shared" si="77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137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63"/>
        <v>45367</v>
      </c>
      <c r="L2734" s="5">
        <f t="shared" si="764"/>
        <v>3</v>
      </c>
      <c r="M2734" s="5">
        <f t="shared" si="765"/>
        <v>2024</v>
      </c>
      <c r="N2734" s="12">
        <v>380</v>
      </c>
      <c r="O2734" s="12"/>
      <c r="P2734" s="12">
        <f t="shared" si="774"/>
        <v>380</v>
      </c>
      <c r="Q2734" s="7">
        <f t="shared" si="768"/>
        <v>4442425.55</v>
      </c>
      <c r="R2734" s="44" t="str">
        <f>VLOOKUP(F2734,'Set up'!$A$2:$E$55,5,FALSE)</f>
        <v>Trsf</v>
      </c>
    </row>
    <row r="2735" spans="1:18" ht="15" customHeight="1" x14ac:dyDescent="0.3">
      <c r="A2735" s="4">
        <v>45370</v>
      </c>
      <c r="B2735" s="5">
        <f t="shared" si="771"/>
        <v>3</v>
      </c>
      <c r="C2735" s="5">
        <f t="shared" si="77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17" t="s">
        <v>1111</v>
      </c>
      <c r="H2735" s="13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63"/>
        <v>45370</v>
      </c>
      <c r="L2735" s="5">
        <f t="shared" si="764"/>
        <v>3</v>
      </c>
      <c r="M2735" s="5">
        <f t="shared" si="765"/>
        <v>2024</v>
      </c>
      <c r="N2735" s="12">
        <v>125</v>
      </c>
      <c r="O2735" s="12"/>
      <c r="P2735" s="12">
        <f t="shared" si="774"/>
        <v>125</v>
      </c>
      <c r="Q2735" s="7">
        <f t="shared" si="768"/>
        <v>4442550.55</v>
      </c>
      <c r="R2735" s="44" t="str">
        <f>VLOOKUP(F2735,'Set up'!$A$2:$E$55,5,FALSE)</f>
        <v>Trsf</v>
      </c>
    </row>
    <row r="2736" spans="1:18" ht="15" customHeight="1" x14ac:dyDescent="0.3">
      <c r="A2736" s="4">
        <v>45370</v>
      </c>
      <c r="B2736" s="5">
        <f t="shared" si="771"/>
        <v>3</v>
      </c>
      <c r="C2736" s="5">
        <f t="shared" si="77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17" t="s">
        <v>1734</v>
      </c>
      <c r="H2736" s="137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63"/>
        <v>45370</v>
      </c>
      <c r="L2736" s="5">
        <f t="shared" si="764"/>
        <v>3</v>
      </c>
      <c r="M2736" s="5">
        <f t="shared" si="765"/>
        <v>2024</v>
      </c>
      <c r="N2736" s="12">
        <v>3212</v>
      </c>
      <c r="O2736" s="12"/>
      <c r="P2736" s="12">
        <f t="shared" si="774"/>
        <v>3212</v>
      </c>
      <c r="Q2736" s="7">
        <f t="shared" si="768"/>
        <v>4445762.55</v>
      </c>
      <c r="R2736" s="44" t="str">
        <f>VLOOKUP(F2736,'Set up'!$A$2:$E$55,5,FALSE)</f>
        <v>Trsf</v>
      </c>
    </row>
    <row r="2737" spans="1:19" ht="15" customHeight="1" x14ac:dyDescent="0.3">
      <c r="A2737" s="4">
        <v>45370</v>
      </c>
      <c r="B2737" s="5">
        <f t="shared" si="771"/>
        <v>3</v>
      </c>
      <c r="C2737" s="5">
        <f t="shared" si="77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137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63"/>
        <v>45370</v>
      </c>
      <c r="L2737" s="5">
        <f t="shared" si="764"/>
        <v>3</v>
      </c>
      <c r="M2737" s="5">
        <f t="shared" si="765"/>
        <v>2024</v>
      </c>
      <c r="N2737" s="12">
        <v>1073</v>
      </c>
      <c r="O2737" s="12"/>
      <c r="P2737" s="12">
        <f t="shared" si="774"/>
        <v>1073</v>
      </c>
      <c r="Q2737" s="7">
        <f t="shared" si="768"/>
        <v>4446835.55</v>
      </c>
      <c r="R2737" s="44" t="str">
        <f>VLOOKUP(F2737,'Set up'!$A$2:$E$55,5,FALSE)</f>
        <v>Trsf</v>
      </c>
    </row>
    <row r="2738" spans="1:19" ht="15" customHeight="1" x14ac:dyDescent="0.3">
      <c r="A2738" s="4">
        <v>45370</v>
      </c>
      <c r="B2738" s="5">
        <f t="shared" si="771"/>
        <v>3</v>
      </c>
      <c r="C2738" s="5">
        <f t="shared" si="77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137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63"/>
        <v>45370</v>
      </c>
      <c r="L2738" s="5">
        <f t="shared" si="764"/>
        <v>3</v>
      </c>
      <c r="M2738" s="5">
        <f t="shared" si="765"/>
        <v>2024</v>
      </c>
      <c r="N2738" s="12">
        <v>702</v>
      </c>
      <c r="O2738" s="12"/>
      <c r="P2738" s="12">
        <f t="shared" si="774"/>
        <v>702</v>
      </c>
      <c r="Q2738" s="7">
        <f t="shared" si="768"/>
        <v>4447537.55</v>
      </c>
      <c r="R2738" s="44" t="str">
        <f>VLOOKUP(F2738,'Set up'!$A$2:$E$55,5,FALSE)</f>
        <v>Trsf</v>
      </c>
    </row>
    <row r="2739" spans="1:19" ht="15" customHeight="1" x14ac:dyDescent="0.3">
      <c r="A2739" s="4">
        <v>45370</v>
      </c>
      <c r="B2739" s="5">
        <f t="shared" si="771"/>
        <v>3</v>
      </c>
      <c r="C2739" s="5">
        <f t="shared" si="77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137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63"/>
        <v>45370</v>
      </c>
      <c r="L2739" s="5">
        <f t="shared" si="764"/>
        <v>3</v>
      </c>
      <c r="M2739" s="5">
        <f t="shared" si="765"/>
        <v>2024</v>
      </c>
      <c r="N2739" s="12">
        <v>1000</v>
      </c>
      <c r="O2739" s="12"/>
      <c r="P2739" s="12">
        <f t="shared" si="774"/>
        <v>1000</v>
      </c>
      <c r="Q2739" s="7">
        <f t="shared" si="768"/>
        <v>4448537.55</v>
      </c>
      <c r="R2739" s="44" t="str">
        <f>VLOOKUP(F2739,'Set up'!$A$2:$E$55,5,FALSE)</f>
        <v>Trsf</v>
      </c>
    </row>
    <row r="2740" spans="1:19" ht="15" customHeight="1" x14ac:dyDescent="0.3">
      <c r="A2740" s="4">
        <v>45371</v>
      </c>
      <c r="B2740" s="5">
        <f t="shared" si="771"/>
        <v>3</v>
      </c>
      <c r="C2740" s="5">
        <f t="shared" si="77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38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63"/>
        <v>45401</v>
      </c>
      <c r="L2740" s="5">
        <f t="shared" si="764"/>
        <v>4</v>
      </c>
      <c r="M2740" s="5">
        <f t="shared" si="765"/>
        <v>2024</v>
      </c>
      <c r="N2740" s="12">
        <v>5214</v>
      </c>
      <c r="O2740" s="6">
        <f t="shared" ref="O2740:O2744" si="775">-N2740</f>
        <v>-5214</v>
      </c>
      <c r="P2740" s="12">
        <f t="shared" si="774"/>
        <v>0</v>
      </c>
      <c r="Q2740" s="7">
        <f t="shared" si="768"/>
        <v>4453751.55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771"/>
        <v>3</v>
      </c>
      <c r="C2741" s="5">
        <f t="shared" si="77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38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63"/>
        <v>45401</v>
      </c>
      <c r="L2741" s="5">
        <f t="shared" si="764"/>
        <v>4</v>
      </c>
      <c r="M2741" s="5">
        <f t="shared" si="765"/>
        <v>2024</v>
      </c>
      <c r="N2741" s="12">
        <v>1263.5999999999999</v>
      </c>
      <c r="O2741" s="6">
        <f t="shared" si="775"/>
        <v>-1263.5999999999999</v>
      </c>
      <c r="P2741" s="12">
        <f t="shared" si="774"/>
        <v>0</v>
      </c>
      <c r="Q2741" s="7">
        <f t="shared" si="768"/>
        <v>4455015.1499999994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771"/>
        <v>3</v>
      </c>
      <c r="C2742" s="5">
        <f t="shared" si="77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137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63"/>
        <v>45401</v>
      </c>
      <c r="L2742" s="5">
        <f t="shared" si="764"/>
        <v>4</v>
      </c>
      <c r="M2742" s="5">
        <f t="shared" si="765"/>
        <v>2024</v>
      </c>
      <c r="N2742" s="12">
        <v>240</v>
      </c>
      <c r="O2742" s="6">
        <f t="shared" si="775"/>
        <v>-240</v>
      </c>
      <c r="P2742" s="12">
        <f t="shared" si="774"/>
        <v>0</v>
      </c>
      <c r="Q2742" s="7">
        <f t="shared" si="768"/>
        <v>4455255.1499999994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771"/>
        <v>3</v>
      </c>
      <c r="C2743" s="5">
        <f t="shared" si="77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8" t="s">
        <v>2215</v>
      </c>
      <c r="H2743" s="138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63"/>
        <v>45401</v>
      </c>
      <c r="L2743" s="5">
        <f t="shared" si="764"/>
        <v>4</v>
      </c>
      <c r="M2743" s="5">
        <f t="shared" si="765"/>
        <v>2024</v>
      </c>
      <c r="N2743" s="12">
        <v>572</v>
      </c>
      <c r="O2743" s="6">
        <f t="shared" si="775"/>
        <v>-572</v>
      </c>
      <c r="P2743" s="12">
        <f t="shared" si="774"/>
        <v>0</v>
      </c>
      <c r="Q2743" s="7">
        <f t="shared" si="768"/>
        <v>4455827.1499999994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771"/>
        <v>3</v>
      </c>
      <c r="C2744" s="5">
        <f t="shared" si="77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137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63"/>
        <v>45401</v>
      </c>
      <c r="L2744" s="5">
        <f t="shared" si="764"/>
        <v>4</v>
      </c>
      <c r="M2744" s="5">
        <f t="shared" si="765"/>
        <v>2024</v>
      </c>
      <c r="N2744" s="12">
        <v>190</v>
      </c>
      <c r="O2744" s="6">
        <f t="shared" si="775"/>
        <v>-190</v>
      </c>
      <c r="P2744" s="12">
        <f t="shared" si="774"/>
        <v>0</v>
      </c>
      <c r="Q2744" s="7">
        <f t="shared" si="768"/>
        <v>4456017.1499999994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771"/>
        <v>3</v>
      </c>
      <c r="C2745" s="5">
        <f t="shared" si="77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3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63"/>
        <v>45492</v>
      </c>
      <c r="L2745" s="5">
        <f t="shared" si="764"/>
        <v>7</v>
      </c>
      <c r="M2745" s="5">
        <f t="shared" si="765"/>
        <v>2024</v>
      </c>
      <c r="N2745" s="12">
        <v>9636</v>
      </c>
      <c r="O2745" s="12"/>
      <c r="P2745" s="12">
        <f t="shared" si="774"/>
        <v>9636</v>
      </c>
      <c r="Q2745" s="7">
        <f t="shared" si="768"/>
        <v>4465653.1499999994</v>
      </c>
      <c r="R2745" s="44" t="str">
        <f>VLOOKUP(F2745,'Set up'!$A$2:$E$55,5,FALSE)</f>
        <v>Trsf</v>
      </c>
    </row>
    <row r="2746" spans="1:19" ht="15" customHeight="1" x14ac:dyDescent="0.3">
      <c r="A2746" s="4">
        <v>45372</v>
      </c>
      <c r="B2746" s="5">
        <f t="shared" si="771"/>
        <v>3</v>
      </c>
      <c r="C2746" s="5">
        <f t="shared" si="77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137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63"/>
        <v>45492</v>
      </c>
      <c r="L2746" s="5">
        <f t="shared" si="764"/>
        <v>7</v>
      </c>
      <c r="M2746" s="5">
        <f t="shared" si="765"/>
        <v>2024</v>
      </c>
      <c r="N2746" s="12">
        <v>1740</v>
      </c>
      <c r="O2746" s="12"/>
      <c r="P2746" s="12">
        <f t="shared" si="774"/>
        <v>1740</v>
      </c>
      <c r="Q2746" s="7">
        <f t="shared" si="768"/>
        <v>4467393.1499999994</v>
      </c>
      <c r="R2746" s="44" t="str">
        <f>VLOOKUP(F2746,'Set up'!$A$2:$E$55,5,FALSE)</f>
        <v>Trsf</v>
      </c>
    </row>
    <row r="2747" spans="1:19" ht="15" customHeight="1" x14ac:dyDescent="0.3">
      <c r="A2747" s="4">
        <v>45372</v>
      </c>
      <c r="B2747" s="5">
        <f t="shared" si="771"/>
        <v>3</v>
      </c>
      <c r="C2747" s="5">
        <f t="shared" si="77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137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63"/>
        <v>45492</v>
      </c>
      <c r="L2747" s="5">
        <f t="shared" si="764"/>
        <v>7</v>
      </c>
      <c r="M2747" s="5">
        <f t="shared" si="765"/>
        <v>2024</v>
      </c>
      <c r="N2747" s="12">
        <v>575</v>
      </c>
      <c r="O2747" s="12"/>
      <c r="P2747" s="12">
        <f t="shared" si="774"/>
        <v>575</v>
      </c>
      <c r="Q2747" s="7">
        <f t="shared" si="768"/>
        <v>4467968.1499999994</v>
      </c>
      <c r="R2747" s="44" t="str">
        <f>VLOOKUP(F2747,'Set up'!$A$2:$E$55,5,FALSE)</f>
        <v>Trsf</v>
      </c>
    </row>
    <row r="2748" spans="1:19" ht="15" customHeight="1" x14ac:dyDescent="0.3">
      <c r="A2748" s="4">
        <v>45372</v>
      </c>
      <c r="B2748" s="5">
        <f t="shared" si="771"/>
        <v>3</v>
      </c>
      <c r="C2748" s="5">
        <f t="shared" si="77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137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63"/>
        <v>45492</v>
      </c>
      <c r="L2748" s="5">
        <f t="shared" si="764"/>
        <v>7</v>
      </c>
      <c r="M2748" s="5">
        <f t="shared" si="765"/>
        <v>2024</v>
      </c>
      <c r="N2748" s="12">
        <v>880</v>
      </c>
      <c r="O2748" s="12"/>
      <c r="P2748" s="12">
        <f t="shared" si="774"/>
        <v>880</v>
      </c>
      <c r="Q2748" s="7">
        <f t="shared" si="768"/>
        <v>4468848.1499999994</v>
      </c>
      <c r="R2748" s="44" t="str">
        <f>VLOOKUP(F2748,'Set up'!$A$2:$E$55,5,FALSE)</f>
        <v>Trsf</v>
      </c>
    </row>
    <row r="2749" spans="1:19" ht="15" customHeight="1" x14ac:dyDescent="0.3">
      <c r="A2749" s="4">
        <v>45372</v>
      </c>
      <c r="B2749" s="5">
        <f t="shared" si="771"/>
        <v>3</v>
      </c>
      <c r="C2749" s="5">
        <f t="shared" si="77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137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63"/>
        <v>45492</v>
      </c>
      <c r="L2749" s="5">
        <f t="shared" si="764"/>
        <v>7</v>
      </c>
      <c r="M2749" s="5">
        <f t="shared" si="765"/>
        <v>2024</v>
      </c>
      <c r="N2749" s="12">
        <v>420</v>
      </c>
      <c r="O2749" s="12"/>
      <c r="P2749" s="12">
        <f t="shared" si="774"/>
        <v>420</v>
      </c>
      <c r="Q2749" s="7">
        <f t="shared" si="768"/>
        <v>4469268.1499999994</v>
      </c>
      <c r="R2749" s="44" t="str">
        <f>VLOOKUP(F2749,'Set up'!$A$2:$E$55,5,FALSE)</f>
        <v>Trsf</v>
      </c>
    </row>
    <row r="2750" spans="1:19" ht="15" customHeight="1" x14ac:dyDescent="0.3">
      <c r="A2750" s="4">
        <v>45372</v>
      </c>
      <c r="B2750" s="5">
        <f t="shared" si="771"/>
        <v>3</v>
      </c>
      <c r="C2750" s="5">
        <f t="shared" si="77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137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63"/>
        <v>45492</v>
      </c>
      <c r="L2750" s="5">
        <f t="shared" si="764"/>
        <v>7</v>
      </c>
      <c r="M2750" s="5">
        <f t="shared" si="765"/>
        <v>2024</v>
      </c>
      <c r="N2750" s="12">
        <v>395</v>
      </c>
      <c r="O2750" s="12"/>
      <c r="P2750" s="12">
        <f t="shared" si="774"/>
        <v>395</v>
      </c>
      <c r="Q2750" s="7">
        <f t="shared" si="768"/>
        <v>4469663.1499999994</v>
      </c>
      <c r="R2750" s="44" t="str">
        <f>VLOOKUP(F2750,'Set up'!$A$2:$E$55,5,FALSE)</f>
        <v>Trsf</v>
      </c>
    </row>
    <row r="2751" spans="1:19" ht="15" customHeight="1" x14ac:dyDescent="0.3">
      <c r="A2751" s="4">
        <v>45372</v>
      </c>
      <c r="B2751" s="5">
        <f t="shared" si="771"/>
        <v>3</v>
      </c>
      <c r="C2751" s="5">
        <f t="shared" si="77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137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63"/>
        <v>45492</v>
      </c>
      <c r="L2751" s="5">
        <f t="shared" si="764"/>
        <v>7</v>
      </c>
      <c r="M2751" s="5">
        <f t="shared" si="765"/>
        <v>2024</v>
      </c>
      <c r="N2751" s="12">
        <v>1550</v>
      </c>
      <c r="O2751" s="12"/>
      <c r="P2751" s="12">
        <f t="shared" si="774"/>
        <v>1550</v>
      </c>
      <c r="Q2751" s="7">
        <f t="shared" si="768"/>
        <v>4471213.1499999994</v>
      </c>
      <c r="R2751" s="44" t="str">
        <f>VLOOKUP(F2751,'Set up'!$A$2:$E$55,5,FALSE)</f>
        <v>Trsf</v>
      </c>
    </row>
    <row r="2752" spans="1:19" ht="15" customHeight="1" x14ac:dyDescent="0.3">
      <c r="A2752" s="4">
        <v>45373</v>
      </c>
      <c r="B2752" s="5">
        <f t="shared" si="771"/>
        <v>3</v>
      </c>
      <c r="C2752" s="5">
        <f t="shared" si="772"/>
        <v>2024</v>
      </c>
      <c r="D2752" s="5" t="s">
        <v>2524</v>
      </c>
      <c r="E2752" s="5" t="str">
        <f>VLOOKUP(F2752,'Set up'!$A$2:$C$55,2,FALSE)</f>
        <v>C00000044</v>
      </c>
      <c r="F2752" s="1" t="s">
        <v>2959</v>
      </c>
      <c r="G2752" s="118" t="s">
        <v>1179</v>
      </c>
      <c r="H2752" s="140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63"/>
        <v>45373</v>
      </c>
      <c r="L2752" s="5">
        <f t="shared" si="764"/>
        <v>3</v>
      </c>
      <c r="M2752" s="5">
        <f t="shared" si="765"/>
        <v>2024</v>
      </c>
      <c r="N2752" s="12">
        <v>1628</v>
      </c>
      <c r="O2752" s="12">
        <f>-1500-128</f>
        <v>-1628</v>
      </c>
      <c r="P2752" s="12">
        <f t="shared" si="774"/>
        <v>0</v>
      </c>
      <c r="Q2752" s="7">
        <f t="shared" si="768"/>
        <v>4472841.1499999994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771"/>
        <v>3</v>
      </c>
      <c r="C2753" s="5">
        <f t="shared" si="772"/>
        <v>2024</v>
      </c>
      <c r="D2753" s="5" t="s">
        <v>2524</v>
      </c>
      <c r="E2753" s="5" t="str">
        <f>VLOOKUP(F2753,'Set up'!$A$2:$C$55,2,FALSE)</f>
        <v>C00000044</v>
      </c>
      <c r="F2753" s="1" t="s">
        <v>2959</v>
      </c>
      <c r="G2753" s="116" t="s">
        <v>1544</v>
      </c>
      <c r="H2753" s="140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63"/>
        <v>45373</v>
      </c>
      <c r="L2753" s="5">
        <f t="shared" si="764"/>
        <v>3</v>
      </c>
      <c r="M2753" s="5">
        <f t="shared" si="765"/>
        <v>2024</v>
      </c>
      <c r="N2753" s="12">
        <v>420</v>
      </c>
      <c r="O2753" s="6">
        <f t="shared" ref="O2753:O2755" si="776">-N2753</f>
        <v>-420</v>
      </c>
      <c r="P2753" s="12">
        <f t="shared" si="774"/>
        <v>0</v>
      </c>
      <c r="Q2753" s="7">
        <f t="shared" si="768"/>
        <v>4473261.1499999994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771"/>
        <v>3</v>
      </c>
      <c r="C2754" s="5">
        <f t="shared" si="772"/>
        <v>2024</v>
      </c>
      <c r="D2754" s="5" t="s">
        <v>2524</v>
      </c>
      <c r="E2754" s="5" t="str">
        <f>VLOOKUP(F2754,'Set up'!$A$2:$C$55,2,FALSE)</f>
        <v>C00000044</v>
      </c>
      <c r="F2754" s="1" t="s">
        <v>2959</v>
      </c>
      <c r="G2754" s="116" t="s">
        <v>2031</v>
      </c>
      <c r="H2754" s="140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63"/>
        <v>45373</v>
      </c>
      <c r="L2754" s="5">
        <f t="shared" si="764"/>
        <v>3</v>
      </c>
      <c r="M2754" s="5">
        <f t="shared" si="765"/>
        <v>2024</v>
      </c>
      <c r="N2754" s="12">
        <v>280</v>
      </c>
      <c r="O2754" s="6">
        <f t="shared" si="776"/>
        <v>-280</v>
      </c>
      <c r="P2754" s="12">
        <f t="shared" si="774"/>
        <v>0</v>
      </c>
      <c r="Q2754" s="7">
        <f t="shared" si="768"/>
        <v>4473541.1499999994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771"/>
        <v>3</v>
      </c>
      <c r="C2755" s="5">
        <f t="shared" si="772"/>
        <v>2024</v>
      </c>
      <c r="D2755" s="5" t="s">
        <v>2524</v>
      </c>
      <c r="E2755" s="5" t="str">
        <f>VLOOKUP(F2755,'Set up'!$A$2:$C$55,2,FALSE)</f>
        <v>C00000044</v>
      </c>
      <c r="F2755" s="1" t="s">
        <v>2959</v>
      </c>
      <c r="G2755" s="116" t="s">
        <v>46</v>
      </c>
      <c r="H2755" s="140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777">A2755+J2755</f>
        <v>45373</v>
      </c>
      <c r="L2755" s="5">
        <f t="shared" ref="L2755:L2818" si="778">MONTH(K2755)</f>
        <v>3</v>
      </c>
      <c r="M2755" s="5">
        <f t="shared" ref="M2755:M2818" si="779">YEAR(K2755)</f>
        <v>2024</v>
      </c>
      <c r="N2755" s="12">
        <v>110</v>
      </c>
      <c r="O2755" s="6">
        <f t="shared" si="776"/>
        <v>-110</v>
      </c>
      <c r="P2755" s="12">
        <f t="shared" si="774"/>
        <v>0</v>
      </c>
      <c r="Q2755" s="7">
        <f t="shared" si="768"/>
        <v>4473651.1499999994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771"/>
        <v>3</v>
      </c>
      <c r="C2756" s="5">
        <f t="shared" si="77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137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777"/>
        <v>45379</v>
      </c>
      <c r="L2756" s="5">
        <f t="shared" si="778"/>
        <v>3</v>
      </c>
      <c r="M2756" s="5">
        <f t="shared" si="779"/>
        <v>2024</v>
      </c>
      <c r="N2756" s="97">
        <v>1738</v>
      </c>
      <c r="O2756" s="12"/>
      <c r="P2756" s="12">
        <f t="shared" si="774"/>
        <v>1738</v>
      </c>
      <c r="Q2756" s="7">
        <f t="shared" si="768"/>
        <v>4475389.1499999994</v>
      </c>
      <c r="R2756" s="44" t="str">
        <f>VLOOKUP(F2756,'Set up'!$A$2:$E$55,5,FALSE)</f>
        <v>Trsf</v>
      </c>
    </row>
    <row r="2757" spans="1:19" ht="15" customHeight="1" x14ac:dyDescent="0.3">
      <c r="A2757" s="4">
        <v>45379</v>
      </c>
      <c r="B2757" s="5">
        <f t="shared" si="771"/>
        <v>3</v>
      </c>
      <c r="C2757" s="5">
        <f t="shared" si="77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137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777"/>
        <v>45379</v>
      </c>
      <c r="L2757" s="5">
        <f t="shared" si="778"/>
        <v>3</v>
      </c>
      <c r="M2757" s="5">
        <f t="shared" si="779"/>
        <v>2024</v>
      </c>
      <c r="N2757" s="97">
        <v>405</v>
      </c>
      <c r="O2757" s="12"/>
      <c r="P2757" s="12">
        <f t="shared" si="774"/>
        <v>405</v>
      </c>
      <c r="Q2757" s="7">
        <f t="shared" si="768"/>
        <v>4475794.1499999994</v>
      </c>
      <c r="R2757" s="44" t="str">
        <f>VLOOKUP(F2757,'Set up'!$A$2:$E$55,5,FALSE)</f>
        <v>Trsf</v>
      </c>
    </row>
    <row r="2758" spans="1:19" ht="15" customHeight="1" x14ac:dyDescent="0.3">
      <c r="A2758" s="4">
        <v>45379</v>
      </c>
      <c r="B2758" s="5">
        <f t="shared" si="771"/>
        <v>3</v>
      </c>
      <c r="C2758" s="5">
        <f t="shared" si="77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137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777"/>
        <v>45379</v>
      </c>
      <c r="L2758" s="5">
        <f t="shared" si="778"/>
        <v>3</v>
      </c>
      <c r="M2758" s="5">
        <f t="shared" si="779"/>
        <v>2024</v>
      </c>
      <c r="N2758" s="97">
        <v>390</v>
      </c>
      <c r="O2758" s="12"/>
      <c r="P2758" s="12">
        <f t="shared" si="774"/>
        <v>390</v>
      </c>
      <c r="Q2758" s="7">
        <f t="shared" si="768"/>
        <v>4476184.1499999994</v>
      </c>
      <c r="R2758" s="44" t="str">
        <f>VLOOKUP(F2758,'Set up'!$A$2:$E$55,5,FALSE)</f>
        <v>Trsf</v>
      </c>
    </row>
    <row r="2759" spans="1:19" ht="15" customHeight="1" x14ac:dyDescent="0.3">
      <c r="A2759" s="4">
        <v>45380</v>
      </c>
      <c r="B2759" s="5">
        <f t="shared" si="771"/>
        <v>3</v>
      </c>
      <c r="C2759" s="5">
        <f t="shared" si="77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17" t="s">
        <v>1111</v>
      </c>
      <c r="H2759" s="13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777"/>
        <v>45380</v>
      </c>
      <c r="L2759" s="5">
        <f t="shared" si="778"/>
        <v>3</v>
      </c>
      <c r="M2759" s="5">
        <f t="shared" si="779"/>
        <v>2024</v>
      </c>
      <c r="N2759" s="12">
        <v>250</v>
      </c>
      <c r="O2759" s="12"/>
      <c r="P2759" s="12">
        <f t="shared" si="774"/>
        <v>250</v>
      </c>
      <c r="Q2759" s="7">
        <f t="shared" si="768"/>
        <v>4476434.1499999994</v>
      </c>
      <c r="R2759" s="44" t="str">
        <f>VLOOKUP(F2759,'Set up'!$A$2:$E$55,5,FALSE)</f>
        <v>Trsf</v>
      </c>
    </row>
    <row r="2760" spans="1:19" ht="15" customHeight="1" x14ac:dyDescent="0.3">
      <c r="A2760" s="4">
        <v>45380</v>
      </c>
      <c r="B2760" s="5">
        <f t="shared" si="771"/>
        <v>3</v>
      </c>
      <c r="C2760" s="5">
        <f t="shared" si="77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17" t="s">
        <v>1734</v>
      </c>
      <c r="H2760" s="137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777"/>
        <v>45380</v>
      </c>
      <c r="L2760" s="5">
        <f t="shared" si="778"/>
        <v>3</v>
      </c>
      <c r="M2760" s="5">
        <f t="shared" si="779"/>
        <v>2024</v>
      </c>
      <c r="N2760" s="12">
        <v>6424</v>
      </c>
      <c r="O2760" s="12"/>
      <c r="P2760" s="12">
        <f t="shared" si="774"/>
        <v>6424</v>
      </c>
      <c r="Q2760" s="7">
        <f t="shared" si="768"/>
        <v>4482858.1499999994</v>
      </c>
      <c r="R2760" s="44" t="str">
        <f>VLOOKUP(F2760,'Set up'!$A$2:$E$55,5,FALSE)</f>
        <v>Trsf</v>
      </c>
    </row>
    <row r="2761" spans="1:19" ht="15" customHeight="1" x14ac:dyDescent="0.3">
      <c r="A2761" s="4">
        <v>45380</v>
      </c>
      <c r="B2761" s="5">
        <f t="shared" si="771"/>
        <v>3</v>
      </c>
      <c r="C2761" s="5">
        <f t="shared" si="77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137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777"/>
        <v>45380</v>
      </c>
      <c r="L2761" s="5">
        <f t="shared" si="778"/>
        <v>3</v>
      </c>
      <c r="M2761" s="5">
        <f t="shared" si="779"/>
        <v>2024</v>
      </c>
      <c r="N2761" s="12">
        <v>2088</v>
      </c>
      <c r="O2761" s="12"/>
      <c r="P2761" s="12">
        <f t="shared" si="774"/>
        <v>2088</v>
      </c>
      <c r="Q2761" s="7">
        <f t="shared" si="768"/>
        <v>4484946.1499999994</v>
      </c>
      <c r="R2761" s="44" t="str">
        <f>VLOOKUP(F2761,'Set up'!$A$2:$E$55,5,FALSE)</f>
        <v>Trsf</v>
      </c>
    </row>
    <row r="2762" spans="1:19" ht="15" customHeight="1" x14ac:dyDescent="0.3">
      <c r="A2762" s="4">
        <v>45380</v>
      </c>
      <c r="B2762" s="5">
        <f t="shared" si="771"/>
        <v>3</v>
      </c>
      <c r="C2762" s="5">
        <f t="shared" si="77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137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777"/>
        <v>45380</v>
      </c>
      <c r="L2762" s="5">
        <f t="shared" si="778"/>
        <v>3</v>
      </c>
      <c r="M2762" s="5">
        <f t="shared" si="779"/>
        <v>2024</v>
      </c>
      <c r="N2762" s="12">
        <v>1404</v>
      </c>
      <c r="O2762" s="12"/>
      <c r="P2762" s="12">
        <f t="shared" si="774"/>
        <v>1404</v>
      </c>
      <c r="Q2762" s="7">
        <f t="shared" si="768"/>
        <v>4486350.1499999994</v>
      </c>
      <c r="R2762" s="44" t="str">
        <f>VLOOKUP(F2762,'Set up'!$A$2:$E$55,5,FALSE)</f>
        <v>Trsf</v>
      </c>
    </row>
    <row r="2763" spans="1:19" ht="15" customHeight="1" x14ac:dyDescent="0.3">
      <c r="A2763" s="4">
        <v>45380</v>
      </c>
      <c r="B2763" s="5">
        <f t="shared" si="771"/>
        <v>3</v>
      </c>
      <c r="C2763" s="5">
        <f t="shared" si="77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137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777"/>
        <v>45380</v>
      </c>
      <c r="L2763" s="5">
        <f t="shared" si="778"/>
        <v>3</v>
      </c>
      <c r="M2763" s="5">
        <f t="shared" si="779"/>
        <v>2024</v>
      </c>
      <c r="N2763" s="12">
        <v>380</v>
      </c>
      <c r="O2763" s="12"/>
      <c r="P2763" s="12">
        <f t="shared" si="774"/>
        <v>380</v>
      </c>
      <c r="Q2763" s="7">
        <f t="shared" si="768"/>
        <v>4486730.1499999994</v>
      </c>
      <c r="R2763" s="44" t="str">
        <f>VLOOKUP(F2763,'Set up'!$A$2:$E$55,5,FALSE)</f>
        <v>Trsf</v>
      </c>
    </row>
    <row r="2764" spans="1:19" ht="15" customHeight="1" x14ac:dyDescent="0.3">
      <c r="A2764" s="4">
        <v>45381</v>
      </c>
      <c r="B2764" s="5">
        <f t="shared" si="771"/>
        <v>3</v>
      </c>
      <c r="C2764" s="5">
        <f t="shared" si="77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99" t="s">
        <v>67</v>
      </c>
      <c r="H2764" s="138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777"/>
        <v>45381</v>
      </c>
      <c r="L2764" s="5">
        <f t="shared" si="778"/>
        <v>3</v>
      </c>
      <c r="M2764" s="5">
        <f t="shared" si="779"/>
        <v>2024</v>
      </c>
      <c r="N2764" s="12">
        <v>1738</v>
      </c>
      <c r="O2764" s="12"/>
      <c r="P2764" s="12">
        <f t="shared" si="774"/>
        <v>1738</v>
      </c>
      <c r="Q2764" s="7">
        <f t="shared" si="768"/>
        <v>4488468.1499999994</v>
      </c>
      <c r="R2764" s="44" t="str">
        <f>VLOOKUP(F2764,'Set up'!$A$2:$E$55,5,FALSE)</f>
        <v>PD Chq</v>
      </c>
    </row>
    <row r="2765" spans="1:19" ht="15" customHeight="1" x14ac:dyDescent="0.3">
      <c r="A2765" s="4">
        <v>45381</v>
      </c>
      <c r="B2765" s="5">
        <f t="shared" si="771"/>
        <v>3</v>
      </c>
      <c r="C2765" s="5">
        <f t="shared" si="77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8" t="s">
        <v>2199</v>
      </c>
      <c r="H2765" s="138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777"/>
        <v>45381</v>
      </c>
      <c r="L2765" s="5">
        <f t="shared" si="778"/>
        <v>3</v>
      </c>
      <c r="M2765" s="5">
        <f t="shared" si="779"/>
        <v>2024</v>
      </c>
      <c r="N2765" s="12">
        <v>832.5</v>
      </c>
      <c r="O2765" s="12"/>
      <c r="P2765" s="12">
        <f t="shared" si="774"/>
        <v>832.5</v>
      </c>
      <c r="Q2765" s="7">
        <f t="shared" si="768"/>
        <v>4489300.6499999994</v>
      </c>
      <c r="R2765" s="44" t="str">
        <f>VLOOKUP(F2765,'Set up'!$A$2:$E$55,5,FALSE)</f>
        <v>PD Chq</v>
      </c>
    </row>
    <row r="2766" spans="1:19" ht="15" customHeight="1" x14ac:dyDescent="0.3">
      <c r="A2766" s="4">
        <v>45381</v>
      </c>
      <c r="B2766" s="5">
        <f t="shared" si="771"/>
        <v>3</v>
      </c>
      <c r="C2766" s="5">
        <f t="shared" si="77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8" t="s">
        <v>1062</v>
      </c>
      <c r="H2766" s="138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777"/>
        <v>45381</v>
      </c>
      <c r="L2766" s="5">
        <f t="shared" si="778"/>
        <v>3</v>
      </c>
      <c r="M2766" s="5">
        <f t="shared" si="779"/>
        <v>2024</v>
      </c>
      <c r="N2766" s="12">
        <v>95</v>
      </c>
      <c r="O2766" s="12"/>
      <c r="P2766" s="12">
        <f t="shared" si="774"/>
        <v>95</v>
      </c>
      <c r="Q2766" s="7">
        <f t="shared" si="768"/>
        <v>4489395.6499999994</v>
      </c>
      <c r="R2766" s="44" t="str">
        <f>VLOOKUP(F2766,'Set up'!$A$2:$E$55,5,FALSE)</f>
        <v>PD Chq</v>
      </c>
    </row>
    <row r="2767" spans="1:19" ht="15" customHeight="1" x14ac:dyDescent="0.3">
      <c r="A2767" s="4">
        <v>45381</v>
      </c>
      <c r="B2767" s="5">
        <f t="shared" si="771"/>
        <v>3</v>
      </c>
      <c r="C2767" s="5">
        <f t="shared" si="77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99" t="s">
        <v>67</v>
      </c>
      <c r="H2767" s="13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777"/>
        <v>45426</v>
      </c>
      <c r="L2767" s="5">
        <f t="shared" si="778"/>
        <v>5</v>
      </c>
      <c r="M2767" s="5">
        <f t="shared" si="779"/>
        <v>2024</v>
      </c>
      <c r="N2767" s="12">
        <v>1738</v>
      </c>
      <c r="O2767" s="12">
        <f>-1000-738</f>
        <v>-1738</v>
      </c>
      <c r="P2767" s="12">
        <f t="shared" si="774"/>
        <v>0</v>
      </c>
      <c r="Q2767" s="7">
        <f t="shared" si="768"/>
        <v>4491133.6499999994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771"/>
        <v>3</v>
      </c>
      <c r="C2768" s="5">
        <f t="shared" si="77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8" t="s">
        <v>17</v>
      </c>
      <c r="H2768" s="13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777"/>
        <v>45426</v>
      </c>
      <c r="L2768" s="5">
        <f t="shared" si="778"/>
        <v>5</v>
      </c>
      <c r="M2768" s="5">
        <f t="shared" si="779"/>
        <v>2024</v>
      </c>
      <c r="N2768" s="12">
        <v>220</v>
      </c>
      <c r="O2768" s="6">
        <f>-N2768</f>
        <v>-220</v>
      </c>
      <c r="P2768" s="12">
        <f t="shared" si="774"/>
        <v>0</v>
      </c>
      <c r="Q2768" s="7">
        <f t="shared" si="768"/>
        <v>4491353.6499999994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771"/>
        <v>4</v>
      </c>
      <c r="C2769" s="5">
        <f t="shared" si="772"/>
        <v>2024</v>
      </c>
      <c r="D2769" s="5" t="s">
        <v>2579</v>
      </c>
      <c r="E2769" s="5" t="str">
        <f>VLOOKUP(F2769,'Set up'!$A$2:$C$55,2,FALSE)</f>
        <v>C00000044</v>
      </c>
      <c r="F2769" s="1" t="s">
        <v>2959</v>
      </c>
      <c r="G2769" s="98" t="s">
        <v>1179</v>
      </c>
      <c r="H2769" s="13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777"/>
        <v>45386</v>
      </c>
      <c r="L2769" s="5">
        <f t="shared" si="778"/>
        <v>4</v>
      </c>
      <c r="M2769" s="5">
        <f t="shared" si="779"/>
        <v>2024</v>
      </c>
      <c r="N2769" s="12">
        <v>1650</v>
      </c>
      <c r="O2769" s="6">
        <f t="shared" ref="O2769:O2770" si="780">-N2769</f>
        <v>-1650</v>
      </c>
      <c r="P2769" s="12">
        <f t="shared" si="774"/>
        <v>0</v>
      </c>
      <c r="Q2769" s="7">
        <f t="shared" si="768"/>
        <v>4493003.6499999994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771"/>
        <v>4</v>
      </c>
      <c r="C2770" s="5">
        <f t="shared" si="772"/>
        <v>2024</v>
      </c>
      <c r="D2770" s="5" t="s">
        <v>2579</v>
      </c>
      <c r="E2770" s="5" t="str">
        <f>VLOOKUP(F2770,'Set up'!$A$2:$C$55,2,FALSE)</f>
        <v>C00000044</v>
      </c>
      <c r="F2770" s="1" t="s">
        <v>2959</v>
      </c>
      <c r="G2770" s="98" t="s">
        <v>1544</v>
      </c>
      <c r="H2770" s="13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777"/>
        <v>45386</v>
      </c>
      <c r="L2770" s="5">
        <f t="shared" si="778"/>
        <v>4</v>
      </c>
      <c r="M2770" s="5">
        <f t="shared" si="779"/>
        <v>2024</v>
      </c>
      <c r="N2770" s="12">
        <v>420</v>
      </c>
      <c r="O2770" s="6">
        <f t="shared" si="780"/>
        <v>-420</v>
      </c>
      <c r="P2770" s="12">
        <f t="shared" si="774"/>
        <v>0</v>
      </c>
      <c r="Q2770" s="7">
        <f t="shared" ref="Q2770:Q2833" si="781">SUM(Q2769+N2770)</f>
        <v>4493423.6499999994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771"/>
        <v>4</v>
      </c>
      <c r="C2771" s="5">
        <f t="shared" si="77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8" t="s">
        <v>720</v>
      </c>
      <c r="H2771" s="13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777"/>
        <v>45447</v>
      </c>
      <c r="L2771" s="5">
        <f t="shared" si="778"/>
        <v>6</v>
      </c>
      <c r="M2771" s="5">
        <f t="shared" si="779"/>
        <v>2024</v>
      </c>
      <c r="N2771" s="12">
        <v>3256</v>
      </c>
      <c r="O2771" s="12"/>
      <c r="P2771" s="12">
        <f t="shared" si="774"/>
        <v>3256</v>
      </c>
      <c r="Q2771" s="7">
        <f t="shared" si="781"/>
        <v>4496679.6499999994</v>
      </c>
      <c r="R2771" s="44" t="str">
        <f>VLOOKUP(F2771,'Set up'!$A$2:$E$55,5,FALSE)</f>
        <v>Chq</v>
      </c>
    </row>
    <row r="2772" spans="1:19" ht="15" customHeight="1" x14ac:dyDescent="0.3">
      <c r="A2772" s="4">
        <v>45387</v>
      </c>
      <c r="B2772" s="5">
        <f t="shared" si="771"/>
        <v>4</v>
      </c>
      <c r="C2772" s="5">
        <f t="shared" si="77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8" t="s">
        <v>617</v>
      </c>
      <c r="H2772" s="13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777"/>
        <v>45447</v>
      </c>
      <c r="L2772" s="5">
        <f t="shared" si="778"/>
        <v>6</v>
      </c>
      <c r="M2772" s="5">
        <f t="shared" si="779"/>
        <v>2024</v>
      </c>
      <c r="N2772" s="12">
        <v>1628</v>
      </c>
      <c r="O2772" s="12"/>
      <c r="P2772" s="12">
        <f t="shared" si="774"/>
        <v>1628</v>
      </c>
      <c r="Q2772" s="7">
        <f t="shared" si="781"/>
        <v>4498307.6499999994</v>
      </c>
      <c r="R2772" s="44" t="str">
        <f>VLOOKUP(F2772,'Set up'!$A$2:$E$55,5,FALSE)</f>
        <v>Chq</v>
      </c>
    </row>
    <row r="2773" spans="1:19" ht="15" customHeight="1" x14ac:dyDescent="0.3">
      <c r="A2773" s="4">
        <v>45387</v>
      </c>
      <c r="B2773" s="5">
        <f t="shared" si="771"/>
        <v>4</v>
      </c>
      <c r="C2773" s="5">
        <f t="shared" si="77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8" t="s">
        <v>1412</v>
      </c>
      <c r="H2773" s="13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777"/>
        <v>45447</v>
      </c>
      <c r="L2773" s="5">
        <f t="shared" si="778"/>
        <v>6</v>
      </c>
      <c r="M2773" s="5">
        <f t="shared" si="779"/>
        <v>2024</v>
      </c>
      <c r="N2773" s="12">
        <v>626.4</v>
      </c>
      <c r="O2773" s="12"/>
      <c r="P2773" s="12">
        <v>626.4</v>
      </c>
      <c r="Q2773" s="7">
        <f t="shared" si="781"/>
        <v>4498934.05</v>
      </c>
      <c r="R2773" s="44" t="str">
        <f>VLOOKUP(F2773,'Set up'!$A$2:$E$55,5,FALSE)</f>
        <v>Chq</v>
      </c>
    </row>
    <row r="2774" spans="1:19" ht="15" customHeight="1" x14ac:dyDescent="0.3">
      <c r="A2774" s="4">
        <v>45387</v>
      </c>
      <c r="B2774" s="5">
        <f t="shared" si="771"/>
        <v>4</v>
      </c>
      <c r="C2774" s="5">
        <f t="shared" si="77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8" t="s">
        <v>2203</v>
      </c>
      <c r="H2774" s="13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777"/>
        <v>45447</v>
      </c>
      <c r="L2774" s="5">
        <f t="shared" si="778"/>
        <v>6</v>
      </c>
      <c r="M2774" s="5">
        <f t="shared" si="779"/>
        <v>2024</v>
      </c>
      <c r="N2774" s="12">
        <v>626.4</v>
      </c>
      <c r="O2774" s="12"/>
      <c r="P2774" s="12">
        <v>626.4</v>
      </c>
      <c r="Q2774" s="7">
        <f t="shared" si="781"/>
        <v>4499560.45</v>
      </c>
      <c r="R2774" s="44" t="str">
        <f>VLOOKUP(F2774,'Set up'!$A$2:$E$55,5,FALSE)</f>
        <v>Chq</v>
      </c>
    </row>
    <row r="2775" spans="1:19" ht="15" customHeight="1" x14ac:dyDescent="0.3">
      <c r="A2775" s="4">
        <v>45387</v>
      </c>
      <c r="B2775" s="5">
        <f t="shared" si="771"/>
        <v>4</v>
      </c>
      <c r="C2775" s="5">
        <f t="shared" si="77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8" t="s">
        <v>1111</v>
      </c>
      <c r="H2775" s="13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777"/>
        <v>45447</v>
      </c>
      <c r="L2775" s="5">
        <f t="shared" si="778"/>
        <v>6</v>
      </c>
      <c r="M2775" s="5">
        <f t="shared" si="779"/>
        <v>2024</v>
      </c>
      <c r="N2775" s="12">
        <v>62.5</v>
      </c>
      <c r="O2775" s="12"/>
      <c r="P2775" s="12">
        <v>62.5</v>
      </c>
      <c r="Q2775" s="7">
        <f t="shared" si="781"/>
        <v>4499622.95</v>
      </c>
      <c r="R2775" s="44" t="str">
        <f>VLOOKUP(F2775,'Set up'!$A$2:$E$55,5,FALSE)</f>
        <v>Chq</v>
      </c>
    </row>
    <row r="2776" spans="1:19" ht="15" customHeight="1" x14ac:dyDescent="0.3">
      <c r="A2776" s="4">
        <v>45387</v>
      </c>
      <c r="B2776" s="5">
        <f t="shared" si="771"/>
        <v>4</v>
      </c>
      <c r="C2776" s="5">
        <f t="shared" si="77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8" t="s">
        <v>2522</v>
      </c>
      <c r="H2776" s="13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777"/>
        <v>45447</v>
      </c>
      <c r="L2776" s="5">
        <f t="shared" si="778"/>
        <v>6</v>
      </c>
      <c r="M2776" s="5">
        <f t="shared" si="779"/>
        <v>2024</v>
      </c>
      <c r="N2776" s="12">
        <v>420</v>
      </c>
      <c r="O2776" s="12"/>
      <c r="P2776" s="12">
        <v>420</v>
      </c>
      <c r="Q2776" s="7">
        <f t="shared" si="781"/>
        <v>4500042.95</v>
      </c>
      <c r="R2776" s="44" t="str">
        <f>VLOOKUP(F2776,'Set up'!$A$2:$E$55,5,FALSE)</f>
        <v>Chq</v>
      </c>
    </row>
    <row r="2777" spans="1:19" ht="15" customHeight="1" x14ac:dyDescent="0.3">
      <c r="A2777" s="4">
        <v>45390</v>
      </c>
      <c r="B2777" s="5">
        <f t="shared" si="771"/>
        <v>4</v>
      </c>
      <c r="C2777" s="5">
        <f t="shared" si="77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8" t="s">
        <v>1747</v>
      </c>
      <c r="H2777" s="13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777"/>
        <v>45450</v>
      </c>
      <c r="L2777" s="5">
        <f t="shared" si="778"/>
        <v>6</v>
      </c>
      <c r="M2777" s="5">
        <f t="shared" si="779"/>
        <v>2024</v>
      </c>
      <c r="N2777" s="12">
        <v>260</v>
      </c>
      <c r="O2777" s="12"/>
      <c r="P2777" s="12">
        <v>260</v>
      </c>
      <c r="Q2777" s="7">
        <f t="shared" si="781"/>
        <v>4500302.95</v>
      </c>
      <c r="R2777" s="44" t="str">
        <f>VLOOKUP(F2777,'Set up'!$A$2:$E$55,5,FALSE)</f>
        <v>Chq</v>
      </c>
    </row>
    <row r="2778" spans="1:19" ht="15" customHeight="1" x14ac:dyDescent="0.3">
      <c r="A2778" s="4">
        <v>45390</v>
      </c>
      <c r="B2778" s="5">
        <f t="shared" si="771"/>
        <v>4</v>
      </c>
      <c r="C2778" s="5">
        <f t="shared" si="77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8" t="s">
        <v>720</v>
      </c>
      <c r="H2778" s="13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777"/>
        <v>45390</v>
      </c>
      <c r="L2778" s="5">
        <f t="shared" si="778"/>
        <v>4</v>
      </c>
      <c r="M2778" s="5">
        <f t="shared" si="779"/>
        <v>2024</v>
      </c>
      <c r="N2778" s="12">
        <v>1738</v>
      </c>
      <c r="O2778" s="12"/>
      <c r="P2778" s="12">
        <v>1738</v>
      </c>
      <c r="Q2778" s="7">
        <f t="shared" si="781"/>
        <v>4502040.95</v>
      </c>
      <c r="R2778" s="44" t="str">
        <f>VLOOKUP(F2778,'Set up'!$A$2:$E$55,5,FALSE)</f>
        <v>Trsf</v>
      </c>
    </row>
    <row r="2779" spans="1:19" ht="15" customHeight="1" x14ac:dyDescent="0.3">
      <c r="A2779" s="4">
        <v>45390</v>
      </c>
      <c r="B2779" s="5">
        <f t="shared" si="771"/>
        <v>4</v>
      </c>
      <c r="C2779" s="5">
        <f t="shared" si="77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8" t="s">
        <v>1412</v>
      </c>
      <c r="H2779" s="13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777"/>
        <v>45390</v>
      </c>
      <c r="L2779" s="5">
        <f t="shared" si="778"/>
        <v>4</v>
      </c>
      <c r="M2779" s="5">
        <f t="shared" si="779"/>
        <v>2024</v>
      </c>
      <c r="N2779" s="12">
        <v>405</v>
      </c>
      <c r="O2779" s="12"/>
      <c r="P2779" s="12">
        <v>405</v>
      </c>
      <c r="Q2779" s="7">
        <f t="shared" si="781"/>
        <v>4502445.95</v>
      </c>
      <c r="R2779" s="44" t="str">
        <f>VLOOKUP(F2779,'Set up'!$A$2:$E$55,5,FALSE)</f>
        <v>Trsf</v>
      </c>
    </row>
    <row r="2780" spans="1:19" ht="15" customHeight="1" x14ac:dyDescent="0.3">
      <c r="A2780" s="4">
        <v>45390</v>
      </c>
      <c r="B2780" s="5">
        <f t="shared" si="771"/>
        <v>4</v>
      </c>
      <c r="C2780" s="5">
        <f t="shared" si="77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8" t="s">
        <v>1470</v>
      </c>
      <c r="H2780" s="13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777"/>
        <v>45390</v>
      </c>
      <c r="L2780" s="5">
        <f t="shared" si="778"/>
        <v>4</v>
      </c>
      <c r="M2780" s="5">
        <f t="shared" si="779"/>
        <v>2024</v>
      </c>
      <c r="N2780" s="12">
        <v>395</v>
      </c>
      <c r="O2780" s="12"/>
      <c r="P2780" s="12">
        <v>395</v>
      </c>
      <c r="Q2780" s="7">
        <f t="shared" si="781"/>
        <v>4502840.95</v>
      </c>
      <c r="R2780" s="44" t="str">
        <f>VLOOKUP(F2780,'Set up'!$A$2:$E$55,5,FALSE)</f>
        <v>Trsf</v>
      </c>
    </row>
    <row r="2781" spans="1:19" ht="15" customHeight="1" x14ac:dyDescent="0.3">
      <c r="A2781" s="4">
        <v>45390</v>
      </c>
      <c r="B2781" s="5">
        <f t="shared" si="771"/>
        <v>4</v>
      </c>
      <c r="C2781" s="5">
        <f t="shared" si="77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8" t="s">
        <v>895</v>
      </c>
      <c r="H2781" s="13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777"/>
        <v>45390</v>
      </c>
      <c r="L2781" s="5">
        <f t="shared" si="778"/>
        <v>4</v>
      </c>
      <c r="M2781" s="5">
        <f t="shared" si="779"/>
        <v>2024</v>
      </c>
      <c r="N2781" s="12">
        <v>150</v>
      </c>
      <c r="O2781" s="12"/>
      <c r="P2781" s="12">
        <v>150</v>
      </c>
      <c r="Q2781" s="7">
        <f t="shared" si="781"/>
        <v>4502990.95</v>
      </c>
      <c r="R2781" s="44" t="str">
        <f>VLOOKUP(F2781,'Set up'!$A$2:$E$55,5,FALSE)</f>
        <v>Trsf</v>
      </c>
    </row>
    <row r="2782" spans="1:19" ht="15" customHeight="1" x14ac:dyDescent="0.3">
      <c r="A2782" s="4">
        <v>45390</v>
      </c>
      <c r="B2782" s="5">
        <f t="shared" si="771"/>
        <v>4</v>
      </c>
      <c r="C2782" s="5">
        <f t="shared" si="77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8" t="s">
        <v>67</v>
      </c>
      <c r="H2782" s="13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777"/>
        <v>45390</v>
      </c>
      <c r="L2782" s="5">
        <f t="shared" si="778"/>
        <v>4</v>
      </c>
      <c r="M2782" s="5">
        <f t="shared" si="779"/>
        <v>2024</v>
      </c>
      <c r="N2782" s="12">
        <v>1738</v>
      </c>
      <c r="O2782" s="12"/>
      <c r="P2782" s="12">
        <f t="shared" ref="P2782:P2784" si="782">SUM(N2782+O2782)</f>
        <v>1738</v>
      </c>
      <c r="Q2782" s="7">
        <f t="shared" si="781"/>
        <v>4504728.95</v>
      </c>
      <c r="R2782" s="44" t="str">
        <f>VLOOKUP(F2782,'Set up'!$A$2:$E$55,5,FALSE)</f>
        <v>PD Chq</v>
      </c>
    </row>
    <row r="2783" spans="1:19" ht="15" customHeight="1" x14ac:dyDescent="0.3">
      <c r="A2783" s="4">
        <v>45390</v>
      </c>
      <c r="B2783" s="5">
        <f t="shared" si="771"/>
        <v>4</v>
      </c>
      <c r="C2783" s="5">
        <f t="shared" si="77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8" t="s">
        <v>2199</v>
      </c>
      <c r="H2783" s="13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777"/>
        <v>45390</v>
      </c>
      <c r="L2783" s="5">
        <f t="shared" si="778"/>
        <v>4</v>
      </c>
      <c r="M2783" s="5">
        <f t="shared" si="779"/>
        <v>2024</v>
      </c>
      <c r="N2783" s="12">
        <v>832.5</v>
      </c>
      <c r="O2783" s="12"/>
      <c r="P2783" s="12">
        <f t="shared" si="782"/>
        <v>832.5</v>
      </c>
      <c r="Q2783" s="7">
        <f t="shared" si="781"/>
        <v>4505561.45</v>
      </c>
      <c r="R2783" s="44" t="str">
        <f>VLOOKUP(F2783,'Set up'!$A$2:$E$55,5,FALSE)</f>
        <v>PD Chq</v>
      </c>
    </row>
    <row r="2784" spans="1:19" ht="15" customHeight="1" x14ac:dyDescent="0.3">
      <c r="A2784" s="4">
        <v>45390</v>
      </c>
      <c r="B2784" s="5">
        <f t="shared" ref="B2784:B2827" si="783">MONTH(A2784)</f>
        <v>4</v>
      </c>
      <c r="C2784" s="5">
        <f t="shared" ref="C2784:C2827" si="78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8" t="s">
        <v>1062</v>
      </c>
      <c r="H2784" s="13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777"/>
        <v>45390</v>
      </c>
      <c r="L2784" s="5">
        <f t="shared" si="778"/>
        <v>4</v>
      </c>
      <c r="M2784" s="5">
        <f t="shared" si="779"/>
        <v>2024</v>
      </c>
      <c r="N2784" s="12">
        <v>95</v>
      </c>
      <c r="O2784" s="12"/>
      <c r="P2784" s="12">
        <f t="shared" si="782"/>
        <v>95</v>
      </c>
      <c r="Q2784" s="7">
        <f t="shared" si="781"/>
        <v>4505656.45</v>
      </c>
      <c r="R2784" s="44" t="str">
        <f>VLOOKUP(F2784,'Set up'!$A$2:$E$55,5,FALSE)</f>
        <v>PD Chq</v>
      </c>
    </row>
    <row r="2785" spans="1:19" ht="15" customHeight="1" x14ac:dyDescent="0.3">
      <c r="A2785" s="4">
        <v>45388</v>
      </c>
      <c r="B2785" s="5">
        <f t="shared" si="783"/>
        <v>4</v>
      </c>
      <c r="C2785" s="5">
        <f t="shared" si="78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8" t="s">
        <v>1074</v>
      </c>
      <c r="H2785" s="13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777"/>
        <v>45388</v>
      </c>
      <c r="L2785" s="5">
        <f t="shared" si="778"/>
        <v>4</v>
      </c>
      <c r="M2785" s="5">
        <f t="shared" si="779"/>
        <v>2024</v>
      </c>
      <c r="N2785" s="12">
        <v>1000</v>
      </c>
      <c r="O2785" s="12"/>
      <c r="P2785" s="12">
        <v>1000</v>
      </c>
      <c r="Q2785" s="7">
        <f t="shared" si="781"/>
        <v>4506656.45</v>
      </c>
      <c r="R2785" s="44" t="str">
        <f>VLOOKUP(F2785,'Set up'!$A$2:$E$55,5,FALSE)</f>
        <v>Trsf</v>
      </c>
    </row>
    <row r="2786" spans="1:19" ht="15" customHeight="1" x14ac:dyDescent="0.3">
      <c r="A2786" s="4">
        <v>45394</v>
      </c>
      <c r="B2786" s="5">
        <f t="shared" si="783"/>
        <v>4</v>
      </c>
      <c r="C2786" s="5">
        <f t="shared" si="78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8" t="s">
        <v>95</v>
      </c>
      <c r="H2786" s="13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777"/>
        <v>45394</v>
      </c>
      <c r="L2786" s="5">
        <f t="shared" si="778"/>
        <v>4</v>
      </c>
      <c r="M2786" s="5">
        <f t="shared" si="779"/>
        <v>2024</v>
      </c>
      <c r="N2786" s="12">
        <v>3476</v>
      </c>
      <c r="O2786" s="6">
        <f>-N2786</f>
        <v>-3476</v>
      </c>
      <c r="P2786" s="6">
        <f t="shared" ref="P2786:P2787" si="785">SUM(N2786+O2786)</f>
        <v>0</v>
      </c>
      <c r="Q2786" s="7">
        <f t="shared" si="781"/>
        <v>4510132.45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783"/>
        <v>4</v>
      </c>
      <c r="C2787" s="5">
        <f t="shared" si="78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8" t="s">
        <v>1797</v>
      </c>
      <c r="H2787" s="13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777"/>
        <v>45394</v>
      </c>
      <c r="L2787" s="5">
        <f t="shared" si="778"/>
        <v>4</v>
      </c>
      <c r="M2787" s="5">
        <f t="shared" si="779"/>
        <v>2024</v>
      </c>
      <c r="N2787" s="12">
        <v>675</v>
      </c>
      <c r="O2787" s="6">
        <f>-N2787</f>
        <v>-675</v>
      </c>
      <c r="P2787" s="6">
        <f t="shared" si="785"/>
        <v>0</v>
      </c>
      <c r="Q2787" s="7">
        <f t="shared" si="781"/>
        <v>4510807.45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783"/>
        <v>4</v>
      </c>
      <c r="C2788" s="5">
        <f t="shared" si="78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8" t="s">
        <v>1111</v>
      </c>
      <c r="H2788" s="13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777"/>
        <v>45394</v>
      </c>
      <c r="L2788" s="5">
        <f t="shared" si="778"/>
        <v>4</v>
      </c>
      <c r="M2788" s="5">
        <f t="shared" si="779"/>
        <v>2024</v>
      </c>
      <c r="N2788" s="12">
        <v>375</v>
      </c>
      <c r="O2788" s="12"/>
      <c r="P2788" s="12">
        <v>375</v>
      </c>
      <c r="Q2788" s="7">
        <f t="shared" si="781"/>
        <v>4511182.45</v>
      </c>
      <c r="R2788" s="44" t="str">
        <f>VLOOKUP(F2788,'Set up'!$A$2:$E$55,5,FALSE)</f>
        <v>Trsf</v>
      </c>
    </row>
    <row r="2789" spans="1:19" ht="15" customHeight="1" x14ac:dyDescent="0.3">
      <c r="A2789" s="4">
        <v>45394</v>
      </c>
      <c r="B2789" s="5">
        <f t="shared" si="783"/>
        <v>4</v>
      </c>
      <c r="C2789" s="5">
        <f t="shared" si="78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8" t="s">
        <v>1734</v>
      </c>
      <c r="H2789" s="13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777"/>
        <v>45394</v>
      </c>
      <c r="L2789" s="5">
        <f t="shared" si="778"/>
        <v>4</v>
      </c>
      <c r="M2789" s="5">
        <f t="shared" si="779"/>
        <v>2024</v>
      </c>
      <c r="N2789" s="12">
        <v>9768</v>
      </c>
      <c r="O2789" s="12"/>
      <c r="P2789" s="12">
        <v>9768</v>
      </c>
      <c r="Q2789" s="7">
        <f t="shared" si="781"/>
        <v>4520950.45</v>
      </c>
      <c r="R2789" s="44" t="str">
        <f>VLOOKUP(F2789,'Set up'!$A$2:$E$55,5,FALSE)</f>
        <v>Trsf</v>
      </c>
    </row>
    <row r="2790" spans="1:19" ht="15" customHeight="1" x14ac:dyDescent="0.3">
      <c r="A2790" s="4">
        <v>45394</v>
      </c>
      <c r="B2790" s="5">
        <f t="shared" si="783"/>
        <v>4</v>
      </c>
      <c r="C2790" s="5">
        <f t="shared" si="78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8" t="s">
        <v>914</v>
      </c>
      <c r="H2790" s="13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777"/>
        <v>45394</v>
      </c>
      <c r="L2790" s="5">
        <f t="shared" si="778"/>
        <v>4</v>
      </c>
      <c r="M2790" s="5">
        <f t="shared" si="779"/>
        <v>2024</v>
      </c>
      <c r="N2790" s="12">
        <v>3480</v>
      </c>
      <c r="O2790" s="12"/>
      <c r="P2790" s="12">
        <v>3480</v>
      </c>
      <c r="Q2790" s="7">
        <f t="shared" si="781"/>
        <v>4524430.45</v>
      </c>
      <c r="R2790" s="44" t="str">
        <f>VLOOKUP(F2790,'Set up'!$A$2:$E$55,5,FALSE)</f>
        <v>Trsf</v>
      </c>
    </row>
    <row r="2791" spans="1:19" ht="15" customHeight="1" x14ac:dyDescent="0.3">
      <c r="A2791" s="4">
        <v>45394</v>
      </c>
      <c r="B2791" s="5">
        <f t="shared" si="783"/>
        <v>4</v>
      </c>
      <c r="C2791" s="5">
        <f t="shared" si="78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8" t="s">
        <v>1923</v>
      </c>
      <c r="H2791" s="13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777"/>
        <v>45394</v>
      </c>
      <c r="L2791" s="5">
        <f t="shared" si="778"/>
        <v>4</v>
      </c>
      <c r="M2791" s="5">
        <f t="shared" si="779"/>
        <v>2024</v>
      </c>
      <c r="N2791" s="12">
        <v>2340</v>
      </c>
      <c r="O2791" s="12"/>
      <c r="P2791" s="12">
        <v>2340</v>
      </c>
      <c r="Q2791" s="7">
        <f t="shared" si="781"/>
        <v>4526770.45</v>
      </c>
      <c r="R2791" s="44" t="str">
        <f>VLOOKUP(F2791,'Set up'!$A$2:$E$55,5,FALSE)</f>
        <v>Trsf</v>
      </c>
    </row>
    <row r="2792" spans="1:19" ht="15" customHeight="1" x14ac:dyDescent="0.3">
      <c r="A2792" s="4">
        <v>45394</v>
      </c>
      <c r="B2792" s="5">
        <f t="shared" si="783"/>
        <v>4</v>
      </c>
      <c r="C2792" s="5">
        <f t="shared" si="78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8" t="s">
        <v>1062</v>
      </c>
      <c r="H2792" s="13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777"/>
        <v>45394</v>
      </c>
      <c r="L2792" s="5">
        <f t="shared" si="778"/>
        <v>4</v>
      </c>
      <c r="M2792" s="5">
        <f t="shared" si="779"/>
        <v>2024</v>
      </c>
      <c r="N2792" s="12">
        <v>380</v>
      </c>
      <c r="O2792" s="12"/>
      <c r="P2792" s="12">
        <v>380</v>
      </c>
      <c r="Q2792" s="7">
        <f t="shared" si="781"/>
        <v>4527150.45</v>
      </c>
      <c r="R2792" s="44" t="str">
        <f>VLOOKUP(F2792,'Set up'!$A$2:$E$55,5,FALSE)</f>
        <v>Trsf</v>
      </c>
    </row>
    <row r="2793" spans="1:19" ht="15" customHeight="1" x14ac:dyDescent="0.3">
      <c r="A2793" s="4">
        <v>45394</v>
      </c>
      <c r="B2793" s="5">
        <f t="shared" si="783"/>
        <v>4</v>
      </c>
      <c r="C2793" s="5">
        <f t="shared" si="78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8" t="s">
        <v>1074</v>
      </c>
      <c r="H2793" s="13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777"/>
        <v>45394</v>
      </c>
      <c r="L2793" s="5">
        <f t="shared" si="778"/>
        <v>4</v>
      </c>
      <c r="M2793" s="5">
        <f t="shared" si="779"/>
        <v>2024</v>
      </c>
      <c r="N2793" s="12">
        <v>1000</v>
      </c>
      <c r="O2793" s="12"/>
      <c r="P2793" s="12">
        <v>1000</v>
      </c>
      <c r="Q2793" s="7">
        <f t="shared" si="781"/>
        <v>4528150.45</v>
      </c>
      <c r="R2793" s="44" t="str">
        <f>VLOOKUP(F2793,'Set up'!$A$2:$E$55,5,FALSE)</f>
        <v>Trsf</v>
      </c>
    </row>
    <row r="2794" spans="1:19" ht="15" customHeight="1" x14ac:dyDescent="0.3">
      <c r="A2794" s="4">
        <v>45402</v>
      </c>
      <c r="B2794" s="5">
        <f t="shared" si="783"/>
        <v>4</v>
      </c>
      <c r="C2794" s="5">
        <f t="shared" si="78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8" t="s">
        <v>720</v>
      </c>
      <c r="H2794" s="13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777"/>
        <v>45402</v>
      </c>
      <c r="L2794" s="5">
        <f t="shared" si="778"/>
        <v>4</v>
      </c>
      <c r="M2794" s="5">
        <f t="shared" si="779"/>
        <v>2024</v>
      </c>
      <c r="N2794" s="12">
        <v>1738</v>
      </c>
      <c r="O2794" s="12"/>
      <c r="P2794" s="12">
        <v>1738</v>
      </c>
      <c r="Q2794" s="7">
        <f t="shared" si="781"/>
        <v>4529888.45</v>
      </c>
      <c r="R2794" s="44" t="str">
        <f>VLOOKUP(F2794,'Set up'!$A$2:$E$55,5,FALSE)</f>
        <v>Trsf</v>
      </c>
    </row>
    <row r="2795" spans="1:19" ht="15" customHeight="1" x14ac:dyDescent="0.3">
      <c r="A2795" s="4">
        <v>45402</v>
      </c>
      <c r="B2795" s="5">
        <f t="shared" si="783"/>
        <v>4</v>
      </c>
      <c r="C2795" s="5">
        <f t="shared" si="78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8" t="s">
        <v>792</v>
      </c>
      <c r="H2795" s="13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777"/>
        <v>45402</v>
      </c>
      <c r="L2795" s="5">
        <f t="shared" si="778"/>
        <v>4</v>
      </c>
      <c r="M2795" s="5">
        <f t="shared" si="779"/>
        <v>2024</v>
      </c>
      <c r="N2795" s="12">
        <v>187.5</v>
      </c>
      <c r="O2795" s="12"/>
      <c r="P2795" s="12">
        <v>187.5</v>
      </c>
      <c r="Q2795" s="7">
        <f t="shared" si="781"/>
        <v>4530075.95</v>
      </c>
      <c r="R2795" s="44" t="str">
        <f>VLOOKUP(F2795,'Set up'!$A$2:$E$55,5,FALSE)</f>
        <v>Trsf</v>
      </c>
    </row>
    <row r="2796" spans="1:19" ht="15" customHeight="1" x14ac:dyDescent="0.3">
      <c r="A2796" s="4">
        <v>45404</v>
      </c>
      <c r="B2796" s="5">
        <f t="shared" si="783"/>
        <v>4</v>
      </c>
      <c r="C2796" s="5">
        <f t="shared" si="78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8" t="s">
        <v>1179</v>
      </c>
      <c r="H2796" s="13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777"/>
        <v>45524</v>
      </c>
      <c r="L2796" s="5">
        <f t="shared" si="778"/>
        <v>8</v>
      </c>
      <c r="M2796" s="5">
        <f t="shared" si="779"/>
        <v>2024</v>
      </c>
      <c r="N2796" s="12">
        <v>9768</v>
      </c>
      <c r="O2796" s="12"/>
      <c r="P2796" s="12">
        <v>9768</v>
      </c>
      <c r="Q2796" s="7">
        <f t="shared" si="781"/>
        <v>4539843.95</v>
      </c>
      <c r="R2796" s="44" t="str">
        <f>VLOOKUP(F2796,'Set up'!$A$2:$E$55,5,FALSE)</f>
        <v>Trsf</v>
      </c>
    </row>
    <row r="2797" spans="1:19" ht="15" customHeight="1" x14ac:dyDescent="0.3">
      <c r="A2797" s="4">
        <v>45404</v>
      </c>
      <c r="B2797" s="5">
        <f t="shared" si="783"/>
        <v>4</v>
      </c>
      <c r="C2797" s="5">
        <f t="shared" si="78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8" t="s">
        <v>1544</v>
      </c>
      <c r="H2797" s="13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777"/>
        <v>45524</v>
      </c>
      <c r="L2797" s="5">
        <f t="shared" si="778"/>
        <v>8</v>
      </c>
      <c r="M2797" s="5">
        <f t="shared" si="779"/>
        <v>2024</v>
      </c>
      <c r="N2797" s="12">
        <v>1740</v>
      </c>
      <c r="O2797" s="12"/>
      <c r="P2797" s="12">
        <v>1740</v>
      </c>
      <c r="Q2797" s="7">
        <f t="shared" si="781"/>
        <v>4541583.95</v>
      </c>
      <c r="R2797" s="44" t="str">
        <f>VLOOKUP(F2797,'Set up'!$A$2:$E$55,5,FALSE)</f>
        <v>Trsf</v>
      </c>
    </row>
    <row r="2798" spans="1:19" ht="15" customHeight="1" x14ac:dyDescent="0.3">
      <c r="A2798" s="4">
        <v>45404</v>
      </c>
      <c r="B2798" s="5">
        <f t="shared" si="783"/>
        <v>4</v>
      </c>
      <c r="C2798" s="5">
        <f t="shared" si="78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8" t="s">
        <v>46</v>
      </c>
      <c r="H2798" s="13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777"/>
        <v>45524</v>
      </c>
      <c r="L2798" s="5">
        <f t="shared" si="778"/>
        <v>8</v>
      </c>
      <c r="M2798" s="5">
        <f t="shared" si="779"/>
        <v>2024</v>
      </c>
      <c r="N2798" s="12">
        <v>440</v>
      </c>
      <c r="O2798" s="12"/>
      <c r="P2798" s="12">
        <v>440</v>
      </c>
      <c r="Q2798" s="7">
        <f t="shared" si="781"/>
        <v>4542023.95</v>
      </c>
      <c r="R2798" s="44" t="str">
        <f>VLOOKUP(F2798,'Set up'!$A$2:$E$55,5,FALSE)</f>
        <v>Trsf</v>
      </c>
    </row>
    <row r="2799" spans="1:19" ht="15" customHeight="1" x14ac:dyDescent="0.3">
      <c r="A2799" s="4">
        <v>45404</v>
      </c>
      <c r="B2799" s="5">
        <f t="shared" si="783"/>
        <v>4</v>
      </c>
      <c r="C2799" s="5">
        <f t="shared" si="78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8" t="s">
        <v>615</v>
      </c>
      <c r="H2799" s="13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777"/>
        <v>45524</v>
      </c>
      <c r="L2799" s="5">
        <f t="shared" si="778"/>
        <v>8</v>
      </c>
      <c r="M2799" s="5">
        <f t="shared" si="779"/>
        <v>2024</v>
      </c>
      <c r="N2799" s="12">
        <v>395</v>
      </c>
      <c r="O2799" s="12"/>
      <c r="P2799" s="12">
        <v>395</v>
      </c>
      <c r="Q2799" s="7">
        <f t="shared" si="781"/>
        <v>4542418.95</v>
      </c>
      <c r="R2799" s="44" t="str">
        <f>VLOOKUP(F2799,'Set up'!$A$2:$E$55,5,FALSE)</f>
        <v>Trsf</v>
      </c>
    </row>
    <row r="2800" spans="1:19" ht="15" customHeight="1" x14ac:dyDescent="0.3">
      <c r="A2800" s="4">
        <v>45406</v>
      </c>
      <c r="B2800" s="5">
        <f t="shared" si="783"/>
        <v>4</v>
      </c>
      <c r="C2800" s="5">
        <f t="shared" si="78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8" t="s">
        <v>304</v>
      </c>
      <c r="H2800" s="13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777"/>
        <v>45406</v>
      </c>
      <c r="L2800" s="5">
        <f t="shared" si="778"/>
        <v>4</v>
      </c>
      <c r="M2800" s="5">
        <f t="shared" si="779"/>
        <v>2024</v>
      </c>
      <c r="N2800" s="12">
        <v>1628</v>
      </c>
      <c r="O2800" s="6">
        <f t="shared" ref="O2800:O2805" si="786">-N2800</f>
        <v>-1628</v>
      </c>
      <c r="P2800" s="12">
        <f t="shared" ref="P2800:P2863" si="787">SUM(N2800+O2800)</f>
        <v>0</v>
      </c>
      <c r="Q2800" s="7">
        <f t="shared" si="781"/>
        <v>4544046.95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783"/>
        <v>4</v>
      </c>
      <c r="C2801" s="5">
        <f t="shared" si="78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8" t="s">
        <v>1544</v>
      </c>
      <c r="H2801" s="13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777"/>
        <v>45406</v>
      </c>
      <c r="L2801" s="5">
        <f t="shared" si="778"/>
        <v>4</v>
      </c>
      <c r="M2801" s="5">
        <f t="shared" si="779"/>
        <v>2024</v>
      </c>
      <c r="N2801" s="12">
        <v>621</v>
      </c>
      <c r="O2801" s="6">
        <f t="shared" si="786"/>
        <v>-621</v>
      </c>
      <c r="P2801" s="12">
        <f t="shared" si="787"/>
        <v>0</v>
      </c>
      <c r="Q2801" s="7">
        <f t="shared" si="781"/>
        <v>4544667.95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783"/>
        <v>4</v>
      </c>
      <c r="C2802" s="5">
        <f t="shared" si="78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8" t="s">
        <v>2110</v>
      </c>
      <c r="H2802" s="13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777"/>
        <v>45406</v>
      </c>
      <c r="L2802" s="5">
        <f t="shared" si="778"/>
        <v>4</v>
      </c>
      <c r="M2802" s="5">
        <f t="shared" si="779"/>
        <v>2024</v>
      </c>
      <c r="N2802" s="12">
        <v>283.8</v>
      </c>
      <c r="O2802" s="6">
        <f t="shared" si="786"/>
        <v>-283.8</v>
      </c>
      <c r="P2802" s="12">
        <f t="shared" si="787"/>
        <v>0</v>
      </c>
      <c r="Q2802" s="7">
        <f t="shared" si="781"/>
        <v>4544951.75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783"/>
        <v>4</v>
      </c>
      <c r="C2803" s="5">
        <f t="shared" si="78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8" t="s">
        <v>1887</v>
      </c>
      <c r="H2803" s="13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777"/>
        <v>45406</v>
      </c>
      <c r="L2803" s="5">
        <f t="shared" si="778"/>
        <v>4</v>
      </c>
      <c r="M2803" s="5">
        <f t="shared" si="779"/>
        <v>2024</v>
      </c>
      <c r="N2803" s="12">
        <v>160</v>
      </c>
      <c r="O2803" s="6">
        <f t="shared" si="786"/>
        <v>-160</v>
      </c>
      <c r="P2803" s="12">
        <f t="shared" si="787"/>
        <v>0</v>
      </c>
      <c r="Q2803" s="7">
        <f t="shared" si="781"/>
        <v>4545111.75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783"/>
        <v>4</v>
      </c>
      <c r="C2804" s="5">
        <f t="shared" si="78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8" t="s">
        <v>1716</v>
      </c>
      <c r="H2804" s="13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777"/>
        <v>45406</v>
      </c>
      <c r="L2804" s="5">
        <f t="shared" si="778"/>
        <v>4</v>
      </c>
      <c r="M2804" s="5">
        <f t="shared" si="779"/>
        <v>2024</v>
      </c>
      <c r="N2804" s="12">
        <v>165</v>
      </c>
      <c r="O2804" s="6">
        <f t="shared" si="786"/>
        <v>-165</v>
      </c>
      <c r="P2804" s="12">
        <f t="shared" si="787"/>
        <v>0</v>
      </c>
      <c r="Q2804" s="7">
        <f t="shared" si="781"/>
        <v>4545276.75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783"/>
        <v>4</v>
      </c>
      <c r="C2805" s="5">
        <f t="shared" si="78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8" t="s">
        <v>17</v>
      </c>
      <c r="H2805" s="13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777"/>
        <v>45406</v>
      </c>
      <c r="L2805" s="5">
        <f t="shared" si="778"/>
        <v>4</v>
      </c>
      <c r="M2805" s="5">
        <f t="shared" si="779"/>
        <v>2024</v>
      </c>
      <c r="N2805" s="12">
        <v>110</v>
      </c>
      <c r="O2805" s="6">
        <f t="shared" si="786"/>
        <v>-110</v>
      </c>
      <c r="P2805" s="12">
        <f t="shared" si="787"/>
        <v>0</v>
      </c>
      <c r="Q2805" s="7">
        <f t="shared" si="781"/>
        <v>4545386.75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783"/>
        <v>4</v>
      </c>
      <c r="C2806" s="5">
        <f t="shared" si="78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8" t="s">
        <v>950</v>
      </c>
      <c r="H2806" s="13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777"/>
        <v>45406</v>
      </c>
      <c r="L2806" s="5">
        <f t="shared" si="778"/>
        <v>4</v>
      </c>
      <c r="M2806" s="5">
        <f t="shared" si="779"/>
        <v>2024</v>
      </c>
      <c r="N2806" s="12">
        <v>120</v>
      </c>
      <c r="O2806" s="6">
        <f t="shared" ref="O2806" si="788">-N2806</f>
        <v>-120</v>
      </c>
      <c r="P2806" s="12">
        <f t="shared" si="787"/>
        <v>0</v>
      </c>
      <c r="Q2806" s="7">
        <f t="shared" si="781"/>
        <v>4545506.75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783"/>
        <v>4</v>
      </c>
      <c r="C2807" s="5">
        <f t="shared" si="78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8" t="s">
        <v>67</v>
      </c>
      <c r="H2807" s="13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777"/>
        <v>45407</v>
      </c>
      <c r="L2807" s="5">
        <f t="shared" si="778"/>
        <v>4</v>
      </c>
      <c r="M2807" s="5">
        <f t="shared" si="779"/>
        <v>2024</v>
      </c>
      <c r="N2807" s="12">
        <v>1738</v>
      </c>
      <c r="O2807" s="12"/>
      <c r="P2807" s="12">
        <f t="shared" si="787"/>
        <v>1738</v>
      </c>
      <c r="Q2807" s="7">
        <f t="shared" si="781"/>
        <v>4547244.75</v>
      </c>
      <c r="R2807" s="44" t="str">
        <f>VLOOKUP(F2807,'Set up'!$A$2:$E$55,5,FALSE)</f>
        <v>PD Chq</v>
      </c>
    </row>
    <row r="2808" spans="1:19" ht="15" customHeight="1" x14ac:dyDescent="0.3">
      <c r="A2808" s="4">
        <v>45407</v>
      </c>
      <c r="B2808" s="5">
        <f t="shared" si="783"/>
        <v>4</v>
      </c>
      <c r="C2808" s="5">
        <f t="shared" si="78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8" t="s">
        <v>2199</v>
      </c>
      <c r="H2808" s="13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777"/>
        <v>45407</v>
      </c>
      <c r="L2808" s="5">
        <f t="shared" si="778"/>
        <v>4</v>
      </c>
      <c r="M2808" s="5">
        <f t="shared" si="779"/>
        <v>2024</v>
      </c>
      <c r="N2808" s="12">
        <v>555</v>
      </c>
      <c r="O2808" s="12"/>
      <c r="P2808" s="12">
        <f t="shared" si="787"/>
        <v>555</v>
      </c>
      <c r="Q2808" s="7">
        <f t="shared" si="781"/>
        <v>4547799.75</v>
      </c>
      <c r="R2808" s="44" t="str">
        <f>VLOOKUP(F2808,'Set up'!$A$2:$E$55,5,FALSE)</f>
        <v>PD Chq</v>
      </c>
    </row>
    <row r="2809" spans="1:19" ht="15" customHeight="1" x14ac:dyDescent="0.3">
      <c r="A2809" s="4">
        <v>45407</v>
      </c>
      <c r="B2809" s="5">
        <f t="shared" si="783"/>
        <v>4</v>
      </c>
      <c r="C2809" s="5">
        <f t="shared" si="78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8" t="s">
        <v>1062</v>
      </c>
      <c r="H2809" s="13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777"/>
        <v>45407</v>
      </c>
      <c r="L2809" s="5">
        <f t="shared" si="778"/>
        <v>4</v>
      </c>
      <c r="M2809" s="5">
        <f t="shared" si="779"/>
        <v>2024</v>
      </c>
      <c r="N2809" s="12">
        <v>95</v>
      </c>
      <c r="O2809" s="12"/>
      <c r="P2809" s="12">
        <f t="shared" si="787"/>
        <v>95</v>
      </c>
      <c r="Q2809" s="7">
        <f t="shared" si="781"/>
        <v>4547894.75</v>
      </c>
      <c r="R2809" s="44" t="str">
        <f>VLOOKUP(F2809,'Set up'!$A$2:$E$55,5,FALSE)</f>
        <v>PD Chq</v>
      </c>
    </row>
    <row r="2810" spans="1:19" ht="15" customHeight="1" x14ac:dyDescent="0.3">
      <c r="A2810" s="4">
        <v>45407</v>
      </c>
      <c r="B2810" s="5">
        <f t="shared" si="783"/>
        <v>4</v>
      </c>
      <c r="C2810" s="5">
        <f t="shared" si="78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8" t="s">
        <v>54</v>
      </c>
      <c r="H2810" s="13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777"/>
        <v>45407</v>
      </c>
      <c r="L2810" s="5">
        <f t="shared" si="778"/>
        <v>4</v>
      </c>
      <c r="M2810" s="5">
        <f t="shared" si="779"/>
        <v>2024</v>
      </c>
      <c r="N2810" s="12">
        <v>312.5</v>
      </c>
      <c r="O2810" s="12"/>
      <c r="P2810" s="12">
        <f t="shared" si="787"/>
        <v>312.5</v>
      </c>
      <c r="Q2810" s="7">
        <f t="shared" si="781"/>
        <v>4548207.25</v>
      </c>
      <c r="R2810" s="44" t="str">
        <f>VLOOKUP(F2810,'Set up'!$A$2:$E$55,5,FALSE)</f>
        <v>PD Chq</v>
      </c>
    </row>
    <row r="2811" spans="1:19" ht="15" customHeight="1" x14ac:dyDescent="0.3">
      <c r="A2811" s="4">
        <v>45407</v>
      </c>
      <c r="B2811" s="5">
        <f t="shared" si="783"/>
        <v>4</v>
      </c>
      <c r="C2811" s="5">
        <f t="shared" si="78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8" t="s">
        <v>2592</v>
      </c>
      <c r="H2811" s="13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777"/>
        <v>45407</v>
      </c>
      <c r="L2811" s="5">
        <f t="shared" si="778"/>
        <v>4</v>
      </c>
      <c r="M2811" s="5">
        <f t="shared" si="779"/>
        <v>2024</v>
      </c>
      <c r="N2811" s="12">
        <v>480</v>
      </c>
      <c r="O2811" s="12"/>
      <c r="P2811" s="12">
        <f t="shared" si="787"/>
        <v>480</v>
      </c>
      <c r="Q2811" s="7">
        <f t="shared" si="781"/>
        <v>4548687.25</v>
      </c>
      <c r="R2811" s="44" t="str">
        <f>VLOOKUP(F2811,'Set up'!$A$2:$E$55,5,FALSE)</f>
        <v>PD Chq</v>
      </c>
    </row>
    <row r="2812" spans="1:19" ht="15" customHeight="1" x14ac:dyDescent="0.3">
      <c r="A2812" s="4">
        <v>45408</v>
      </c>
      <c r="B2812" s="5">
        <f t="shared" si="783"/>
        <v>4</v>
      </c>
      <c r="C2812" s="5">
        <f t="shared" si="784"/>
        <v>2024</v>
      </c>
      <c r="D2812" s="5" t="s">
        <v>2593</v>
      </c>
      <c r="E2812" s="5" t="str">
        <f>VLOOKUP(F2812,'Set up'!$A$2:$C$55,2,FALSE)</f>
        <v>C00000044</v>
      </c>
      <c r="F2812" s="1" t="s">
        <v>2959</v>
      </c>
      <c r="G2812" s="98" t="s">
        <v>1179</v>
      </c>
      <c r="H2812" s="13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777"/>
        <v>45408</v>
      </c>
      <c r="L2812" s="5">
        <f t="shared" si="778"/>
        <v>4</v>
      </c>
      <c r="M2812" s="5">
        <f t="shared" si="779"/>
        <v>2024</v>
      </c>
      <c r="N2812" s="12">
        <v>1650</v>
      </c>
      <c r="O2812" s="6">
        <f t="shared" ref="O2812:O2814" si="789">-N2812</f>
        <v>-1650</v>
      </c>
      <c r="P2812" s="12">
        <f t="shared" si="787"/>
        <v>0</v>
      </c>
      <c r="Q2812" s="7">
        <f t="shared" si="781"/>
        <v>4550337.25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783"/>
        <v>4</v>
      </c>
      <c r="C2813" s="5">
        <f t="shared" si="784"/>
        <v>2024</v>
      </c>
      <c r="D2813" s="5" t="s">
        <v>2593</v>
      </c>
      <c r="E2813" s="5" t="str">
        <f>VLOOKUP(F2813,'Set up'!$A$2:$C$55,2,FALSE)</f>
        <v>C00000044</v>
      </c>
      <c r="F2813" s="1" t="s">
        <v>2959</v>
      </c>
      <c r="G2813" s="98" t="s">
        <v>1544</v>
      </c>
      <c r="H2813" s="13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777"/>
        <v>45408</v>
      </c>
      <c r="L2813" s="5">
        <f t="shared" si="778"/>
        <v>4</v>
      </c>
      <c r="M2813" s="5">
        <f t="shared" si="779"/>
        <v>2024</v>
      </c>
      <c r="N2813" s="12">
        <v>420</v>
      </c>
      <c r="O2813" s="6">
        <f t="shared" si="789"/>
        <v>-420</v>
      </c>
      <c r="P2813" s="12">
        <f t="shared" si="787"/>
        <v>0</v>
      </c>
      <c r="Q2813" s="7">
        <f t="shared" si="781"/>
        <v>4550757.25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783"/>
        <v>4</v>
      </c>
      <c r="C2814" s="5">
        <f t="shared" si="784"/>
        <v>2024</v>
      </c>
      <c r="D2814" s="5" t="s">
        <v>2593</v>
      </c>
      <c r="E2814" s="5" t="str">
        <f>VLOOKUP(F2814,'Set up'!$A$2:$C$55,2,FALSE)</f>
        <v>C00000044</v>
      </c>
      <c r="F2814" s="1" t="s">
        <v>2959</v>
      </c>
      <c r="G2814" s="98" t="s">
        <v>950</v>
      </c>
      <c r="H2814" s="13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777"/>
        <v>45408</v>
      </c>
      <c r="L2814" s="5">
        <f t="shared" si="778"/>
        <v>4</v>
      </c>
      <c r="M2814" s="5">
        <f t="shared" si="779"/>
        <v>2024</v>
      </c>
      <c r="N2814" s="12">
        <v>60</v>
      </c>
      <c r="O2814" s="6">
        <f t="shared" si="789"/>
        <v>-60</v>
      </c>
      <c r="P2814" s="12">
        <f t="shared" si="787"/>
        <v>0</v>
      </c>
      <c r="Q2814" s="7">
        <f t="shared" si="781"/>
        <v>4550817.25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783"/>
        <v>4</v>
      </c>
      <c r="C2815" s="5">
        <f t="shared" si="78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8" t="s">
        <v>945</v>
      </c>
      <c r="H2815" s="13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777"/>
        <v>45411</v>
      </c>
      <c r="L2815" s="5">
        <f t="shared" si="778"/>
        <v>4</v>
      </c>
      <c r="M2815" s="5">
        <f t="shared" si="779"/>
        <v>2024</v>
      </c>
      <c r="N2815" s="12">
        <v>420</v>
      </c>
      <c r="O2815" s="12"/>
      <c r="P2815" s="12">
        <f t="shared" si="787"/>
        <v>420</v>
      </c>
      <c r="Q2815" s="7">
        <f t="shared" si="781"/>
        <v>4551237.25</v>
      </c>
      <c r="R2815" s="44" t="str">
        <f>VLOOKUP(F2815,'Set up'!$A$2:$E$55,5,FALSE)</f>
        <v>Trsf</v>
      </c>
    </row>
    <row r="2816" spans="1:19" ht="15" customHeight="1" x14ac:dyDescent="0.3">
      <c r="A2816" s="4">
        <v>45411</v>
      </c>
      <c r="B2816" s="5">
        <f t="shared" si="783"/>
        <v>4</v>
      </c>
      <c r="C2816" s="5">
        <f t="shared" si="78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8" t="s">
        <v>46</v>
      </c>
      <c r="H2816" s="13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777"/>
        <v>45411</v>
      </c>
      <c r="L2816" s="5">
        <f t="shared" si="778"/>
        <v>4</v>
      </c>
      <c r="M2816" s="5">
        <f t="shared" si="779"/>
        <v>2024</v>
      </c>
      <c r="N2816" s="12">
        <v>110</v>
      </c>
      <c r="O2816" s="12"/>
      <c r="P2816" s="12">
        <f t="shared" si="787"/>
        <v>110</v>
      </c>
      <c r="Q2816" s="7">
        <f t="shared" si="781"/>
        <v>4551347.25</v>
      </c>
      <c r="R2816" s="44" t="str">
        <f>VLOOKUP(F2816,'Set up'!$A$2:$E$55,5,FALSE)</f>
        <v>Trsf</v>
      </c>
    </row>
    <row r="2817" spans="1:19" ht="15" customHeight="1" x14ac:dyDescent="0.3">
      <c r="A2817" s="4">
        <v>45411</v>
      </c>
      <c r="B2817" s="5">
        <f t="shared" si="783"/>
        <v>4</v>
      </c>
      <c r="C2817" s="5">
        <f t="shared" si="78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8" t="s">
        <v>2596</v>
      </c>
      <c r="H2817" s="13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777"/>
        <v>45411</v>
      </c>
      <c r="L2817" s="5">
        <f t="shared" si="778"/>
        <v>4</v>
      </c>
      <c r="M2817" s="5">
        <f t="shared" si="779"/>
        <v>2024</v>
      </c>
      <c r="N2817" s="12">
        <v>474</v>
      </c>
      <c r="O2817" s="6">
        <f t="shared" ref="O2817:O2818" si="790">-N2817</f>
        <v>-474</v>
      </c>
      <c r="P2817" s="12">
        <f t="shared" si="787"/>
        <v>0</v>
      </c>
      <c r="Q2817" s="7">
        <f t="shared" si="781"/>
        <v>4551821.25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783"/>
        <v>4</v>
      </c>
      <c r="C2818" s="5">
        <f t="shared" si="78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8" t="s">
        <v>2597</v>
      </c>
      <c r="H2818" s="13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777"/>
        <v>45411</v>
      </c>
      <c r="L2818" s="5">
        <f t="shared" si="778"/>
        <v>4</v>
      </c>
      <c r="M2818" s="5">
        <f t="shared" si="779"/>
        <v>2024</v>
      </c>
      <c r="N2818" s="12">
        <v>185</v>
      </c>
      <c r="O2818" s="6">
        <f t="shared" si="790"/>
        <v>-185</v>
      </c>
      <c r="P2818" s="12">
        <f t="shared" si="787"/>
        <v>0</v>
      </c>
      <c r="Q2818" s="7">
        <f t="shared" si="781"/>
        <v>4552006.25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783"/>
        <v>4</v>
      </c>
      <c r="C2819" s="5">
        <f t="shared" si="78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8" t="s">
        <v>720</v>
      </c>
      <c r="H2819" s="13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791">A2819+J2819</f>
        <v>45471</v>
      </c>
      <c r="L2819" s="5">
        <f t="shared" ref="L2819:L2882" si="792">MONTH(K2819)</f>
        <v>6</v>
      </c>
      <c r="M2819" s="5">
        <f t="shared" ref="M2819:M2882" si="793">YEAR(K2819)</f>
        <v>2024</v>
      </c>
      <c r="N2819" s="12">
        <v>3256</v>
      </c>
      <c r="O2819" s="12"/>
      <c r="P2819" s="12">
        <f t="shared" si="787"/>
        <v>3256</v>
      </c>
      <c r="Q2819" s="7">
        <f t="shared" si="781"/>
        <v>4555262.25</v>
      </c>
      <c r="R2819" s="44" t="str">
        <f>VLOOKUP(F2819,'Set up'!$A$2:$E$55,5,FALSE)</f>
        <v>Chq</v>
      </c>
    </row>
    <row r="2820" spans="1:19" ht="15" customHeight="1" x14ac:dyDescent="0.3">
      <c r="A2820" s="4">
        <v>45411</v>
      </c>
      <c r="B2820" s="5">
        <f t="shared" si="783"/>
        <v>4</v>
      </c>
      <c r="C2820" s="5">
        <f t="shared" si="78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8" t="s">
        <v>617</v>
      </c>
      <c r="H2820" s="13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791"/>
        <v>45471</v>
      </c>
      <c r="L2820" s="5">
        <f t="shared" si="792"/>
        <v>6</v>
      </c>
      <c r="M2820" s="5">
        <f t="shared" si="793"/>
        <v>2024</v>
      </c>
      <c r="N2820" s="12">
        <v>1628</v>
      </c>
      <c r="O2820" s="12"/>
      <c r="P2820" s="12">
        <f t="shared" si="787"/>
        <v>1628</v>
      </c>
      <c r="Q2820" s="7">
        <f t="shared" si="781"/>
        <v>4556890.25</v>
      </c>
      <c r="R2820" s="44" t="str">
        <f>VLOOKUP(F2820,'Set up'!$A$2:$E$55,5,FALSE)</f>
        <v>Chq</v>
      </c>
    </row>
    <row r="2821" spans="1:19" ht="15" customHeight="1" x14ac:dyDescent="0.3">
      <c r="A2821" s="4">
        <v>45411</v>
      </c>
      <c r="B2821" s="5">
        <f t="shared" si="783"/>
        <v>4</v>
      </c>
      <c r="C2821" s="5">
        <f t="shared" si="78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8" t="s">
        <v>293</v>
      </c>
      <c r="H2821" s="13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791"/>
        <v>45471</v>
      </c>
      <c r="L2821" s="5">
        <f t="shared" si="792"/>
        <v>6</v>
      </c>
      <c r="M2821" s="5">
        <f t="shared" si="793"/>
        <v>2024</v>
      </c>
      <c r="N2821" s="12">
        <v>450</v>
      </c>
      <c r="O2821" s="12"/>
      <c r="P2821" s="12">
        <f t="shared" si="787"/>
        <v>450</v>
      </c>
      <c r="Q2821" s="7">
        <f t="shared" si="781"/>
        <v>4557340.25</v>
      </c>
      <c r="R2821" s="44" t="str">
        <f>VLOOKUP(F2821,'Set up'!$A$2:$E$55,5,FALSE)</f>
        <v>Chq</v>
      </c>
    </row>
    <row r="2822" spans="1:19" ht="15" customHeight="1" x14ac:dyDescent="0.3">
      <c r="A2822" s="4">
        <v>45411</v>
      </c>
      <c r="B2822" s="5">
        <f t="shared" si="783"/>
        <v>4</v>
      </c>
      <c r="C2822" s="5">
        <f t="shared" si="78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8" t="s">
        <v>1111</v>
      </c>
      <c r="H2822" s="13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791"/>
        <v>45411</v>
      </c>
      <c r="L2822" s="5">
        <f t="shared" si="792"/>
        <v>4</v>
      </c>
      <c r="M2822" s="5">
        <f t="shared" si="793"/>
        <v>2024</v>
      </c>
      <c r="N2822" s="12">
        <v>437.5</v>
      </c>
      <c r="O2822" s="12"/>
      <c r="P2822" s="12">
        <f t="shared" si="787"/>
        <v>437.5</v>
      </c>
      <c r="Q2822" s="7">
        <f t="shared" si="781"/>
        <v>4557777.75</v>
      </c>
      <c r="R2822" s="44" t="str">
        <f>VLOOKUP(F2822,'Set up'!$A$2:$E$55,5,FALSE)</f>
        <v>Trsf</v>
      </c>
    </row>
    <row r="2823" spans="1:19" ht="15" customHeight="1" x14ac:dyDescent="0.3">
      <c r="A2823" s="4">
        <v>45411</v>
      </c>
      <c r="B2823" s="5">
        <f t="shared" si="783"/>
        <v>4</v>
      </c>
      <c r="C2823" s="5">
        <f t="shared" si="78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8" t="s">
        <v>2600</v>
      </c>
      <c r="H2823" s="13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791"/>
        <v>45411</v>
      </c>
      <c r="L2823" s="5">
        <f t="shared" si="792"/>
        <v>4</v>
      </c>
      <c r="M2823" s="5">
        <f t="shared" si="793"/>
        <v>2024</v>
      </c>
      <c r="N2823" s="12">
        <v>0</v>
      </c>
      <c r="O2823" s="12"/>
      <c r="P2823" s="12">
        <f t="shared" si="787"/>
        <v>0</v>
      </c>
      <c r="Q2823" s="7">
        <f t="shared" si="781"/>
        <v>4557777.75</v>
      </c>
      <c r="R2823" s="44" t="str">
        <f>VLOOKUP(F2823,'Set up'!$A$2:$E$55,5,FALSE)</f>
        <v>Trsf</v>
      </c>
    </row>
    <row r="2824" spans="1:19" ht="15" customHeight="1" x14ac:dyDescent="0.3">
      <c r="A2824" s="4">
        <v>45411</v>
      </c>
      <c r="B2824" s="5">
        <f t="shared" si="783"/>
        <v>4</v>
      </c>
      <c r="C2824" s="5">
        <f t="shared" si="78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8" t="s">
        <v>1734</v>
      </c>
      <c r="H2824" s="13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791"/>
        <v>45411</v>
      </c>
      <c r="L2824" s="5">
        <f t="shared" si="792"/>
        <v>4</v>
      </c>
      <c r="M2824" s="5">
        <f t="shared" si="793"/>
        <v>2024</v>
      </c>
      <c r="N2824" s="12">
        <v>11396</v>
      </c>
      <c r="O2824" s="12"/>
      <c r="P2824" s="12">
        <f t="shared" si="787"/>
        <v>11396</v>
      </c>
      <c r="Q2824" s="7">
        <f t="shared" si="781"/>
        <v>4569173.75</v>
      </c>
      <c r="R2824" s="44" t="str">
        <f>VLOOKUP(F2824,'Set up'!$A$2:$E$55,5,FALSE)</f>
        <v>Trsf</v>
      </c>
    </row>
    <row r="2825" spans="1:19" ht="15" customHeight="1" x14ac:dyDescent="0.3">
      <c r="A2825" s="4">
        <v>45411</v>
      </c>
      <c r="B2825" s="5">
        <f t="shared" si="783"/>
        <v>4</v>
      </c>
      <c r="C2825" s="5">
        <f t="shared" si="78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8" t="s">
        <v>914</v>
      </c>
      <c r="H2825" s="13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791"/>
        <v>45411</v>
      </c>
      <c r="L2825" s="5">
        <f t="shared" si="792"/>
        <v>4</v>
      </c>
      <c r="M2825" s="5">
        <f t="shared" si="793"/>
        <v>2024</v>
      </c>
      <c r="N2825" s="12">
        <v>3654</v>
      </c>
      <c r="O2825" s="12"/>
      <c r="P2825" s="12">
        <f t="shared" si="787"/>
        <v>3654</v>
      </c>
      <c r="Q2825" s="7">
        <f t="shared" si="781"/>
        <v>4572827.75</v>
      </c>
      <c r="R2825" s="44" t="str">
        <f>VLOOKUP(F2825,'Set up'!$A$2:$E$55,5,FALSE)</f>
        <v>Trsf</v>
      </c>
    </row>
    <row r="2826" spans="1:19" ht="15" customHeight="1" x14ac:dyDescent="0.3">
      <c r="A2826" s="4">
        <v>45411</v>
      </c>
      <c r="B2826" s="5">
        <f t="shared" si="783"/>
        <v>4</v>
      </c>
      <c r="C2826" s="5">
        <f t="shared" si="78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8" t="s">
        <v>1923</v>
      </c>
      <c r="H2826" s="13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791"/>
        <v>45411</v>
      </c>
      <c r="L2826" s="5">
        <f t="shared" si="792"/>
        <v>4</v>
      </c>
      <c r="M2826" s="5">
        <f t="shared" si="793"/>
        <v>2024</v>
      </c>
      <c r="N2826" s="12">
        <v>1872</v>
      </c>
      <c r="O2826" s="12"/>
      <c r="P2826" s="12">
        <f t="shared" si="787"/>
        <v>1872</v>
      </c>
      <c r="Q2826" s="7">
        <f t="shared" si="781"/>
        <v>4574699.75</v>
      </c>
      <c r="R2826" s="44" t="str">
        <f>VLOOKUP(F2826,'Set up'!$A$2:$E$55,5,FALSE)</f>
        <v>Trsf</v>
      </c>
    </row>
    <row r="2827" spans="1:19" ht="15" customHeight="1" x14ac:dyDescent="0.3">
      <c r="A2827" s="4">
        <v>45411</v>
      </c>
      <c r="B2827" s="5">
        <f t="shared" si="783"/>
        <v>4</v>
      </c>
      <c r="C2827" s="5">
        <f t="shared" si="78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8" t="s">
        <v>1074</v>
      </c>
      <c r="H2827" s="13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791"/>
        <v>45411</v>
      </c>
      <c r="L2827" s="5">
        <f t="shared" si="792"/>
        <v>4</v>
      </c>
      <c r="M2827" s="5">
        <f t="shared" si="793"/>
        <v>2024</v>
      </c>
      <c r="N2827" s="12">
        <v>1000</v>
      </c>
      <c r="O2827" s="12"/>
      <c r="P2827" s="12">
        <f t="shared" si="787"/>
        <v>1000</v>
      </c>
      <c r="Q2827" s="7">
        <f t="shared" si="781"/>
        <v>4575699.75</v>
      </c>
      <c r="R2827" s="44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:B2891" si="794">MONTH(A2828)</f>
        <v>5</v>
      </c>
      <c r="C2828" s="5">
        <f t="shared" ref="C2828:C2891" si="79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8" t="s">
        <v>95</v>
      </c>
      <c r="H2828" s="13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791"/>
        <v>45413</v>
      </c>
      <c r="L2828" s="5">
        <f t="shared" si="792"/>
        <v>5</v>
      </c>
      <c r="M2828" s="5">
        <f t="shared" si="793"/>
        <v>2024</v>
      </c>
      <c r="N2828" s="12">
        <v>1760</v>
      </c>
      <c r="O2828" s="12"/>
      <c r="P2828" s="12">
        <f t="shared" si="787"/>
        <v>1760</v>
      </c>
      <c r="Q2828" s="7">
        <f t="shared" si="781"/>
        <v>4577459.75</v>
      </c>
      <c r="R2828" s="44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si="794"/>
        <v>5</v>
      </c>
      <c r="C2829" s="5">
        <f t="shared" si="79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8" t="s">
        <v>1412</v>
      </c>
      <c r="H2829" s="13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791"/>
        <v>45413</v>
      </c>
      <c r="L2829" s="5">
        <f t="shared" si="792"/>
        <v>5</v>
      </c>
      <c r="M2829" s="5">
        <f t="shared" si="793"/>
        <v>2024</v>
      </c>
      <c r="N2829" s="12">
        <v>405</v>
      </c>
      <c r="O2829" s="12"/>
      <c r="P2829" s="12">
        <f t="shared" si="787"/>
        <v>405</v>
      </c>
      <c r="Q2829" s="7">
        <f t="shared" si="781"/>
        <v>4577864.75</v>
      </c>
      <c r="R2829" s="44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794"/>
        <v>5</v>
      </c>
      <c r="C2830" s="5">
        <f t="shared" si="79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8" t="s">
        <v>1470</v>
      </c>
      <c r="H2830" s="13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791"/>
        <v>45413</v>
      </c>
      <c r="L2830" s="5">
        <f t="shared" si="792"/>
        <v>5</v>
      </c>
      <c r="M2830" s="5">
        <f t="shared" si="793"/>
        <v>2024</v>
      </c>
      <c r="N2830" s="12">
        <v>390</v>
      </c>
      <c r="O2830" s="12"/>
      <c r="P2830" s="12">
        <f t="shared" si="787"/>
        <v>390</v>
      </c>
      <c r="Q2830" s="7">
        <f t="shared" si="781"/>
        <v>4578254.75</v>
      </c>
      <c r="R2830" s="44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794"/>
        <v>5</v>
      </c>
      <c r="C2831" s="5">
        <f t="shared" si="79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8" t="s">
        <v>792</v>
      </c>
      <c r="H2831" s="13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791"/>
        <v>45413</v>
      </c>
      <c r="L2831" s="5">
        <f t="shared" si="792"/>
        <v>5</v>
      </c>
      <c r="M2831" s="5">
        <f t="shared" si="793"/>
        <v>2024</v>
      </c>
      <c r="N2831" s="12">
        <v>187.5</v>
      </c>
      <c r="O2831" s="12"/>
      <c r="P2831" s="12">
        <f t="shared" si="787"/>
        <v>187.5</v>
      </c>
      <c r="Q2831" s="7">
        <f t="shared" si="781"/>
        <v>4578442.25</v>
      </c>
      <c r="R2831" s="44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794"/>
        <v>5</v>
      </c>
      <c r="C2832" s="5">
        <f t="shared" si="79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8" t="s">
        <v>2110</v>
      </c>
      <c r="H2832" s="13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791"/>
        <v>45415</v>
      </c>
      <c r="L2832" s="5">
        <f t="shared" si="792"/>
        <v>5</v>
      </c>
      <c r="M2832" s="5">
        <f t="shared" si="793"/>
        <v>2024</v>
      </c>
      <c r="N2832" s="12">
        <v>283.8</v>
      </c>
      <c r="O2832" s="6">
        <f t="shared" ref="O2832:O2833" si="796">-N2832</f>
        <v>-283.8</v>
      </c>
      <c r="P2832" s="12">
        <f t="shared" si="787"/>
        <v>0</v>
      </c>
      <c r="Q2832" s="7">
        <f t="shared" si="781"/>
        <v>4578726.05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794"/>
        <v>5</v>
      </c>
      <c r="C2833" s="5">
        <f t="shared" si="79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8" t="s">
        <v>1887</v>
      </c>
      <c r="H2833" s="13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791"/>
        <v>45415</v>
      </c>
      <c r="L2833" s="5">
        <f t="shared" si="792"/>
        <v>5</v>
      </c>
      <c r="M2833" s="5">
        <f t="shared" si="793"/>
        <v>2024</v>
      </c>
      <c r="N2833" s="12">
        <v>160</v>
      </c>
      <c r="O2833" s="6">
        <f t="shared" si="796"/>
        <v>-160</v>
      </c>
      <c r="P2833" s="12">
        <f t="shared" si="787"/>
        <v>0</v>
      </c>
      <c r="Q2833" s="7">
        <f t="shared" si="781"/>
        <v>4578886.05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794"/>
        <v>5</v>
      </c>
      <c r="C2834" s="5">
        <f t="shared" si="79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8" t="s">
        <v>1111</v>
      </c>
      <c r="H2834" s="13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791"/>
        <v>45416</v>
      </c>
      <c r="L2834" s="5">
        <f t="shared" si="792"/>
        <v>5</v>
      </c>
      <c r="M2834" s="5">
        <f t="shared" si="793"/>
        <v>2024</v>
      </c>
      <c r="N2834" s="12">
        <v>500</v>
      </c>
      <c r="O2834" s="12"/>
      <c r="P2834" s="12">
        <f t="shared" si="787"/>
        <v>500</v>
      </c>
      <c r="Q2834" s="7">
        <f t="shared" ref="Q2834:Q2897" si="797">SUM(Q2833+N2834)</f>
        <v>4579386.05</v>
      </c>
      <c r="R2834" s="44" t="str">
        <f>VLOOKUP(F2834,'Set up'!$A$2:$E$55,5,FALSE)</f>
        <v>Trsf</v>
      </c>
    </row>
    <row r="2835" spans="1:19" ht="15" customHeight="1" x14ac:dyDescent="0.3">
      <c r="A2835" s="4">
        <v>45416</v>
      </c>
      <c r="B2835" s="5">
        <f t="shared" si="794"/>
        <v>5</v>
      </c>
      <c r="C2835" s="5">
        <f t="shared" si="79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8" t="s">
        <v>2625</v>
      </c>
      <c r="H2835" s="13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791"/>
        <v>45416</v>
      </c>
      <c r="L2835" s="5">
        <f t="shared" si="792"/>
        <v>5</v>
      </c>
      <c r="M2835" s="5">
        <f t="shared" si="793"/>
        <v>2024</v>
      </c>
      <c r="N2835" s="12">
        <v>13024</v>
      </c>
      <c r="O2835" s="12"/>
      <c r="P2835" s="12">
        <f t="shared" si="787"/>
        <v>13024</v>
      </c>
      <c r="Q2835" s="7">
        <f t="shared" si="797"/>
        <v>4592410.05</v>
      </c>
      <c r="R2835" s="44" t="str">
        <f>VLOOKUP(F2835,'Set up'!$A$2:$E$55,5,FALSE)</f>
        <v>Trsf</v>
      </c>
    </row>
    <row r="2836" spans="1:19" ht="15" customHeight="1" x14ac:dyDescent="0.3">
      <c r="A2836" s="4">
        <v>45416</v>
      </c>
      <c r="B2836" s="5">
        <f t="shared" si="794"/>
        <v>5</v>
      </c>
      <c r="C2836" s="5">
        <f t="shared" si="79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8" t="s">
        <v>914</v>
      </c>
      <c r="H2836" s="13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791"/>
        <v>45416</v>
      </c>
      <c r="L2836" s="5">
        <f t="shared" si="792"/>
        <v>5</v>
      </c>
      <c r="M2836" s="5">
        <f t="shared" si="793"/>
        <v>2024</v>
      </c>
      <c r="N2836" s="12">
        <v>3828</v>
      </c>
      <c r="O2836" s="12"/>
      <c r="P2836" s="12">
        <f t="shared" si="787"/>
        <v>3828</v>
      </c>
      <c r="Q2836" s="7">
        <f t="shared" si="797"/>
        <v>4596238.05</v>
      </c>
      <c r="R2836" s="44" t="str">
        <f>VLOOKUP(F2836,'Set up'!$A$2:$E$55,5,FALSE)</f>
        <v>Trsf</v>
      </c>
    </row>
    <row r="2837" spans="1:19" ht="15" customHeight="1" x14ac:dyDescent="0.3">
      <c r="A2837" s="4">
        <v>45416</v>
      </c>
      <c r="B2837" s="5">
        <f t="shared" si="794"/>
        <v>5</v>
      </c>
      <c r="C2837" s="5">
        <f t="shared" si="79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8" t="s">
        <v>1923</v>
      </c>
      <c r="H2837" s="13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791"/>
        <v>45416</v>
      </c>
      <c r="L2837" s="5">
        <f t="shared" si="792"/>
        <v>5</v>
      </c>
      <c r="M2837" s="5">
        <f t="shared" si="793"/>
        <v>2024</v>
      </c>
      <c r="N2837" s="12">
        <v>2808</v>
      </c>
      <c r="O2837" s="12"/>
      <c r="P2837" s="12">
        <f t="shared" si="787"/>
        <v>2808</v>
      </c>
      <c r="Q2837" s="7">
        <f t="shared" si="797"/>
        <v>4599046.05</v>
      </c>
      <c r="R2837" s="44" t="str">
        <f>VLOOKUP(F2837,'Set up'!$A$2:$E$55,5,FALSE)</f>
        <v>Trsf</v>
      </c>
    </row>
    <row r="2838" spans="1:19" ht="15" customHeight="1" x14ac:dyDescent="0.3">
      <c r="A2838" s="4">
        <v>45416</v>
      </c>
      <c r="B2838" s="5">
        <f t="shared" si="794"/>
        <v>5</v>
      </c>
      <c r="C2838" s="5">
        <f t="shared" si="79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8" t="s">
        <v>1074</v>
      </c>
      <c r="H2838" s="13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791"/>
        <v>45416</v>
      </c>
      <c r="L2838" s="5">
        <f t="shared" si="792"/>
        <v>5</v>
      </c>
      <c r="M2838" s="5">
        <f t="shared" si="793"/>
        <v>2024</v>
      </c>
      <c r="N2838" s="12">
        <v>1000</v>
      </c>
      <c r="O2838" s="12"/>
      <c r="P2838" s="12">
        <f t="shared" si="787"/>
        <v>1000</v>
      </c>
      <c r="Q2838" s="7">
        <f t="shared" si="797"/>
        <v>4600046.05</v>
      </c>
      <c r="R2838" s="44" t="str">
        <f>VLOOKUP(F2838,'Set up'!$A$2:$E$55,5,FALSE)</f>
        <v>Trsf</v>
      </c>
    </row>
    <row r="2839" spans="1:19" ht="15" customHeight="1" x14ac:dyDescent="0.3">
      <c r="A2839" s="4">
        <v>45416</v>
      </c>
      <c r="B2839" s="5">
        <f t="shared" si="794"/>
        <v>5</v>
      </c>
      <c r="C2839" s="5">
        <f t="shared" si="79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8" t="s">
        <v>1062</v>
      </c>
      <c r="H2839" s="13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791"/>
        <v>45416</v>
      </c>
      <c r="L2839" s="5">
        <f t="shared" si="792"/>
        <v>5</v>
      </c>
      <c r="M2839" s="5">
        <f t="shared" si="793"/>
        <v>2024</v>
      </c>
      <c r="N2839" s="12">
        <v>380</v>
      </c>
      <c r="O2839" s="12"/>
      <c r="P2839" s="12">
        <f t="shared" si="787"/>
        <v>380</v>
      </c>
      <c r="Q2839" s="7">
        <f t="shared" si="797"/>
        <v>4600426.05</v>
      </c>
      <c r="R2839" s="44" t="str">
        <f>VLOOKUP(F2839,'Set up'!$A$2:$E$55,5,FALSE)</f>
        <v>Trsf</v>
      </c>
    </row>
    <row r="2840" spans="1:19" ht="15" customHeight="1" x14ac:dyDescent="0.3">
      <c r="A2840" s="4">
        <v>45419</v>
      </c>
      <c r="B2840" s="5">
        <f t="shared" si="794"/>
        <v>5</v>
      </c>
      <c r="C2840" s="5">
        <f t="shared" si="79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8" t="s">
        <v>2625</v>
      </c>
      <c r="H2840" s="13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791"/>
        <v>45419</v>
      </c>
      <c r="L2840" s="5">
        <f t="shared" si="792"/>
        <v>5</v>
      </c>
      <c r="M2840" s="5">
        <f t="shared" si="793"/>
        <v>2024</v>
      </c>
      <c r="N2840" s="12">
        <v>3476</v>
      </c>
      <c r="O2840" s="12">
        <f>-3000-476</f>
        <v>-3476</v>
      </c>
      <c r="P2840" s="12">
        <f t="shared" si="787"/>
        <v>0</v>
      </c>
      <c r="Q2840" s="7">
        <f t="shared" si="797"/>
        <v>4603902.05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794"/>
        <v>5</v>
      </c>
      <c r="C2841" s="5">
        <f t="shared" si="79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8" t="s">
        <v>1412</v>
      </c>
      <c r="H2841" s="13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791"/>
        <v>45419</v>
      </c>
      <c r="L2841" s="5">
        <f t="shared" si="792"/>
        <v>5</v>
      </c>
      <c r="M2841" s="5">
        <f t="shared" si="793"/>
        <v>2024</v>
      </c>
      <c r="N2841" s="12">
        <v>405</v>
      </c>
      <c r="O2841" s="6">
        <f t="shared" ref="O2841:O2845" si="798">-N2841</f>
        <v>-405</v>
      </c>
      <c r="P2841" s="12">
        <f t="shared" si="787"/>
        <v>0</v>
      </c>
      <c r="Q2841" s="7">
        <f t="shared" si="797"/>
        <v>4604307.05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794"/>
        <v>5</v>
      </c>
      <c r="C2842" s="5">
        <f t="shared" si="79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8" t="s">
        <v>17</v>
      </c>
      <c r="H2842" s="13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791"/>
        <v>45419</v>
      </c>
      <c r="L2842" s="5">
        <f t="shared" si="792"/>
        <v>5</v>
      </c>
      <c r="M2842" s="5">
        <f t="shared" si="793"/>
        <v>2024</v>
      </c>
      <c r="N2842" s="12">
        <v>220</v>
      </c>
      <c r="O2842" s="6">
        <f t="shared" si="798"/>
        <v>-220</v>
      </c>
      <c r="P2842" s="12">
        <f t="shared" si="787"/>
        <v>0</v>
      </c>
      <c r="Q2842" s="7">
        <f t="shared" si="797"/>
        <v>4604527.05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794"/>
        <v>5</v>
      </c>
      <c r="C2843" s="5">
        <f t="shared" si="79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8" t="s">
        <v>2215</v>
      </c>
      <c r="H2843" s="13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791"/>
        <v>45419</v>
      </c>
      <c r="L2843" s="5">
        <f t="shared" si="792"/>
        <v>5</v>
      </c>
      <c r="M2843" s="5">
        <f t="shared" si="793"/>
        <v>2024</v>
      </c>
      <c r="N2843" s="12">
        <v>567.6</v>
      </c>
      <c r="O2843" s="6">
        <f t="shared" si="798"/>
        <v>-567.6</v>
      </c>
      <c r="P2843" s="12">
        <f t="shared" si="787"/>
        <v>0</v>
      </c>
      <c r="Q2843" s="7">
        <f t="shared" si="797"/>
        <v>4605094.6499999994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794"/>
        <v>5</v>
      </c>
      <c r="C2844" s="5">
        <f t="shared" si="79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8" t="s">
        <v>950</v>
      </c>
      <c r="H2844" s="13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791"/>
        <v>45419</v>
      </c>
      <c r="L2844" s="5">
        <f t="shared" si="792"/>
        <v>5</v>
      </c>
      <c r="M2844" s="5">
        <f t="shared" si="793"/>
        <v>2024</v>
      </c>
      <c r="N2844" s="12">
        <v>120</v>
      </c>
      <c r="O2844" s="6">
        <f t="shared" si="798"/>
        <v>-120</v>
      </c>
      <c r="P2844" s="12">
        <f t="shared" si="787"/>
        <v>0</v>
      </c>
      <c r="Q2844" s="7">
        <f t="shared" si="797"/>
        <v>4605214.6499999994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794"/>
        <v>5</v>
      </c>
      <c r="C2845" s="5">
        <f t="shared" si="79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8" t="s">
        <v>1744</v>
      </c>
      <c r="H2845" s="13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791"/>
        <v>45419</v>
      </c>
      <c r="L2845" s="5">
        <f t="shared" si="792"/>
        <v>5</v>
      </c>
      <c r="M2845" s="5">
        <f t="shared" si="793"/>
        <v>2024</v>
      </c>
      <c r="N2845" s="12">
        <v>55.2</v>
      </c>
      <c r="O2845" s="6">
        <f t="shared" si="798"/>
        <v>-55.2</v>
      </c>
      <c r="P2845" s="12">
        <f t="shared" si="787"/>
        <v>0</v>
      </c>
      <c r="Q2845" s="7">
        <f t="shared" si="797"/>
        <v>4605269.8499999996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794"/>
        <v>5</v>
      </c>
      <c r="C2846" s="5">
        <f t="shared" si="79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8" t="s">
        <v>2628</v>
      </c>
      <c r="H2846" s="13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791"/>
        <v>45451</v>
      </c>
      <c r="L2846" s="5">
        <f t="shared" si="792"/>
        <v>6</v>
      </c>
      <c r="M2846" s="5">
        <f t="shared" si="793"/>
        <v>2024</v>
      </c>
      <c r="N2846" s="12">
        <v>5280</v>
      </c>
      <c r="O2846" s="12"/>
      <c r="P2846" s="12">
        <f t="shared" si="787"/>
        <v>5280</v>
      </c>
      <c r="Q2846" s="7">
        <f t="shared" si="797"/>
        <v>4610549.8499999996</v>
      </c>
      <c r="R2846" s="44" t="str">
        <f>VLOOKUP(F2846,'Set up'!$A$2:$E$55,5,FALSE)</f>
        <v>Chq</v>
      </c>
    </row>
    <row r="2847" spans="1:19" ht="15" customHeight="1" x14ac:dyDescent="0.3">
      <c r="A2847" s="4">
        <v>45421</v>
      </c>
      <c r="B2847" s="5">
        <f t="shared" si="794"/>
        <v>5</v>
      </c>
      <c r="C2847" s="5">
        <f t="shared" si="79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8" t="s">
        <v>708</v>
      </c>
      <c r="H2847" s="13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791"/>
        <v>45451</v>
      </c>
      <c r="L2847" s="5">
        <f t="shared" si="792"/>
        <v>6</v>
      </c>
      <c r="M2847" s="5">
        <f t="shared" si="793"/>
        <v>2024</v>
      </c>
      <c r="N2847" s="12">
        <v>421.2</v>
      </c>
      <c r="O2847" s="12"/>
      <c r="P2847" s="12">
        <f t="shared" si="787"/>
        <v>421.2</v>
      </c>
      <c r="Q2847" s="7">
        <f t="shared" si="797"/>
        <v>4610971.05</v>
      </c>
      <c r="R2847" s="44" t="str">
        <f>VLOOKUP(F2847,'Set up'!$A$2:$E$55,5,FALSE)</f>
        <v>Chq</v>
      </c>
    </row>
    <row r="2848" spans="1:19" ht="15" customHeight="1" x14ac:dyDescent="0.3">
      <c r="A2848" s="4">
        <v>45421</v>
      </c>
      <c r="B2848" s="5">
        <f t="shared" si="794"/>
        <v>5</v>
      </c>
      <c r="C2848" s="5">
        <f t="shared" si="79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8" t="s">
        <v>2629</v>
      </c>
      <c r="H2848" s="13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791"/>
        <v>45451</v>
      </c>
      <c r="L2848" s="5">
        <f t="shared" si="792"/>
        <v>6</v>
      </c>
      <c r="M2848" s="5">
        <f t="shared" si="793"/>
        <v>2024</v>
      </c>
      <c r="N2848" s="12">
        <v>421.2</v>
      </c>
      <c r="O2848" s="12"/>
      <c r="P2848" s="12">
        <f t="shared" si="787"/>
        <v>421.2</v>
      </c>
      <c r="Q2848" s="7">
        <f t="shared" si="797"/>
        <v>4611392.25</v>
      </c>
      <c r="R2848" s="44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794"/>
        <v>5</v>
      </c>
      <c r="C2849" s="5">
        <f t="shared" si="79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8" t="s">
        <v>1406</v>
      </c>
      <c r="H2849" s="13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791"/>
        <v>45451</v>
      </c>
      <c r="L2849" s="5">
        <f t="shared" si="792"/>
        <v>6</v>
      </c>
      <c r="M2849" s="5">
        <f t="shared" si="793"/>
        <v>2024</v>
      </c>
      <c r="N2849" s="12">
        <v>240</v>
      </c>
      <c r="O2849" s="12"/>
      <c r="P2849" s="12">
        <f t="shared" si="787"/>
        <v>240</v>
      </c>
      <c r="Q2849" s="7">
        <f t="shared" si="797"/>
        <v>4611632.25</v>
      </c>
      <c r="R2849" s="44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794"/>
        <v>5</v>
      </c>
      <c r="C2850" s="5">
        <f t="shared" si="79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8" t="s">
        <v>1111</v>
      </c>
      <c r="H2850" s="13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791"/>
        <v>45451</v>
      </c>
      <c r="L2850" s="5">
        <f t="shared" si="792"/>
        <v>6</v>
      </c>
      <c r="M2850" s="5">
        <f t="shared" si="793"/>
        <v>2024</v>
      </c>
      <c r="N2850" s="12">
        <v>312.5</v>
      </c>
      <c r="O2850" s="12"/>
      <c r="P2850" s="12">
        <f t="shared" si="787"/>
        <v>312.5</v>
      </c>
      <c r="Q2850" s="7">
        <f t="shared" si="797"/>
        <v>4611944.75</v>
      </c>
      <c r="R2850" s="44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794"/>
        <v>5</v>
      </c>
      <c r="C2851" s="5">
        <f t="shared" si="79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8" t="s">
        <v>95</v>
      </c>
      <c r="H2851" s="13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791"/>
        <v>45422</v>
      </c>
      <c r="L2851" s="5">
        <f t="shared" si="792"/>
        <v>5</v>
      </c>
      <c r="M2851" s="5">
        <f t="shared" si="793"/>
        <v>2024</v>
      </c>
      <c r="N2851" s="12">
        <v>3476</v>
      </c>
      <c r="O2851" s="12"/>
      <c r="P2851" s="12">
        <f t="shared" si="787"/>
        <v>3476</v>
      </c>
      <c r="Q2851" s="7">
        <f t="shared" si="797"/>
        <v>4615420.75</v>
      </c>
      <c r="R2851" s="44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794"/>
        <v>5</v>
      </c>
      <c r="C2852" s="5">
        <f t="shared" si="79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8" t="s">
        <v>1797</v>
      </c>
      <c r="H2852" s="13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791"/>
        <v>45422</v>
      </c>
      <c r="L2852" s="5">
        <f t="shared" si="792"/>
        <v>5</v>
      </c>
      <c r="M2852" s="5">
        <f t="shared" si="793"/>
        <v>2024</v>
      </c>
      <c r="N2852" s="12">
        <v>1350</v>
      </c>
      <c r="O2852" s="12"/>
      <c r="P2852" s="12">
        <f t="shared" si="787"/>
        <v>1350</v>
      </c>
      <c r="Q2852" s="7">
        <f t="shared" si="797"/>
        <v>4616770.75</v>
      </c>
      <c r="R2852" s="44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794"/>
        <v>5</v>
      </c>
      <c r="C2853" s="5">
        <f t="shared" si="79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8" t="s">
        <v>17</v>
      </c>
      <c r="H2853" s="13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791"/>
        <v>45422</v>
      </c>
      <c r="L2853" s="5">
        <f t="shared" si="792"/>
        <v>5</v>
      </c>
      <c r="M2853" s="5">
        <f t="shared" si="793"/>
        <v>2024</v>
      </c>
      <c r="N2853" s="12">
        <v>220</v>
      </c>
      <c r="O2853" s="12"/>
      <c r="P2853" s="12">
        <f t="shared" si="787"/>
        <v>220</v>
      </c>
      <c r="Q2853" s="7">
        <f t="shared" si="797"/>
        <v>4616990.75</v>
      </c>
      <c r="R2853" s="44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794"/>
        <v>5</v>
      </c>
      <c r="C2854" s="5">
        <f t="shared" si="79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8" t="s">
        <v>294</v>
      </c>
      <c r="H2854" s="13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791"/>
        <v>45422</v>
      </c>
      <c r="L2854" s="5">
        <f t="shared" si="792"/>
        <v>5</v>
      </c>
      <c r="M2854" s="5">
        <f t="shared" si="793"/>
        <v>2024</v>
      </c>
      <c r="N2854" s="12">
        <v>96</v>
      </c>
      <c r="O2854" s="12"/>
      <c r="P2854" s="12">
        <f t="shared" si="787"/>
        <v>96</v>
      </c>
      <c r="Q2854" s="7">
        <f t="shared" si="797"/>
        <v>4617086.75</v>
      </c>
      <c r="R2854" s="44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794"/>
        <v>5</v>
      </c>
      <c r="C2855" s="5">
        <f t="shared" si="79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8" t="s">
        <v>2631</v>
      </c>
      <c r="H2855" s="13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791"/>
        <v>45422</v>
      </c>
      <c r="L2855" s="5">
        <f t="shared" si="792"/>
        <v>5</v>
      </c>
      <c r="M2855" s="5">
        <f t="shared" si="793"/>
        <v>2024</v>
      </c>
      <c r="N2855" s="12">
        <v>275</v>
      </c>
      <c r="O2855" s="12"/>
      <c r="P2855" s="12">
        <f t="shared" si="787"/>
        <v>275</v>
      </c>
      <c r="Q2855" s="7">
        <f t="shared" si="797"/>
        <v>4617361.75</v>
      </c>
      <c r="R2855" s="44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794"/>
        <v>5</v>
      </c>
      <c r="C2856" s="5">
        <f t="shared" si="79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8" t="s">
        <v>1662</v>
      </c>
      <c r="H2856" s="13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791"/>
        <v>45422</v>
      </c>
      <c r="L2856" s="5">
        <f t="shared" si="792"/>
        <v>5</v>
      </c>
      <c r="M2856" s="5">
        <f t="shared" si="793"/>
        <v>2024</v>
      </c>
      <c r="N2856" s="12">
        <v>160</v>
      </c>
      <c r="O2856" s="12"/>
      <c r="P2856" s="12">
        <f t="shared" si="787"/>
        <v>160</v>
      </c>
      <c r="Q2856" s="7">
        <f t="shared" si="797"/>
        <v>4617521.75</v>
      </c>
      <c r="R2856" s="44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794"/>
        <v>5</v>
      </c>
      <c r="C2857" s="5">
        <f t="shared" si="79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8" t="s">
        <v>1111</v>
      </c>
      <c r="H2857" s="13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791"/>
        <v>45421</v>
      </c>
      <c r="L2857" s="5">
        <f t="shared" si="792"/>
        <v>5</v>
      </c>
      <c r="M2857" s="5">
        <f t="shared" si="793"/>
        <v>2024</v>
      </c>
      <c r="N2857" s="12">
        <v>437.5</v>
      </c>
      <c r="O2857" s="12"/>
      <c r="P2857" s="12">
        <f t="shared" si="787"/>
        <v>437.5</v>
      </c>
      <c r="Q2857" s="7">
        <f t="shared" si="797"/>
        <v>4617959.25</v>
      </c>
      <c r="R2857" s="44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794"/>
        <v>5</v>
      </c>
      <c r="C2858" s="5">
        <f t="shared" si="79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8" t="s">
        <v>2625</v>
      </c>
      <c r="H2858" s="13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791"/>
        <v>45421</v>
      </c>
      <c r="L2858" s="5">
        <f t="shared" si="792"/>
        <v>5</v>
      </c>
      <c r="M2858" s="5">
        <f t="shared" si="793"/>
        <v>2024</v>
      </c>
      <c r="N2858" s="12">
        <v>11396</v>
      </c>
      <c r="O2858" s="12"/>
      <c r="P2858" s="12">
        <f t="shared" si="787"/>
        <v>11396</v>
      </c>
      <c r="Q2858" s="7">
        <f t="shared" si="797"/>
        <v>4629355.25</v>
      </c>
      <c r="R2858" s="44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794"/>
        <v>5</v>
      </c>
      <c r="C2859" s="5">
        <f t="shared" si="79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8" t="s">
        <v>914</v>
      </c>
      <c r="H2859" s="13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791"/>
        <v>45421</v>
      </c>
      <c r="L2859" s="5">
        <f t="shared" si="792"/>
        <v>5</v>
      </c>
      <c r="M2859" s="5">
        <f t="shared" si="793"/>
        <v>2024</v>
      </c>
      <c r="N2859" s="12">
        <v>3654</v>
      </c>
      <c r="O2859" s="12"/>
      <c r="P2859" s="12">
        <f t="shared" si="787"/>
        <v>3654</v>
      </c>
      <c r="Q2859" s="7">
        <f t="shared" si="797"/>
        <v>4633009.25</v>
      </c>
      <c r="R2859" s="44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794"/>
        <v>5</v>
      </c>
      <c r="C2860" s="5">
        <f t="shared" si="79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8" t="s">
        <v>1923</v>
      </c>
      <c r="H2860" s="13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791"/>
        <v>45421</v>
      </c>
      <c r="L2860" s="5">
        <f t="shared" si="792"/>
        <v>5</v>
      </c>
      <c r="M2860" s="5">
        <f t="shared" si="793"/>
        <v>2024</v>
      </c>
      <c r="N2860" s="12">
        <v>1638</v>
      </c>
      <c r="O2860" s="12"/>
      <c r="P2860" s="12">
        <f t="shared" si="787"/>
        <v>1638</v>
      </c>
      <c r="Q2860" s="7">
        <f t="shared" si="797"/>
        <v>4634647.25</v>
      </c>
      <c r="R2860" s="44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794"/>
        <v>5</v>
      </c>
      <c r="C2861" s="5">
        <f t="shared" si="79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8" t="s">
        <v>1074</v>
      </c>
      <c r="H2861" s="13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791"/>
        <v>45421</v>
      </c>
      <c r="L2861" s="5">
        <f t="shared" si="792"/>
        <v>5</v>
      </c>
      <c r="M2861" s="5">
        <f t="shared" si="793"/>
        <v>2024</v>
      </c>
      <c r="N2861" s="12">
        <v>1000</v>
      </c>
      <c r="O2861" s="12"/>
      <c r="P2861" s="12">
        <f t="shared" si="787"/>
        <v>1000</v>
      </c>
      <c r="Q2861" s="7">
        <f t="shared" si="797"/>
        <v>4635647.25</v>
      </c>
      <c r="R2861" s="44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794"/>
        <v>5</v>
      </c>
      <c r="C2862" s="5">
        <f t="shared" si="79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8" t="s">
        <v>1062</v>
      </c>
      <c r="H2862" s="13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791"/>
        <v>45421</v>
      </c>
      <c r="L2862" s="5">
        <f t="shared" si="792"/>
        <v>5</v>
      </c>
      <c r="M2862" s="5">
        <f t="shared" si="793"/>
        <v>2024</v>
      </c>
      <c r="N2862" s="12">
        <v>380</v>
      </c>
      <c r="O2862" s="12"/>
      <c r="P2862" s="12">
        <f t="shared" si="787"/>
        <v>380</v>
      </c>
      <c r="Q2862" s="7">
        <f t="shared" si="797"/>
        <v>4636027.25</v>
      </c>
      <c r="R2862" s="44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794"/>
        <v>5</v>
      </c>
      <c r="C2863" s="5">
        <f t="shared" si="79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8" t="s">
        <v>95</v>
      </c>
      <c r="H2863" s="13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791"/>
        <v>45422</v>
      </c>
      <c r="L2863" s="5">
        <f t="shared" si="792"/>
        <v>5</v>
      </c>
      <c r="M2863" s="5">
        <f t="shared" si="793"/>
        <v>2024</v>
      </c>
      <c r="N2863" s="12">
        <v>1760</v>
      </c>
      <c r="O2863" s="12"/>
      <c r="P2863" s="12">
        <f t="shared" si="787"/>
        <v>1760</v>
      </c>
      <c r="Q2863" s="7">
        <f t="shared" si="797"/>
        <v>4637787.25</v>
      </c>
      <c r="R2863" s="44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794"/>
        <v>5</v>
      </c>
      <c r="C2864" s="5">
        <f t="shared" si="79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8" t="s">
        <v>2212</v>
      </c>
      <c r="H2864" s="13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791"/>
        <v>45422</v>
      </c>
      <c r="L2864" s="5">
        <f t="shared" si="792"/>
        <v>5</v>
      </c>
      <c r="M2864" s="5">
        <f t="shared" si="793"/>
        <v>2024</v>
      </c>
      <c r="N2864" s="12">
        <v>405</v>
      </c>
      <c r="O2864" s="12"/>
      <c r="P2864" s="12">
        <f t="shared" ref="P2864:P2927" si="799">SUM(N2864+O2864)</f>
        <v>405</v>
      </c>
      <c r="Q2864" s="7">
        <f t="shared" si="797"/>
        <v>4638192.25</v>
      </c>
      <c r="R2864" s="44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794"/>
        <v>5</v>
      </c>
      <c r="C2865" s="5">
        <f t="shared" si="79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8" t="s">
        <v>792</v>
      </c>
      <c r="H2865" s="13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791"/>
        <v>45422</v>
      </c>
      <c r="L2865" s="5">
        <f t="shared" si="792"/>
        <v>5</v>
      </c>
      <c r="M2865" s="5">
        <f t="shared" si="793"/>
        <v>2024</v>
      </c>
      <c r="N2865" s="12">
        <v>187.5</v>
      </c>
      <c r="O2865" s="12"/>
      <c r="P2865" s="12">
        <f t="shared" si="799"/>
        <v>187.5</v>
      </c>
      <c r="Q2865" s="7">
        <f t="shared" si="797"/>
        <v>4638379.75</v>
      </c>
      <c r="R2865" s="44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si="794"/>
        <v>5</v>
      </c>
      <c r="C2866" s="5">
        <f t="shared" si="79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8" t="s">
        <v>1661</v>
      </c>
      <c r="H2866" s="13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791"/>
        <v>45422</v>
      </c>
      <c r="L2866" s="5">
        <f t="shared" si="792"/>
        <v>5</v>
      </c>
      <c r="M2866" s="5">
        <f t="shared" si="793"/>
        <v>2024</v>
      </c>
      <c r="N2866" s="12">
        <v>160</v>
      </c>
      <c r="O2866" s="12"/>
      <c r="P2866" s="12">
        <f t="shared" si="799"/>
        <v>160</v>
      </c>
      <c r="Q2866" s="7">
        <f t="shared" si="797"/>
        <v>4638539.75</v>
      </c>
      <c r="R2866" s="44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794"/>
        <v>5</v>
      </c>
      <c r="C2867" s="5">
        <f t="shared" si="79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8" t="s">
        <v>1179</v>
      </c>
      <c r="H2867" s="13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791"/>
        <v>45542</v>
      </c>
      <c r="L2867" s="5">
        <f t="shared" si="792"/>
        <v>9</v>
      </c>
      <c r="M2867" s="5">
        <f t="shared" si="793"/>
        <v>2024</v>
      </c>
      <c r="N2867" s="12">
        <v>9768</v>
      </c>
      <c r="O2867" s="12"/>
      <c r="P2867" s="12">
        <f t="shared" si="799"/>
        <v>9768</v>
      </c>
      <c r="Q2867" s="7">
        <f t="shared" si="797"/>
        <v>4648307.75</v>
      </c>
      <c r="R2867" s="44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794"/>
        <v>5</v>
      </c>
      <c r="C2868" s="5">
        <f t="shared" si="79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8" t="s">
        <v>1393</v>
      </c>
      <c r="H2868" s="13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791"/>
        <v>45542</v>
      </c>
      <c r="L2868" s="5">
        <f t="shared" si="792"/>
        <v>9</v>
      </c>
      <c r="M2868" s="5">
        <f t="shared" si="793"/>
        <v>2024</v>
      </c>
      <c r="N2868" s="12">
        <v>1740</v>
      </c>
      <c r="O2868" s="12"/>
      <c r="P2868" s="12">
        <f t="shared" si="799"/>
        <v>1740</v>
      </c>
      <c r="Q2868" s="7">
        <f t="shared" si="797"/>
        <v>4650047.75</v>
      </c>
      <c r="R2868" s="44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794"/>
        <v>5</v>
      </c>
      <c r="C2869" s="5">
        <f t="shared" si="79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8" t="s">
        <v>792</v>
      </c>
      <c r="H2869" s="13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791"/>
        <v>45542</v>
      </c>
      <c r="L2869" s="5">
        <f t="shared" si="792"/>
        <v>9</v>
      </c>
      <c r="M2869" s="5">
        <f t="shared" si="793"/>
        <v>2024</v>
      </c>
      <c r="N2869" s="12">
        <v>575</v>
      </c>
      <c r="O2869" s="12"/>
      <c r="P2869" s="12">
        <f t="shared" si="799"/>
        <v>575</v>
      </c>
      <c r="Q2869" s="7">
        <f t="shared" si="797"/>
        <v>4650622.75</v>
      </c>
      <c r="R2869" s="44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794"/>
        <v>5</v>
      </c>
      <c r="C2870" s="5">
        <f t="shared" si="79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8" t="s">
        <v>46</v>
      </c>
      <c r="H2870" s="13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791"/>
        <v>45542</v>
      </c>
      <c r="L2870" s="5">
        <f t="shared" si="792"/>
        <v>9</v>
      </c>
      <c r="M2870" s="5">
        <f t="shared" si="793"/>
        <v>2024</v>
      </c>
      <c r="N2870" s="12">
        <v>440</v>
      </c>
      <c r="O2870" s="12"/>
      <c r="P2870" s="12">
        <f t="shared" si="799"/>
        <v>440</v>
      </c>
      <c r="Q2870" s="7">
        <f t="shared" si="797"/>
        <v>4651062.75</v>
      </c>
      <c r="R2870" s="44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794"/>
        <v>5</v>
      </c>
      <c r="C2871" s="5">
        <f t="shared" si="79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8" t="s">
        <v>2522</v>
      </c>
      <c r="H2871" s="13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791"/>
        <v>45542</v>
      </c>
      <c r="L2871" s="5">
        <f t="shared" si="792"/>
        <v>9</v>
      </c>
      <c r="M2871" s="5">
        <f t="shared" si="793"/>
        <v>2024</v>
      </c>
      <c r="N2871" s="12">
        <v>420</v>
      </c>
      <c r="O2871" s="12"/>
      <c r="P2871" s="12">
        <f t="shared" si="799"/>
        <v>420</v>
      </c>
      <c r="Q2871" s="7">
        <f t="shared" si="797"/>
        <v>4651482.75</v>
      </c>
      <c r="R2871" s="44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794"/>
        <v>5</v>
      </c>
      <c r="C2872" s="5">
        <f t="shared" si="79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8" t="s">
        <v>615</v>
      </c>
      <c r="H2872" s="13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791"/>
        <v>45542</v>
      </c>
      <c r="L2872" s="5">
        <f t="shared" si="792"/>
        <v>9</v>
      </c>
      <c r="M2872" s="5">
        <f t="shared" si="793"/>
        <v>2024</v>
      </c>
      <c r="N2872" s="12">
        <v>395</v>
      </c>
      <c r="O2872" s="12"/>
      <c r="P2872" s="12">
        <f t="shared" si="799"/>
        <v>395</v>
      </c>
      <c r="Q2872" s="7">
        <f t="shared" si="797"/>
        <v>4651877.75</v>
      </c>
      <c r="R2872" s="44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794"/>
        <v>5</v>
      </c>
      <c r="C2873" s="5">
        <f t="shared" si="79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8" t="s">
        <v>914</v>
      </c>
      <c r="H2873" s="13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791"/>
        <v>45426</v>
      </c>
      <c r="L2873" s="5">
        <f t="shared" si="792"/>
        <v>5</v>
      </c>
      <c r="M2873" s="5">
        <f t="shared" si="793"/>
        <v>2024</v>
      </c>
      <c r="N2873" s="12">
        <v>696</v>
      </c>
      <c r="O2873" s="12"/>
      <c r="P2873" s="12">
        <f t="shared" si="799"/>
        <v>696</v>
      </c>
      <c r="Q2873" s="7">
        <f t="shared" si="797"/>
        <v>4652573.75</v>
      </c>
      <c r="R2873" s="44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794"/>
        <v>5</v>
      </c>
      <c r="C2874" s="5">
        <f t="shared" si="79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8" t="s">
        <v>1923</v>
      </c>
      <c r="H2874" s="13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791"/>
        <v>45426</v>
      </c>
      <c r="L2874" s="5">
        <f t="shared" si="792"/>
        <v>5</v>
      </c>
      <c r="M2874" s="5">
        <f t="shared" si="793"/>
        <v>2024</v>
      </c>
      <c r="N2874" s="12">
        <v>468</v>
      </c>
      <c r="O2874" s="12"/>
      <c r="P2874" s="12">
        <f t="shared" si="799"/>
        <v>468</v>
      </c>
      <c r="Q2874" s="7">
        <f t="shared" si="797"/>
        <v>4653041.75</v>
      </c>
      <c r="R2874" s="44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794"/>
        <v>5</v>
      </c>
      <c r="C2875" s="5">
        <f t="shared" si="79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8" t="s">
        <v>1074</v>
      </c>
      <c r="H2875" s="13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791"/>
        <v>45426</v>
      </c>
      <c r="L2875" s="5">
        <f t="shared" si="792"/>
        <v>5</v>
      </c>
      <c r="M2875" s="5">
        <f t="shared" si="793"/>
        <v>2024</v>
      </c>
      <c r="N2875" s="12">
        <v>1000</v>
      </c>
      <c r="O2875" s="12"/>
      <c r="P2875" s="12">
        <f t="shared" si="799"/>
        <v>1000</v>
      </c>
      <c r="Q2875" s="7">
        <f t="shared" si="797"/>
        <v>4654041.75</v>
      </c>
      <c r="R2875" s="44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794"/>
        <v>5</v>
      </c>
      <c r="C2876" s="5">
        <f t="shared" si="79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8" t="s">
        <v>1062</v>
      </c>
      <c r="H2876" s="13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791"/>
        <v>45426</v>
      </c>
      <c r="L2876" s="5">
        <f t="shared" si="792"/>
        <v>5</v>
      </c>
      <c r="M2876" s="5">
        <f t="shared" si="793"/>
        <v>2024</v>
      </c>
      <c r="N2876" s="12">
        <v>380</v>
      </c>
      <c r="O2876" s="12"/>
      <c r="P2876" s="12">
        <f t="shared" si="799"/>
        <v>380</v>
      </c>
      <c r="Q2876" s="7">
        <f t="shared" si="797"/>
        <v>4654421.75</v>
      </c>
      <c r="R2876" s="44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794"/>
        <v>5</v>
      </c>
      <c r="C2877" s="5">
        <f t="shared" si="79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8" t="s">
        <v>1111</v>
      </c>
      <c r="H2877" s="13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791"/>
        <v>45429</v>
      </c>
      <c r="L2877" s="5">
        <f t="shared" si="792"/>
        <v>5</v>
      </c>
      <c r="M2877" s="5">
        <f t="shared" si="793"/>
        <v>2024</v>
      </c>
      <c r="N2877" s="12">
        <v>312.5</v>
      </c>
      <c r="O2877" s="12"/>
      <c r="P2877" s="12">
        <f t="shared" si="799"/>
        <v>312.5</v>
      </c>
      <c r="Q2877" s="7">
        <f t="shared" si="797"/>
        <v>4654734.25</v>
      </c>
      <c r="R2877" s="44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794"/>
        <v>5</v>
      </c>
      <c r="C2878" s="5">
        <f t="shared" si="79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8" t="s">
        <v>2625</v>
      </c>
      <c r="H2878" s="13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791"/>
        <v>45429</v>
      </c>
      <c r="L2878" s="5">
        <f t="shared" si="792"/>
        <v>5</v>
      </c>
      <c r="M2878" s="5">
        <f t="shared" si="793"/>
        <v>2024</v>
      </c>
      <c r="N2878" s="12">
        <v>8140</v>
      </c>
      <c r="O2878" s="12"/>
      <c r="P2878" s="12">
        <f t="shared" si="799"/>
        <v>8140</v>
      </c>
      <c r="Q2878" s="7">
        <f t="shared" si="797"/>
        <v>4662874.25</v>
      </c>
      <c r="R2878" s="44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794"/>
        <v>5</v>
      </c>
      <c r="C2879" s="5">
        <f t="shared" si="79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8" t="s">
        <v>914</v>
      </c>
      <c r="H2879" s="13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791"/>
        <v>45429</v>
      </c>
      <c r="L2879" s="5">
        <f t="shared" si="792"/>
        <v>5</v>
      </c>
      <c r="M2879" s="5">
        <f t="shared" si="793"/>
        <v>2024</v>
      </c>
      <c r="N2879" s="12">
        <v>2610</v>
      </c>
      <c r="O2879" s="12"/>
      <c r="P2879" s="12">
        <f t="shared" si="799"/>
        <v>2610</v>
      </c>
      <c r="Q2879" s="7">
        <f t="shared" si="797"/>
        <v>4665484.25</v>
      </c>
      <c r="R2879" s="44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794"/>
        <v>5</v>
      </c>
      <c r="C2880" s="5">
        <f t="shared" si="79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8" t="s">
        <v>1923</v>
      </c>
      <c r="H2880" s="13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791"/>
        <v>45429</v>
      </c>
      <c r="L2880" s="5">
        <f t="shared" si="792"/>
        <v>5</v>
      </c>
      <c r="M2880" s="5">
        <f t="shared" si="793"/>
        <v>2024</v>
      </c>
      <c r="N2880" s="12">
        <v>1872</v>
      </c>
      <c r="O2880" s="12"/>
      <c r="P2880" s="12">
        <f t="shared" si="799"/>
        <v>1872</v>
      </c>
      <c r="Q2880" s="7">
        <f t="shared" si="797"/>
        <v>4667356.25</v>
      </c>
      <c r="R2880" s="44" t="str">
        <f>VLOOKUP(F2880,'Set up'!$A$2:$E$55,5,FALSE)</f>
        <v>Trsf</v>
      </c>
    </row>
    <row r="2881" spans="1:19" ht="15" customHeight="1" x14ac:dyDescent="0.3">
      <c r="A2881" s="4">
        <v>45429</v>
      </c>
      <c r="B2881" s="5">
        <f t="shared" si="794"/>
        <v>5</v>
      </c>
      <c r="C2881" s="5">
        <f t="shared" si="79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8" t="s">
        <v>1074</v>
      </c>
      <c r="H2881" s="13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791"/>
        <v>45429</v>
      </c>
      <c r="L2881" s="5">
        <f t="shared" si="792"/>
        <v>5</v>
      </c>
      <c r="M2881" s="5">
        <f t="shared" si="793"/>
        <v>2024</v>
      </c>
      <c r="N2881" s="12">
        <v>1000</v>
      </c>
      <c r="O2881" s="12"/>
      <c r="P2881" s="12">
        <f t="shared" si="799"/>
        <v>1000</v>
      </c>
      <c r="Q2881" s="7">
        <f t="shared" si="797"/>
        <v>4668356.25</v>
      </c>
      <c r="R2881" s="44" t="str">
        <f>VLOOKUP(F2881,'Set up'!$A$2:$E$55,5,FALSE)</f>
        <v>Trsf</v>
      </c>
    </row>
    <row r="2882" spans="1:19" ht="15" customHeight="1" x14ac:dyDescent="0.3">
      <c r="A2882" s="4">
        <v>45432</v>
      </c>
      <c r="B2882" s="5">
        <f t="shared" si="794"/>
        <v>5</v>
      </c>
      <c r="C2882" s="5">
        <f t="shared" si="79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8" t="s">
        <v>67</v>
      </c>
      <c r="H2882" s="13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791"/>
        <v>45432</v>
      </c>
      <c r="L2882" s="5">
        <f t="shared" si="792"/>
        <v>5</v>
      </c>
      <c r="M2882" s="5">
        <f t="shared" si="793"/>
        <v>2024</v>
      </c>
      <c r="N2882" s="12">
        <v>1760</v>
      </c>
      <c r="O2882" s="12"/>
      <c r="P2882" s="12">
        <f t="shared" si="799"/>
        <v>1760</v>
      </c>
      <c r="Q2882" s="7">
        <f t="shared" si="797"/>
        <v>4670116.25</v>
      </c>
      <c r="R2882" s="44" t="str">
        <f>VLOOKUP(F2882,'Set up'!$A$2:$E$55,5,FALSE)</f>
        <v>PD Chq</v>
      </c>
    </row>
    <row r="2883" spans="1:19" ht="15" customHeight="1" x14ac:dyDescent="0.3">
      <c r="A2883" s="4">
        <v>45432</v>
      </c>
      <c r="B2883" s="5">
        <f t="shared" si="794"/>
        <v>5</v>
      </c>
      <c r="C2883" s="5">
        <f t="shared" si="79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8" t="s">
        <v>2199</v>
      </c>
      <c r="H2883" s="13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00">A2883+J2883</f>
        <v>45432</v>
      </c>
      <c r="L2883" s="5">
        <f t="shared" ref="L2883:L2946" si="801">MONTH(K2883)</f>
        <v>5</v>
      </c>
      <c r="M2883" s="5">
        <f t="shared" ref="M2883:M2946" si="802">YEAR(K2883)</f>
        <v>2024</v>
      </c>
      <c r="N2883" s="12">
        <v>555</v>
      </c>
      <c r="O2883" s="12"/>
      <c r="P2883" s="12">
        <f t="shared" si="799"/>
        <v>555</v>
      </c>
      <c r="Q2883" s="7">
        <f t="shared" si="797"/>
        <v>4670671.25</v>
      </c>
      <c r="R2883" s="44" t="str">
        <f>VLOOKUP(F2883,'Set up'!$A$2:$E$55,5,FALSE)</f>
        <v>PD Chq</v>
      </c>
    </row>
    <row r="2884" spans="1:19" ht="15" customHeight="1" x14ac:dyDescent="0.3">
      <c r="A2884" s="4">
        <v>45432</v>
      </c>
      <c r="B2884" s="5">
        <f t="shared" si="794"/>
        <v>5</v>
      </c>
      <c r="C2884" s="5">
        <f t="shared" si="79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8" t="s">
        <v>1062</v>
      </c>
      <c r="H2884" s="13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00"/>
        <v>45432</v>
      </c>
      <c r="L2884" s="5">
        <f t="shared" si="801"/>
        <v>5</v>
      </c>
      <c r="M2884" s="5">
        <f t="shared" si="802"/>
        <v>2024</v>
      </c>
      <c r="N2884" s="12">
        <v>95</v>
      </c>
      <c r="O2884" s="12"/>
      <c r="P2884" s="12">
        <f t="shared" si="799"/>
        <v>95</v>
      </c>
      <c r="Q2884" s="7">
        <f t="shared" si="797"/>
        <v>4670766.25</v>
      </c>
      <c r="R2884" s="44" t="str">
        <f>VLOOKUP(F2884,'Set up'!$A$2:$E$55,5,FALSE)</f>
        <v>PD Chq</v>
      </c>
    </row>
    <row r="2885" spans="1:19" ht="15" customHeight="1" x14ac:dyDescent="0.3">
      <c r="A2885" s="4">
        <v>45432</v>
      </c>
      <c r="B2885" s="5">
        <f t="shared" si="794"/>
        <v>5</v>
      </c>
      <c r="C2885" s="5">
        <f t="shared" si="79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8" t="s">
        <v>54</v>
      </c>
      <c r="H2885" s="13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00"/>
        <v>45432</v>
      </c>
      <c r="L2885" s="5">
        <f t="shared" si="801"/>
        <v>5</v>
      </c>
      <c r="M2885" s="5">
        <f t="shared" si="802"/>
        <v>2024</v>
      </c>
      <c r="N2885" s="12">
        <v>312.5</v>
      </c>
      <c r="O2885" s="12"/>
      <c r="P2885" s="12">
        <f t="shared" si="799"/>
        <v>312.5</v>
      </c>
      <c r="Q2885" s="7">
        <f t="shared" si="797"/>
        <v>4671078.75</v>
      </c>
      <c r="R2885" s="44" t="str">
        <f>VLOOKUP(F2885,'Set up'!$A$2:$E$55,5,FALSE)</f>
        <v>PD Chq</v>
      </c>
    </row>
    <row r="2886" spans="1:19" ht="15" customHeight="1" x14ac:dyDescent="0.3">
      <c r="A2886" s="4">
        <v>45437</v>
      </c>
      <c r="B2886" s="5">
        <f t="shared" si="794"/>
        <v>5</v>
      </c>
      <c r="C2886" s="5">
        <f t="shared" si="79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8" t="s">
        <v>67</v>
      </c>
      <c r="H2886" s="13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00"/>
        <v>45437</v>
      </c>
      <c r="L2886" s="5">
        <f t="shared" si="801"/>
        <v>5</v>
      </c>
      <c r="M2886" s="5">
        <f t="shared" si="802"/>
        <v>2024</v>
      </c>
      <c r="N2886" s="12">
        <v>1760</v>
      </c>
      <c r="O2886" s="12"/>
      <c r="P2886" s="12">
        <f t="shared" si="799"/>
        <v>1760</v>
      </c>
      <c r="Q2886" s="7">
        <f t="shared" si="797"/>
        <v>4672838.75</v>
      </c>
      <c r="R2886" s="44" t="str">
        <f>VLOOKUP(F2886,'Set up'!$A$2:$E$55,5,FALSE)</f>
        <v>PD Chq</v>
      </c>
    </row>
    <row r="2887" spans="1:19" ht="15" customHeight="1" x14ac:dyDescent="0.3">
      <c r="A2887" s="4">
        <v>45437</v>
      </c>
      <c r="B2887" s="5">
        <f t="shared" si="794"/>
        <v>5</v>
      </c>
      <c r="C2887" s="5">
        <f t="shared" si="79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8" t="s">
        <v>2199</v>
      </c>
      <c r="H2887" s="13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00"/>
        <v>45437</v>
      </c>
      <c r="L2887" s="5">
        <f t="shared" si="801"/>
        <v>5</v>
      </c>
      <c r="M2887" s="5">
        <f t="shared" si="802"/>
        <v>2024</v>
      </c>
      <c r="N2887" s="12">
        <v>555</v>
      </c>
      <c r="O2887" s="12"/>
      <c r="P2887" s="12">
        <f t="shared" si="799"/>
        <v>555</v>
      </c>
      <c r="Q2887" s="7">
        <f t="shared" si="797"/>
        <v>4673393.75</v>
      </c>
      <c r="R2887" s="44" t="str">
        <f>VLOOKUP(F2887,'Set up'!$A$2:$E$55,5,FALSE)</f>
        <v>PD Chq</v>
      </c>
    </row>
    <row r="2888" spans="1:19" ht="15" customHeight="1" x14ac:dyDescent="0.3">
      <c r="A2888" s="4">
        <v>45437</v>
      </c>
      <c r="B2888" s="5">
        <f t="shared" si="794"/>
        <v>5</v>
      </c>
      <c r="C2888" s="5">
        <f t="shared" si="79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8" t="s">
        <v>1062</v>
      </c>
      <c r="H2888" s="13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00"/>
        <v>45437</v>
      </c>
      <c r="L2888" s="5">
        <f t="shared" si="801"/>
        <v>5</v>
      </c>
      <c r="M2888" s="5">
        <f t="shared" si="802"/>
        <v>2024</v>
      </c>
      <c r="N2888" s="12">
        <v>95</v>
      </c>
      <c r="O2888" s="12"/>
      <c r="P2888" s="12">
        <f t="shared" si="799"/>
        <v>95</v>
      </c>
      <c r="Q2888" s="7">
        <f t="shared" si="797"/>
        <v>4673488.75</v>
      </c>
      <c r="R2888" s="44" t="str">
        <f>VLOOKUP(F2888,'Set up'!$A$2:$E$55,5,FALSE)</f>
        <v>PD Chq</v>
      </c>
    </row>
    <row r="2889" spans="1:19" ht="15" customHeight="1" x14ac:dyDescent="0.3">
      <c r="A2889" s="4">
        <v>45440</v>
      </c>
      <c r="B2889" s="5">
        <f t="shared" si="794"/>
        <v>5</v>
      </c>
      <c r="C2889" s="5">
        <f t="shared" si="79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8" t="s">
        <v>720</v>
      </c>
      <c r="H2889" s="13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00"/>
        <v>45440</v>
      </c>
      <c r="L2889" s="5">
        <f t="shared" si="801"/>
        <v>5</v>
      </c>
      <c r="M2889" s="5">
        <f t="shared" si="802"/>
        <v>2024</v>
      </c>
      <c r="N2889" s="12">
        <v>1760</v>
      </c>
      <c r="O2889" s="12"/>
      <c r="P2889" s="12">
        <f t="shared" si="799"/>
        <v>1760</v>
      </c>
      <c r="Q2889" s="7">
        <f t="shared" si="797"/>
        <v>4675248.75</v>
      </c>
      <c r="R2889" s="44" t="str">
        <f>VLOOKUP(F2889,'Set up'!$A$2:$E$55,5,FALSE)</f>
        <v>Trsf</v>
      </c>
    </row>
    <row r="2890" spans="1:19" ht="15" customHeight="1" x14ac:dyDescent="0.3">
      <c r="A2890" s="4">
        <v>45440</v>
      </c>
      <c r="B2890" s="5">
        <f t="shared" si="794"/>
        <v>5</v>
      </c>
      <c r="C2890" s="5">
        <f t="shared" si="79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8" t="s">
        <v>1412</v>
      </c>
      <c r="H2890" s="13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00"/>
        <v>45440</v>
      </c>
      <c r="L2890" s="5">
        <f t="shared" si="801"/>
        <v>5</v>
      </c>
      <c r="M2890" s="5">
        <f t="shared" si="802"/>
        <v>2024</v>
      </c>
      <c r="N2890" s="12">
        <v>405</v>
      </c>
      <c r="O2890" s="12"/>
      <c r="P2890" s="12">
        <f t="shared" si="799"/>
        <v>405</v>
      </c>
      <c r="Q2890" s="7">
        <f t="shared" si="797"/>
        <v>4675653.75</v>
      </c>
      <c r="R2890" s="44" t="str">
        <f>VLOOKUP(F2890,'Set up'!$A$2:$E$55,5,FALSE)</f>
        <v>Trsf</v>
      </c>
    </row>
    <row r="2891" spans="1:19" ht="15" customHeight="1" x14ac:dyDescent="0.3">
      <c r="A2891" s="4">
        <v>45440</v>
      </c>
      <c r="B2891" s="5">
        <f t="shared" si="794"/>
        <v>5</v>
      </c>
      <c r="C2891" s="5">
        <f t="shared" si="79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8" t="s">
        <v>46</v>
      </c>
      <c r="H2891" s="13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00"/>
        <v>45440</v>
      </c>
      <c r="L2891" s="5">
        <f t="shared" si="801"/>
        <v>5</v>
      </c>
      <c r="M2891" s="5">
        <f t="shared" si="802"/>
        <v>2024</v>
      </c>
      <c r="N2891" s="12">
        <v>110</v>
      </c>
      <c r="O2891" s="12"/>
      <c r="P2891" s="12">
        <f t="shared" si="799"/>
        <v>110</v>
      </c>
      <c r="Q2891" s="7">
        <f t="shared" si="797"/>
        <v>4675763.75</v>
      </c>
      <c r="R2891" s="44" t="str">
        <f>VLOOKUP(F2891,'Set up'!$A$2:$E$55,5,FALSE)</f>
        <v>Trsf</v>
      </c>
    </row>
    <row r="2892" spans="1:19" ht="15" customHeight="1" x14ac:dyDescent="0.3">
      <c r="A2892" s="4">
        <v>45440</v>
      </c>
      <c r="B2892" s="5">
        <f t="shared" ref="B2892:B2909" si="803">MONTH(A2892)</f>
        <v>5</v>
      </c>
      <c r="C2892" s="5">
        <f t="shared" ref="C2892:C2909" si="804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8" t="s">
        <v>895</v>
      </c>
      <c r="H2892" s="13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00"/>
        <v>45440</v>
      </c>
      <c r="L2892" s="5">
        <f t="shared" si="801"/>
        <v>5</v>
      </c>
      <c r="M2892" s="5">
        <f t="shared" si="802"/>
        <v>2024</v>
      </c>
      <c r="N2892" s="12">
        <v>150</v>
      </c>
      <c r="O2892" s="12"/>
      <c r="P2892" s="12">
        <f t="shared" si="799"/>
        <v>150</v>
      </c>
      <c r="Q2892" s="7">
        <f t="shared" si="797"/>
        <v>4675913.75</v>
      </c>
      <c r="R2892" s="44" t="str">
        <f>VLOOKUP(F2892,'Set up'!$A$2:$E$55,5,FALSE)</f>
        <v>Trsf</v>
      </c>
    </row>
    <row r="2893" spans="1:19" ht="15" customHeight="1" x14ac:dyDescent="0.3">
      <c r="A2893" s="4">
        <v>45440</v>
      </c>
      <c r="B2893" s="5">
        <f t="shared" si="803"/>
        <v>5</v>
      </c>
      <c r="C2893" s="5">
        <f t="shared" si="804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8" t="s">
        <v>2128</v>
      </c>
      <c r="H2893" s="13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00"/>
        <v>45440</v>
      </c>
      <c r="L2893" s="5">
        <f t="shared" si="801"/>
        <v>5</v>
      </c>
      <c r="M2893" s="5">
        <f t="shared" si="802"/>
        <v>2024</v>
      </c>
      <c r="N2893" s="12">
        <v>283.8</v>
      </c>
      <c r="O2893" s="12"/>
      <c r="P2893" s="12">
        <f t="shared" si="799"/>
        <v>283.8</v>
      </c>
      <c r="Q2893" s="7">
        <f t="shared" si="797"/>
        <v>4676197.55</v>
      </c>
      <c r="R2893" s="44" t="str">
        <f>VLOOKUP(F2893,'Set up'!$A$2:$E$55,5,FALSE)</f>
        <v>Trsf</v>
      </c>
    </row>
    <row r="2894" spans="1:19" ht="15" customHeight="1" x14ac:dyDescent="0.3">
      <c r="A2894" s="4">
        <v>45440</v>
      </c>
      <c r="B2894" s="5">
        <f t="shared" si="803"/>
        <v>5</v>
      </c>
      <c r="C2894" s="5">
        <f t="shared" si="804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8" t="s">
        <v>304</v>
      </c>
      <c r="H2894" s="13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00"/>
        <v>45440</v>
      </c>
      <c r="L2894" s="5">
        <f t="shared" si="801"/>
        <v>5</v>
      </c>
      <c r="M2894" s="5">
        <f t="shared" si="802"/>
        <v>2024</v>
      </c>
      <c r="N2894" s="12">
        <v>1650</v>
      </c>
      <c r="O2894" s="6">
        <f t="shared" ref="O2894:O2901" si="805">-N2894</f>
        <v>-1650</v>
      </c>
      <c r="P2894" s="12">
        <f t="shared" si="799"/>
        <v>0</v>
      </c>
      <c r="Q2894" s="7">
        <f t="shared" si="797"/>
        <v>4677847.55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03"/>
        <v>5</v>
      </c>
      <c r="C2895" s="5">
        <f t="shared" si="804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8" t="s">
        <v>2643</v>
      </c>
      <c r="H2895" s="13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00"/>
        <v>45440</v>
      </c>
      <c r="L2895" s="5">
        <f t="shared" si="801"/>
        <v>5</v>
      </c>
      <c r="M2895" s="5">
        <f t="shared" si="802"/>
        <v>2024</v>
      </c>
      <c r="N2895" s="12">
        <v>840</v>
      </c>
      <c r="O2895" s="6">
        <f t="shared" si="805"/>
        <v>-840</v>
      </c>
      <c r="P2895" s="12">
        <f t="shared" si="799"/>
        <v>0</v>
      </c>
      <c r="Q2895" s="7">
        <f t="shared" si="797"/>
        <v>4678687.55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03"/>
        <v>5</v>
      </c>
      <c r="C2896" s="5">
        <f t="shared" si="804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8" t="s">
        <v>2644</v>
      </c>
      <c r="H2896" s="13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00"/>
        <v>45440</v>
      </c>
      <c r="L2896" s="5">
        <f t="shared" si="801"/>
        <v>5</v>
      </c>
      <c r="M2896" s="5">
        <f t="shared" si="802"/>
        <v>2024</v>
      </c>
      <c r="N2896" s="12">
        <v>280</v>
      </c>
      <c r="O2896" s="6">
        <f t="shared" si="805"/>
        <v>-280</v>
      </c>
      <c r="P2896" s="12">
        <f t="shared" si="799"/>
        <v>0</v>
      </c>
      <c r="Q2896" s="7">
        <f t="shared" si="797"/>
        <v>4678967.55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03"/>
        <v>5</v>
      </c>
      <c r="C2897" s="5">
        <f t="shared" si="804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8" t="s">
        <v>1887</v>
      </c>
      <c r="H2897" s="13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00"/>
        <v>45440</v>
      </c>
      <c r="L2897" s="5">
        <f t="shared" si="801"/>
        <v>5</v>
      </c>
      <c r="M2897" s="5">
        <f t="shared" si="802"/>
        <v>2024</v>
      </c>
      <c r="N2897" s="12">
        <v>320</v>
      </c>
      <c r="O2897" s="6">
        <f t="shared" si="805"/>
        <v>-320</v>
      </c>
      <c r="P2897" s="12">
        <f t="shared" si="799"/>
        <v>0</v>
      </c>
      <c r="Q2897" s="7">
        <f t="shared" si="797"/>
        <v>4679287.55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03"/>
        <v>5</v>
      </c>
      <c r="C2898" s="5">
        <f t="shared" si="804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8" t="s">
        <v>2128</v>
      </c>
      <c r="H2898" s="13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00"/>
        <v>45440</v>
      </c>
      <c r="L2898" s="5">
        <f t="shared" si="801"/>
        <v>5</v>
      </c>
      <c r="M2898" s="5">
        <f t="shared" si="802"/>
        <v>2024</v>
      </c>
      <c r="N2898" s="12">
        <v>283.8</v>
      </c>
      <c r="O2898" s="6">
        <f t="shared" si="805"/>
        <v>-283.8</v>
      </c>
      <c r="P2898" s="12">
        <f t="shared" si="799"/>
        <v>0</v>
      </c>
      <c r="Q2898" s="7">
        <f t="shared" ref="Q2898:Q2961" si="806">SUM(Q2897+N2898)</f>
        <v>4679571.3499999996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03"/>
        <v>5</v>
      </c>
      <c r="C2899" s="5">
        <f t="shared" si="804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8" t="s">
        <v>2646</v>
      </c>
      <c r="H2899" s="13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00"/>
        <v>45441</v>
      </c>
      <c r="L2899" s="5">
        <f t="shared" si="801"/>
        <v>5</v>
      </c>
      <c r="M2899" s="5">
        <f t="shared" si="802"/>
        <v>2024</v>
      </c>
      <c r="N2899" s="12">
        <v>240</v>
      </c>
      <c r="O2899" s="6">
        <f t="shared" si="805"/>
        <v>-240</v>
      </c>
      <c r="P2899" s="12">
        <f t="shared" si="799"/>
        <v>0</v>
      </c>
      <c r="Q2899" s="7">
        <f t="shared" si="806"/>
        <v>4679811.3499999996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03"/>
        <v>5</v>
      </c>
      <c r="C2900" s="5">
        <f t="shared" si="804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8" t="s">
        <v>2647</v>
      </c>
      <c r="H2900" s="13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00"/>
        <v>45441</v>
      </c>
      <c r="L2900" s="5">
        <f t="shared" si="801"/>
        <v>5</v>
      </c>
      <c r="M2900" s="5">
        <f t="shared" si="802"/>
        <v>2024</v>
      </c>
      <c r="N2900" s="12">
        <v>225</v>
      </c>
      <c r="O2900" s="6">
        <f t="shared" si="805"/>
        <v>-225</v>
      </c>
      <c r="P2900" s="12">
        <f t="shared" si="799"/>
        <v>0</v>
      </c>
      <c r="Q2900" s="7">
        <f t="shared" si="806"/>
        <v>4680036.3499999996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03"/>
        <v>5</v>
      </c>
      <c r="C2901" s="5">
        <f t="shared" si="804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8" t="s">
        <v>1655</v>
      </c>
      <c r="H2901" s="13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00"/>
        <v>45441</v>
      </c>
      <c r="L2901" s="5">
        <f t="shared" si="801"/>
        <v>5</v>
      </c>
      <c r="M2901" s="5">
        <f t="shared" si="802"/>
        <v>2024</v>
      </c>
      <c r="N2901" s="12">
        <v>258</v>
      </c>
      <c r="O2901" s="6">
        <f t="shared" si="805"/>
        <v>-258</v>
      </c>
      <c r="P2901" s="12">
        <f t="shared" si="799"/>
        <v>0</v>
      </c>
      <c r="Q2901" s="7">
        <f t="shared" si="806"/>
        <v>4680294.3499999996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03"/>
        <v>5</v>
      </c>
      <c r="C2902" s="5">
        <f t="shared" si="804"/>
        <v>2024</v>
      </c>
      <c r="D2902" s="5" t="s">
        <v>2648</v>
      </c>
      <c r="E2902" s="5" t="str">
        <f>VLOOKUP(F2902,'Set up'!$A$2:$C$55,2,FALSE)</f>
        <v>C00000044</v>
      </c>
      <c r="F2902" s="1" t="s">
        <v>2959</v>
      </c>
      <c r="G2902" s="98" t="s">
        <v>1179</v>
      </c>
      <c r="H2902" s="13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00"/>
        <v>45441</v>
      </c>
      <c r="L2902" s="5">
        <f t="shared" si="801"/>
        <v>5</v>
      </c>
      <c r="M2902" s="5">
        <f t="shared" si="802"/>
        <v>2024</v>
      </c>
      <c r="N2902" s="12">
        <v>1672</v>
      </c>
      <c r="O2902" s="6">
        <f t="shared" ref="O2902:O2904" si="807">-N2902</f>
        <v>-1672</v>
      </c>
      <c r="P2902" s="12">
        <f t="shared" si="799"/>
        <v>0</v>
      </c>
      <c r="Q2902" s="7">
        <f t="shared" si="806"/>
        <v>4681966.3499999996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03"/>
        <v>5</v>
      </c>
      <c r="C2903" s="5">
        <f t="shared" si="804"/>
        <v>2024</v>
      </c>
      <c r="D2903" s="5" t="s">
        <v>2648</v>
      </c>
      <c r="E2903" s="5" t="str">
        <f>VLOOKUP(F2903,'Set up'!$A$2:$C$55,2,FALSE)</f>
        <v>C00000044</v>
      </c>
      <c r="F2903" s="1" t="s">
        <v>2959</v>
      </c>
      <c r="G2903" s="98" t="s">
        <v>2643</v>
      </c>
      <c r="H2903" s="13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00"/>
        <v>45441</v>
      </c>
      <c r="L2903" s="5">
        <f t="shared" si="801"/>
        <v>5</v>
      </c>
      <c r="M2903" s="5">
        <f t="shared" si="802"/>
        <v>2024</v>
      </c>
      <c r="N2903" s="12">
        <v>630</v>
      </c>
      <c r="O2903" s="6">
        <f t="shared" si="807"/>
        <v>-630</v>
      </c>
      <c r="P2903" s="12">
        <f t="shared" si="799"/>
        <v>0</v>
      </c>
      <c r="Q2903" s="7">
        <f t="shared" si="806"/>
        <v>4682596.3499999996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03"/>
        <v>5</v>
      </c>
      <c r="C2904" s="5">
        <f t="shared" si="804"/>
        <v>2024</v>
      </c>
      <c r="D2904" s="5" t="s">
        <v>2648</v>
      </c>
      <c r="E2904" s="5" t="str">
        <f>VLOOKUP(F2904,'Set up'!$A$2:$C$55,2,FALSE)</f>
        <v>C00000044</v>
      </c>
      <c r="F2904" s="1" t="s">
        <v>2959</v>
      </c>
      <c r="G2904" s="98" t="s">
        <v>46</v>
      </c>
      <c r="H2904" s="13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00"/>
        <v>45441</v>
      </c>
      <c r="L2904" s="5">
        <f t="shared" si="801"/>
        <v>5</v>
      </c>
      <c r="M2904" s="5">
        <f t="shared" si="802"/>
        <v>2024</v>
      </c>
      <c r="N2904" s="12">
        <v>110</v>
      </c>
      <c r="O2904" s="6">
        <f t="shared" si="807"/>
        <v>-110</v>
      </c>
      <c r="P2904" s="12">
        <f t="shared" si="799"/>
        <v>0</v>
      </c>
      <c r="Q2904" s="7">
        <f t="shared" si="806"/>
        <v>4682706.3499999996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03"/>
        <v>5</v>
      </c>
      <c r="C2905" s="5">
        <f t="shared" si="804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8" t="s">
        <v>1111</v>
      </c>
      <c r="H2905" s="13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00"/>
        <v>45441</v>
      </c>
      <c r="L2905" s="5">
        <f t="shared" si="801"/>
        <v>5</v>
      </c>
      <c r="M2905" s="5">
        <f t="shared" si="802"/>
        <v>2024</v>
      </c>
      <c r="N2905" s="12">
        <v>437.5</v>
      </c>
      <c r="O2905" s="12"/>
      <c r="P2905" s="12">
        <f t="shared" si="799"/>
        <v>437.5</v>
      </c>
      <c r="Q2905" s="7">
        <f t="shared" si="806"/>
        <v>4683143.8499999996</v>
      </c>
      <c r="R2905" s="44" t="str">
        <f>VLOOKUP(F2905,'Set up'!$A$2:$E$55,5,FALSE)</f>
        <v>Trsf</v>
      </c>
    </row>
    <row r="2906" spans="1:19" ht="15" customHeight="1" x14ac:dyDescent="0.3">
      <c r="A2906" s="4">
        <v>45441</v>
      </c>
      <c r="B2906" s="5">
        <f t="shared" si="803"/>
        <v>5</v>
      </c>
      <c r="C2906" s="5">
        <f t="shared" si="804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8" t="s">
        <v>2625</v>
      </c>
      <c r="H2906" s="13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00"/>
        <v>45441</v>
      </c>
      <c r="L2906" s="5">
        <f t="shared" si="801"/>
        <v>5</v>
      </c>
      <c r="M2906" s="5">
        <f t="shared" si="802"/>
        <v>2024</v>
      </c>
      <c r="N2906" s="12">
        <v>11396</v>
      </c>
      <c r="O2906" s="12"/>
      <c r="P2906" s="12">
        <f t="shared" si="799"/>
        <v>11396</v>
      </c>
      <c r="Q2906" s="7">
        <f t="shared" si="806"/>
        <v>4694539.8499999996</v>
      </c>
      <c r="R2906" s="44" t="str">
        <f>VLOOKUP(F2906,'Set up'!$A$2:$E$55,5,FALSE)</f>
        <v>Trsf</v>
      </c>
    </row>
    <row r="2907" spans="1:19" ht="15" customHeight="1" x14ac:dyDescent="0.3">
      <c r="A2907" s="4">
        <v>45441</v>
      </c>
      <c r="B2907" s="5">
        <f t="shared" si="803"/>
        <v>5</v>
      </c>
      <c r="C2907" s="5">
        <f t="shared" si="804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8" t="s">
        <v>2651</v>
      </c>
      <c r="H2907" s="13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00"/>
        <v>45441</v>
      </c>
      <c r="L2907" s="5">
        <f t="shared" si="801"/>
        <v>5</v>
      </c>
      <c r="M2907" s="5">
        <f t="shared" si="802"/>
        <v>2024</v>
      </c>
      <c r="N2907" s="12">
        <v>3480</v>
      </c>
      <c r="O2907" s="12"/>
      <c r="P2907" s="12">
        <f t="shared" si="799"/>
        <v>3480</v>
      </c>
      <c r="Q2907" s="7">
        <f t="shared" si="806"/>
        <v>4698019.8499999996</v>
      </c>
      <c r="R2907" s="44" t="str">
        <f>VLOOKUP(F2907,'Set up'!$A$2:$E$55,5,FALSE)</f>
        <v>Trsf</v>
      </c>
    </row>
    <row r="2908" spans="1:19" ht="15" customHeight="1" x14ac:dyDescent="0.3">
      <c r="A2908" s="4">
        <v>45441</v>
      </c>
      <c r="B2908" s="5">
        <f t="shared" si="803"/>
        <v>5</v>
      </c>
      <c r="C2908" s="5">
        <f t="shared" si="804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8" t="s">
        <v>1923</v>
      </c>
      <c r="H2908" s="13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00"/>
        <v>45441</v>
      </c>
      <c r="L2908" s="5">
        <f t="shared" si="801"/>
        <v>5</v>
      </c>
      <c r="M2908" s="5">
        <f t="shared" si="802"/>
        <v>2024</v>
      </c>
      <c r="N2908" s="12">
        <v>2340</v>
      </c>
      <c r="O2908" s="12"/>
      <c r="P2908" s="12">
        <f t="shared" si="799"/>
        <v>2340</v>
      </c>
      <c r="Q2908" s="7">
        <f t="shared" si="806"/>
        <v>4700359.8499999996</v>
      </c>
      <c r="R2908" s="44" t="str">
        <f>VLOOKUP(F2908,'Set up'!$A$2:$E$55,5,FALSE)</f>
        <v>Trsf</v>
      </c>
    </row>
    <row r="2909" spans="1:19" ht="15" customHeight="1" x14ac:dyDescent="0.3">
      <c r="A2909" s="4">
        <v>45441</v>
      </c>
      <c r="B2909" s="5">
        <f t="shared" si="803"/>
        <v>5</v>
      </c>
      <c r="C2909" s="5">
        <f t="shared" si="804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8" t="s">
        <v>1074</v>
      </c>
      <c r="H2909" s="13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00"/>
        <v>45441</v>
      </c>
      <c r="L2909" s="5">
        <f t="shared" si="801"/>
        <v>5</v>
      </c>
      <c r="M2909" s="5">
        <f t="shared" si="802"/>
        <v>2024</v>
      </c>
      <c r="N2909" s="12">
        <v>2000</v>
      </c>
      <c r="O2909" s="12"/>
      <c r="P2909" s="12">
        <f t="shared" si="799"/>
        <v>2000</v>
      </c>
      <c r="Q2909" s="7">
        <f t="shared" si="806"/>
        <v>4702359.8499999996</v>
      </c>
      <c r="R2909" s="44" t="str">
        <f>VLOOKUP(F2909,'Set up'!$A$2:$E$55,5,FALSE)</f>
        <v>Trsf</v>
      </c>
    </row>
    <row r="2910" spans="1:19" ht="15" customHeight="1" x14ac:dyDescent="0.3">
      <c r="A2910" s="4">
        <v>45444</v>
      </c>
      <c r="B2910" s="5">
        <f t="shared" ref="B2910:B2973" si="808">MONTH(A2910)</f>
        <v>6</v>
      </c>
      <c r="C2910" s="5">
        <f t="shared" ref="C2910:C2973" si="809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8" t="s">
        <v>1403</v>
      </c>
      <c r="H2910" s="13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00"/>
        <v>45564</v>
      </c>
      <c r="L2910" s="5">
        <f t="shared" si="801"/>
        <v>9</v>
      </c>
      <c r="M2910" s="5">
        <f t="shared" si="802"/>
        <v>2024</v>
      </c>
      <c r="N2910" s="12">
        <v>13024</v>
      </c>
      <c r="O2910" s="12"/>
      <c r="P2910" s="12">
        <f t="shared" si="799"/>
        <v>13024</v>
      </c>
      <c r="Q2910" s="7">
        <f t="shared" si="806"/>
        <v>4715383.8499999996</v>
      </c>
      <c r="R2910" s="44" t="str">
        <f>VLOOKUP(F2910,'Set up'!$A$2:$E$55,5,FALSE)</f>
        <v>Trsf</v>
      </c>
    </row>
    <row r="2911" spans="1:19" ht="15" customHeight="1" x14ac:dyDescent="0.3">
      <c r="A2911" s="4">
        <v>45444</v>
      </c>
      <c r="B2911" s="5">
        <f t="shared" si="808"/>
        <v>6</v>
      </c>
      <c r="C2911" s="5">
        <f t="shared" si="809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8" t="s">
        <v>1544</v>
      </c>
      <c r="H2911" s="13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00"/>
        <v>45564</v>
      </c>
      <c r="L2911" s="5">
        <f t="shared" si="801"/>
        <v>9</v>
      </c>
      <c r="M2911" s="5">
        <f t="shared" si="802"/>
        <v>2024</v>
      </c>
      <c r="N2911" s="12">
        <v>2610</v>
      </c>
      <c r="O2911" s="12"/>
      <c r="P2911" s="12">
        <f t="shared" si="799"/>
        <v>2610</v>
      </c>
      <c r="Q2911" s="7">
        <f t="shared" si="806"/>
        <v>4717993.8499999996</v>
      </c>
      <c r="R2911" s="44" t="str">
        <f>VLOOKUP(F2911,'Set up'!$A$2:$E$55,5,FALSE)</f>
        <v>Trsf</v>
      </c>
    </row>
    <row r="2912" spans="1:19" ht="15" customHeight="1" x14ac:dyDescent="0.3">
      <c r="A2912" s="4">
        <v>45444</v>
      </c>
      <c r="B2912" s="5">
        <f t="shared" si="808"/>
        <v>6</v>
      </c>
      <c r="C2912" s="5">
        <f t="shared" si="809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8" t="s">
        <v>2711</v>
      </c>
      <c r="H2912" s="13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00"/>
        <v>45564</v>
      </c>
      <c r="L2912" s="5">
        <f t="shared" si="801"/>
        <v>9</v>
      </c>
      <c r="M2912" s="5">
        <f t="shared" si="802"/>
        <v>2024</v>
      </c>
      <c r="N2912" s="12">
        <v>862.5</v>
      </c>
      <c r="O2912" s="12"/>
      <c r="P2912" s="12">
        <f t="shared" si="799"/>
        <v>862.5</v>
      </c>
      <c r="Q2912" s="7">
        <f t="shared" si="806"/>
        <v>4718856.3499999996</v>
      </c>
      <c r="R2912" s="44" t="str">
        <f>VLOOKUP(F2912,'Set up'!$A$2:$E$55,5,FALSE)</f>
        <v>Trsf</v>
      </c>
    </row>
    <row r="2913" spans="1:19" ht="15" customHeight="1" x14ac:dyDescent="0.3">
      <c r="A2913" s="4">
        <v>45444</v>
      </c>
      <c r="B2913" s="5">
        <f t="shared" si="808"/>
        <v>6</v>
      </c>
      <c r="C2913" s="5">
        <f t="shared" si="809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8" t="s">
        <v>46</v>
      </c>
      <c r="H2913" s="13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00"/>
        <v>45564</v>
      </c>
      <c r="L2913" s="5">
        <f t="shared" si="801"/>
        <v>9</v>
      </c>
      <c r="M2913" s="5">
        <f t="shared" si="802"/>
        <v>2024</v>
      </c>
      <c r="N2913" s="12">
        <v>440</v>
      </c>
      <c r="O2913" s="12"/>
      <c r="P2913" s="12">
        <f t="shared" si="799"/>
        <v>440</v>
      </c>
      <c r="Q2913" s="7">
        <f t="shared" si="806"/>
        <v>4719296.3499999996</v>
      </c>
      <c r="R2913" s="44" t="str">
        <f>VLOOKUP(F2913,'Set up'!$A$2:$E$55,5,FALSE)</f>
        <v>Trsf</v>
      </c>
    </row>
    <row r="2914" spans="1:19" ht="15" customHeight="1" x14ac:dyDescent="0.3">
      <c r="A2914" s="4">
        <v>45444</v>
      </c>
      <c r="B2914" s="5">
        <f t="shared" si="808"/>
        <v>6</v>
      </c>
      <c r="C2914" s="5">
        <f t="shared" si="809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8" t="s">
        <v>2522</v>
      </c>
      <c r="H2914" s="13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00"/>
        <v>45564</v>
      </c>
      <c r="L2914" s="5">
        <f t="shared" si="801"/>
        <v>9</v>
      </c>
      <c r="M2914" s="5">
        <f t="shared" si="802"/>
        <v>2024</v>
      </c>
      <c r="N2914" s="12">
        <v>420</v>
      </c>
      <c r="O2914" s="12"/>
      <c r="P2914" s="12">
        <f t="shared" si="799"/>
        <v>420</v>
      </c>
      <c r="Q2914" s="7">
        <f t="shared" si="806"/>
        <v>4719716.3499999996</v>
      </c>
      <c r="R2914" s="44" t="str">
        <f>VLOOKUP(F2914,'Set up'!$A$2:$E$55,5,FALSE)</f>
        <v>Trsf</v>
      </c>
    </row>
    <row r="2915" spans="1:19" ht="15" customHeight="1" x14ac:dyDescent="0.3">
      <c r="A2915" s="4">
        <v>45444</v>
      </c>
      <c r="B2915" s="5">
        <f t="shared" si="808"/>
        <v>6</v>
      </c>
      <c r="C2915" s="5">
        <f t="shared" si="809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8" t="s">
        <v>615</v>
      </c>
      <c r="H2915" s="13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00"/>
        <v>45564</v>
      </c>
      <c r="L2915" s="5">
        <f t="shared" si="801"/>
        <v>9</v>
      </c>
      <c r="M2915" s="5">
        <f t="shared" si="802"/>
        <v>2024</v>
      </c>
      <c r="N2915" s="12">
        <v>395</v>
      </c>
      <c r="O2915" s="12"/>
      <c r="P2915" s="12">
        <f t="shared" si="799"/>
        <v>395</v>
      </c>
      <c r="Q2915" s="7">
        <f t="shared" si="806"/>
        <v>4720111.3499999996</v>
      </c>
      <c r="R2915" s="44" t="str">
        <f>VLOOKUP(F2915,'Set up'!$A$2:$E$55,5,FALSE)</f>
        <v>Trsf</v>
      </c>
    </row>
    <row r="2916" spans="1:19" ht="15" customHeight="1" x14ac:dyDescent="0.3">
      <c r="A2916" s="4">
        <v>45444</v>
      </c>
      <c r="B2916" s="5">
        <f t="shared" si="808"/>
        <v>6</v>
      </c>
      <c r="C2916" s="5">
        <f t="shared" si="809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8" t="s">
        <v>947</v>
      </c>
      <c r="H2916" s="13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00"/>
        <v>45564</v>
      </c>
      <c r="L2916" s="5">
        <f t="shared" si="801"/>
        <v>9</v>
      </c>
      <c r="M2916" s="5">
        <f t="shared" si="802"/>
        <v>2024</v>
      </c>
      <c r="N2916" s="12">
        <v>230.4</v>
      </c>
      <c r="O2916" s="12"/>
      <c r="P2916" s="12">
        <f t="shared" si="799"/>
        <v>230.4</v>
      </c>
      <c r="Q2916" s="7">
        <f t="shared" si="806"/>
        <v>4720341.75</v>
      </c>
      <c r="R2916" s="44" t="str">
        <f>VLOOKUP(F2916,'Set up'!$A$2:$E$55,5,FALSE)</f>
        <v>Trsf</v>
      </c>
    </row>
    <row r="2917" spans="1:19" ht="15" customHeight="1" x14ac:dyDescent="0.3">
      <c r="A2917" s="4">
        <v>45444</v>
      </c>
      <c r="B2917" s="5">
        <f t="shared" si="808"/>
        <v>6</v>
      </c>
      <c r="C2917" s="5">
        <f t="shared" si="809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8" t="s">
        <v>67</v>
      </c>
      <c r="H2917" s="13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00"/>
        <v>45444</v>
      </c>
      <c r="L2917" s="5">
        <f t="shared" si="801"/>
        <v>6</v>
      </c>
      <c r="M2917" s="5">
        <f t="shared" si="802"/>
        <v>2024</v>
      </c>
      <c r="N2917" s="12">
        <v>1760</v>
      </c>
      <c r="O2917" s="12"/>
      <c r="P2917" s="12">
        <f t="shared" si="799"/>
        <v>1760</v>
      </c>
      <c r="Q2917" s="7">
        <f t="shared" si="806"/>
        <v>4722101.75</v>
      </c>
      <c r="R2917" s="44" t="str">
        <f>VLOOKUP(F2917,'Set up'!$A$2:$E$55,5,FALSE)</f>
        <v>PD Chq</v>
      </c>
    </row>
    <row r="2918" spans="1:19" ht="15" customHeight="1" x14ac:dyDescent="0.3">
      <c r="A2918" s="4">
        <v>45444</v>
      </c>
      <c r="B2918" s="5">
        <f t="shared" si="808"/>
        <v>6</v>
      </c>
      <c r="C2918" s="5">
        <f t="shared" si="809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8" t="s">
        <v>2199</v>
      </c>
      <c r="H2918" s="13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00"/>
        <v>45444</v>
      </c>
      <c r="L2918" s="5">
        <f t="shared" si="801"/>
        <v>6</v>
      </c>
      <c r="M2918" s="5">
        <f t="shared" si="802"/>
        <v>2024</v>
      </c>
      <c r="N2918" s="12">
        <v>555</v>
      </c>
      <c r="O2918" s="12"/>
      <c r="P2918" s="12">
        <f t="shared" si="799"/>
        <v>555</v>
      </c>
      <c r="Q2918" s="7">
        <f t="shared" si="806"/>
        <v>4722656.75</v>
      </c>
      <c r="R2918" s="44" t="str">
        <f>VLOOKUP(F2918,'Set up'!$A$2:$E$55,5,FALSE)</f>
        <v>PD Chq</v>
      </c>
    </row>
    <row r="2919" spans="1:19" ht="15" customHeight="1" x14ac:dyDescent="0.3">
      <c r="A2919" s="4">
        <v>45444</v>
      </c>
      <c r="B2919" s="5">
        <f t="shared" si="808"/>
        <v>6</v>
      </c>
      <c r="C2919" s="5">
        <f t="shared" si="809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8" t="s">
        <v>1062</v>
      </c>
      <c r="H2919" s="13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00"/>
        <v>45444</v>
      </c>
      <c r="L2919" s="5">
        <f t="shared" si="801"/>
        <v>6</v>
      </c>
      <c r="M2919" s="5">
        <f t="shared" si="802"/>
        <v>2024</v>
      </c>
      <c r="N2919" s="12">
        <v>95</v>
      </c>
      <c r="O2919" s="12"/>
      <c r="P2919" s="12">
        <f t="shared" si="799"/>
        <v>95</v>
      </c>
      <c r="Q2919" s="7">
        <f t="shared" si="806"/>
        <v>4722751.75</v>
      </c>
      <c r="R2919" s="44" t="str">
        <f>VLOOKUP(F2919,'Set up'!$A$2:$E$55,5,FALSE)</f>
        <v>PD Chq</v>
      </c>
    </row>
    <row r="2920" spans="1:19" ht="15" customHeight="1" x14ac:dyDescent="0.3">
      <c r="A2920" s="4">
        <v>45447</v>
      </c>
      <c r="B2920" s="5">
        <f t="shared" si="808"/>
        <v>6</v>
      </c>
      <c r="C2920" s="5">
        <f t="shared" si="809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8" t="s">
        <v>304</v>
      </c>
      <c r="H2920" s="13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00"/>
        <v>45447</v>
      </c>
      <c r="L2920" s="5">
        <f t="shared" si="801"/>
        <v>6</v>
      </c>
      <c r="M2920" s="5">
        <f t="shared" si="802"/>
        <v>2024</v>
      </c>
      <c r="N2920" s="12">
        <v>1650</v>
      </c>
      <c r="O2920" s="6">
        <f t="shared" ref="O2920:O2922" si="810">-N2920</f>
        <v>-1650</v>
      </c>
      <c r="P2920" s="12">
        <f t="shared" si="799"/>
        <v>0</v>
      </c>
      <c r="Q2920" s="7">
        <f t="shared" si="806"/>
        <v>4724401.75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08"/>
        <v>6</v>
      </c>
      <c r="C2921" s="5">
        <f t="shared" si="809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8" t="s">
        <v>2644</v>
      </c>
      <c r="H2921" s="13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00"/>
        <v>45447</v>
      </c>
      <c r="L2921" s="5">
        <f t="shared" si="801"/>
        <v>6</v>
      </c>
      <c r="M2921" s="5">
        <f t="shared" si="802"/>
        <v>2024</v>
      </c>
      <c r="N2921" s="12">
        <v>280</v>
      </c>
      <c r="O2921" s="6">
        <f t="shared" si="810"/>
        <v>-280</v>
      </c>
      <c r="P2921" s="12">
        <f t="shared" si="799"/>
        <v>0</v>
      </c>
      <c r="Q2921" s="7">
        <f t="shared" si="806"/>
        <v>4724681.75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08"/>
        <v>6</v>
      </c>
      <c r="C2922" s="5">
        <f t="shared" si="809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8" t="s">
        <v>1887</v>
      </c>
      <c r="H2922" s="13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00"/>
        <v>45447</v>
      </c>
      <c r="L2922" s="5">
        <f t="shared" si="801"/>
        <v>6</v>
      </c>
      <c r="M2922" s="5">
        <f t="shared" si="802"/>
        <v>2024</v>
      </c>
      <c r="N2922" s="12">
        <v>160</v>
      </c>
      <c r="O2922" s="6">
        <f t="shared" si="810"/>
        <v>-160</v>
      </c>
      <c r="P2922" s="12">
        <f t="shared" si="799"/>
        <v>0</v>
      </c>
      <c r="Q2922" s="7">
        <f t="shared" si="806"/>
        <v>4724841.75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08"/>
        <v>6</v>
      </c>
      <c r="C2923" s="5">
        <f t="shared" si="809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8" t="s">
        <v>67</v>
      </c>
      <c r="H2923" s="13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00"/>
        <v>45492</v>
      </c>
      <c r="L2923" s="5">
        <f t="shared" si="801"/>
        <v>7</v>
      </c>
      <c r="M2923" s="5">
        <f t="shared" si="802"/>
        <v>2024</v>
      </c>
      <c r="N2923" s="12">
        <v>1738</v>
      </c>
      <c r="O2923" s="12"/>
      <c r="P2923" s="12">
        <f t="shared" si="799"/>
        <v>1738</v>
      </c>
      <c r="Q2923" s="7">
        <f t="shared" si="806"/>
        <v>4726579.75</v>
      </c>
      <c r="R2923" s="44" t="str">
        <f>VLOOKUP(F2923,'Set up'!$A$2:$E$55,5,FALSE)</f>
        <v>PD Chq</v>
      </c>
    </row>
    <row r="2924" spans="1:19" ht="15" customHeight="1" x14ac:dyDescent="0.3">
      <c r="A2924" s="4">
        <v>45447</v>
      </c>
      <c r="B2924" s="5">
        <f t="shared" si="808"/>
        <v>6</v>
      </c>
      <c r="C2924" s="5">
        <f t="shared" si="809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8" t="s">
        <v>17</v>
      </c>
      <c r="H2924" s="13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00"/>
        <v>45492</v>
      </c>
      <c r="L2924" s="5">
        <f t="shared" si="801"/>
        <v>7</v>
      </c>
      <c r="M2924" s="5">
        <f t="shared" si="802"/>
        <v>2024</v>
      </c>
      <c r="N2924" s="12">
        <v>220</v>
      </c>
      <c r="O2924" s="12"/>
      <c r="P2924" s="12">
        <f t="shared" si="799"/>
        <v>220</v>
      </c>
      <c r="Q2924" s="7">
        <f t="shared" si="806"/>
        <v>4726799.75</v>
      </c>
      <c r="R2924" s="44" t="str">
        <f>VLOOKUP(F2924,'Set up'!$A$2:$E$55,5,FALSE)</f>
        <v>PD Chq</v>
      </c>
    </row>
    <row r="2925" spans="1:19" ht="15" customHeight="1" x14ac:dyDescent="0.3">
      <c r="A2925" s="4">
        <v>45448</v>
      </c>
      <c r="B2925" s="5">
        <f t="shared" si="808"/>
        <v>6</v>
      </c>
      <c r="C2925" s="5">
        <f t="shared" si="809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8" t="s">
        <v>2128</v>
      </c>
      <c r="H2925" s="13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00"/>
        <v>45448</v>
      </c>
      <c r="L2925" s="5">
        <f t="shared" si="801"/>
        <v>6</v>
      </c>
      <c r="M2925" s="5">
        <f t="shared" si="802"/>
        <v>2024</v>
      </c>
      <c r="N2925" s="12">
        <v>283.8</v>
      </c>
      <c r="O2925" s="6">
        <f t="shared" ref="O2925" si="811">-N2925</f>
        <v>-283.8</v>
      </c>
      <c r="P2925" s="12">
        <f t="shared" si="799"/>
        <v>0</v>
      </c>
      <c r="Q2925" s="7">
        <f t="shared" si="806"/>
        <v>4727083.55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08"/>
        <v>6</v>
      </c>
      <c r="C2926" s="5">
        <f t="shared" si="809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8" t="s">
        <v>1111</v>
      </c>
      <c r="H2926" s="13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00"/>
        <v>45449</v>
      </c>
      <c r="L2926" s="5">
        <f t="shared" si="801"/>
        <v>6</v>
      </c>
      <c r="M2926" s="5">
        <f t="shared" si="802"/>
        <v>2024</v>
      </c>
      <c r="N2926" s="12">
        <v>625</v>
      </c>
      <c r="O2926" s="12"/>
      <c r="P2926" s="12">
        <f t="shared" si="799"/>
        <v>625</v>
      </c>
      <c r="Q2926" s="7">
        <f t="shared" si="806"/>
        <v>4727708.55</v>
      </c>
      <c r="R2926" s="44" t="str">
        <f>VLOOKUP(F2926,'Set up'!$A$2:$E$55,5,FALSE)</f>
        <v>Trsf</v>
      </c>
    </row>
    <row r="2927" spans="1:19" ht="15" customHeight="1" x14ac:dyDescent="0.3">
      <c r="A2927" s="4">
        <v>45449</v>
      </c>
      <c r="B2927" s="5">
        <f t="shared" si="808"/>
        <v>6</v>
      </c>
      <c r="C2927" s="5">
        <f t="shared" si="809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8" t="s">
        <v>2625</v>
      </c>
      <c r="H2927" s="13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00"/>
        <v>45449</v>
      </c>
      <c r="L2927" s="5">
        <f t="shared" si="801"/>
        <v>6</v>
      </c>
      <c r="M2927" s="5">
        <f t="shared" si="802"/>
        <v>2024</v>
      </c>
      <c r="N2927" s="12">
        <v>16280</v>
      </c>
      <c r="O2927" s="12"/>
      <c r="P2927" s="12">
        <f t="shared" si="799"/>
        <v>16280</v>
      </c>
      <c r="Q2927" s="7">
        <f t="shared" si="806"/>
        <v>4743988.55</v>
      </c>
      <c r="R2927" s="44" t="str">
        <f>VLOOKUP(F2927,'Set up'!$A$2:$E$55,5,FALSE)</f>
        <v>Trsf</v>
      </c>
    </row>
    <row r="2928" spans="1:19" ht="15" customHeight="1" x14ac:dyDescent="0.3">
      <c r="A2928" s="4">
        <v>45449</v>
      </c>
      <c r="B2928" s="5">
        <f t="shared" si="808"/>
        <v>6</v>
      </c>
      <c r="C2928" s="5">
        <f t="shared" si="809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8" t="s">
        <v>2651</v>
      </c>
      <c r="H2928" s="13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00"/>
        <v>45449</v>
      </c>
      <c r="L2928" s="5">
        <f t="shared" si="801"/>
        <v>6</v>
      </c>
      <c r="M2928" s="5">
        <f t="shared" si="802"/>
        <v>2024</v>
      </c>
      <c r="N2928" s="12">
        <v>5220</v>
      </c>
      <c r="O2928" s="12"/>
      <c r="P2928" s="12">
        <f t="shared" ref="P2928:P2991" si="812">SUM(N2928+O2928)</f>
        <v>5220</v>
      </c>
      <c r="Q2928" s="7">
        <f t="shared" si="806"/>
        <v>4749208.55</v>
      </c>
      <c r="R2928" s="44" t="str">
        <f>VLOOKUP(F2928,'Set up'!$A$2:$E$55,5,FALSE)</f>
        <v>Trsf</v>
      </c>
    </row>
    <row r="2929" spans="1:18" ht="15" customHeight="1" x14ac:dyDescent="0.3">
      <c r="A2929" s="4">
        <v>45449</v>
      </c>
      <c r="B2929" s="5">
        <f t="shared" si="808"/>
        <v>6</v>
      </c>
      <c r="C2929" s="5">
        <f t="shared" si="809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8" t="s">
        <v>1923</v>
      </c>
      <c r="H2929" s="13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00"/>
        <v>45449</v>
      </c>
      <c r="L2929" s="5">
        <f t="shared" si="801"/>
        <v>6</v>
      </c>
      <c r="M2929" s="5">
        <f t="shared" si="802"/>
        <v>2024</v>
      </c>
      <c r="N2929" s="12">
        <v>3510</v>
      </c>
      <c r="O2929" s="12"/>
      <c r="P2929" s="12">
        <f t="shared" si="812"/>
        <v>3510</v>
      </c>
      <c r="Q2929" s="7">
        <f t="shared" si="806"/>
        <v>4752718.55</v>
      </c>
      <c r="R2929" s="44" t="str">
        <f>VLOOKUP(F2929,'Set up'!$A$2:$E$55,5,FALSE)</f>
        <v>Trsf</v>
      </c>
    </row>
    <row r="2930" spans="1:18" ht="15" customHeight="1" x14ac:dyDescent="0.3">
      <c r="A2930" s="4">
        <v>45449</v>
      </c>
      <c r="B2930" s="5">
        <f t="shared" si="808"/>
        <v>6</v>
      </c>
      <c r="C2930" s="5">
        <f t="shared" si="809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8" t="s">
        <v>1062</v>
      </c>
      <c r="H2930" s="13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00"/>
        <v>45449</v>
      </c>
      <c r="L2930" s="5">
        <f t="shared" si="801"/>
        <v>6</v>
      </c>
      <c r="M2930" s="5">
        <f t="shared" si="802"/>
        <v>2024</v>
      </c>
      <c r="N2930" s="12">
        <v>570</v>
      </c>
      <c r="O2930" s="12"/>
      <c r="P2930" s="12">
        <f t="shared" si="812"/>
        <v>570</v>
      </c>
      <c r="Q2930" s="7">
        <f t="shared" si="806"/>
        <v>4753288.55</v>
      </c>
      <c r="R2930" s="44" t="str">
        <f>VLOOKUP(F2930,'Set up'!$A$2:$E$55,5,FALSE)</f>
        <v>Trsf</v>
      </c>
    </row>
    <row r="2931" spans="1:18" ht="15" customHeight="1" x14ac:dyDescent="0.3">
      <c r="A2931" s="4">
        <v>45449</v>
      </c>
      <c r="B2931" s="5">
        <f t="shared" si="808"/>
        <v>6</v>
      </c>
      <c r="C2931" s="5">
        <f t="shared" si="809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8" t="s">
        <v>17</v>
      </c>
      <c r="H2931" s="13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00"/>
        <v>45449</v>
      </c>
      <c r="L2931" s="5">
        <f t="shared" si="801"/>
        <v>6</v>
      </c>
      <c r="M2931" s="5">
        <f t="shared" si="802"/>
        <v>2024</v>
      </c>
      <c r="N2931" s="12">
        <v>220</v>
      </c>
      <c r="O2931" s="12"/>
      <c r="P2931" s="12">
        <f t="shared" si="812"/>
        <v>220</v>
      </c>
      <c r="Q2931" s="7">
        <f t="shared" si="806"/>
        <v>4753508.55</v>
      </c>
      <c r="R2931" s="44" t="str">
        <f>VLOOKUP(F2931,'Set up'!$A$2:$E$55,5,FALSE)</f>
        <v>Trsf</v>
      </c>
    </row>
    <row r="2932" spans="1:18" ht="15" customHeight="1" x14ac:dyDescent="0.3">
      <c r="A2932" s="4">
        <v>45450</v>
      </c>
      <c r="B2932" s="5">
        <f t="shared" si="808"/>
        <v>6</v>
      </c>
      <c r="C2932" s="5">
        <f t="shared" si="809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8" t="s">
        <v>95</v>
      </c>
      <c r="H2932" s="13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00"/>
        <v>45450</v>
      </c>
      <c r="L2932" s="5">
        <f t="shared" si="801"/>
        <v>6</v>
      </c>
      <c r="M2932" s="5">
        <f t="shared" si="802"/>
        <v>2024</v>
      </c>
      <c r="N2932" s="12">
        <v>1760</v>
      </c>
      <c r="O2932" s="12"/>
      <c r="P2932" s="12">
        <f t="shared" si="812"/>
        <v>1760</v>
      </c>
      <c r="Q2932" s="7">
        <f t="shared" si="806"/>
        <v>4755268.55</v>
      </c>
      <c r="R2932" s="44" t="str">
        <f>VLOOKUP(F2932,'Set up'!$A$2:$E$55,5,FALSE)</f>
        <v>Trsf</v>
      </c>
    </row>
    <row r="2933" spans="1:18" ht="15" customHeight="1" x14ac:dyDescent="0.3">
      <c r="A2933" s="4">
        <v>45450</v>
      </c>
      <c r="B2933" s="5">
        <f t="shared" si="808"/>
        <v>6</v>
      </c>
      <c r="C2933" s="5">
        <f t="shared" si="809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8" t="s">
        <v>2711</v>
      </c>
      <c r="H2933" s="13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00"/>
        <v>45450</v>
      </c>
      <c r="L2933" s="5">
        <f t="shared" si="801"/>
        <v>6</v>
      </c>
      <c r="M2933" s="5">
        <f t="shared" si="802"/>
        <v>2024</v>
      </c>
      <c r="N2933" s="12">
        <v>125</v>
      </c>
      <c r="O2933" s="12"/>
      <c r="P2933" s="12">
        <f t="shared" si="812"/>
        <v>125</v>
      </c>
      <c r="Q2933" s="7">
        <f t="shared" si="806"/>
        <v>4755393.55</v>
      </c>
      <c r="R2933" s="44" t="str">
        <f>VLOOKUP(F2933,'Set up'!$A$2:$E$55,5,FALSE)</f>
        <v>Trsf</v>
      </c>
    </row>
    <row r="2934" spans="1:18" ht="15" customHeight="1" x14ac:dyDescent="0.3">
      <c r="A2934" s="4">
        <v>45450</v>
      </c>
      <c r="B2934" s="5">
        <f t="shared" si="808"/>
        <v>6</v>
      </c>
      <c r="C2934" s="5">
        <f t="shared" si="809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8" t="s">
        <v>17</v>
      </c>
      <c r="H2934" s="13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00"/>
        <v>45450</v>
      </c>
      <c r="L2934" s="5">
        <f t="shared" si="801"/>
        <v>6</v>
      </c>
      <c r="M2934" s="5">
        <f t="shared" si="802"/>
        <v>2024</v>
      </c>
      <c r="N2934" s="12">
        <v>110</v>
      </c>
      <c r="O2934" s="12"/>
      <c r="P2934" s="12">
        <f t="shared" si="812"/>
        <v>110</v>
      </c>
      <c r="Q2934" s="7">
        <f t="shared" si="806"/>
        <v>4755503.55</v>
      </c>
      <c r="R2934" s="44" t="str">
        <f>VLOOKUP(F2934,'Set up'!$A$2:$E$55,5,FALSE)</f>
        <v>Trsf</v>
      </c>
    </row>
    <row r="2935" spans="1:18" ht="15" customHeight="1" x14ac:dyDescent="0.3">
      <c r="A2935" s="4">
        <v>45450</v>
      </c>
      <c r="B2935" s="5">
        <f t="shared" si="808"/>
        <v>6</v>
      </c>
      <c r="C2935" s="5">
        <f t="shared" si="809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8" t="s">
        <v>1470</v>
      </c>
      <c r="H2935" s="13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00"/>
        <v>45450</v>
      </c>
      <c r="L2935" s="5">
        <f t="shared" si="801"/>
        <v>6</v>
      </c>
      <c r="M2935" s="5">
        <f t="shared" si="802"/>
        <v>2024</v>
      </c>
      <c r="N2935" s="12">
        <v>395</v>
      </c>
      <c r="O2935" s="12"/>
      <c r="P2935" s="12">
        <f t="shared" si="812"/>
        <v>395</v>
      </c>
      <c r="Q2935" s="7">
        <f t="shared" si="806"/>
        <v>4755898.55</v>
      </c>
      <c r="R2935" s="44" t="str">
        <f>VLOOKUP(F2935,'Set up'!$A$2:$E$55,5,FALSE)</f>
        <v>Trsf</v>
      </c>
    </row>
    <row r="2936" spans="1:18" ht="15" customHeight="1" x14ac:dyDescent="0.3">
      <c r="A2936" s="4">
        <v>45451</v>
      </c>
      <c r="B2936" s="5">
        <f t="shared" si="808"/>
        <v>6</v>
      </c>
      <c r="C2936" s="5">
        <f t="shared" si="809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8" t="s">
        <v>2628</v>
      </c>
      <c r="H2936" s="13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00"/>
        <v>45481</v>
      </c>
      <c r="L2936" s="5">
        <f t="shared" si="801"/>
        <v>7</v>
      </c>
      <c r="M2936" s="5">
        <f t="shared" si="802"/>
        <v>2024</v>
      </c>
      <c r="N2936" s="12">
        <v>5280</v>
      </c>
      <c r="O2936" s="12"/>
      <c r="P2936" s="12">
        <f t="shared" si="812"/>
        <v>5280</v>
      </c>
      <c r="Q2936" s="7">
        <f t="shared" si="806"/>
        <v>4761178.55</v>
      </c>
      <c r="R2936" s="44" t="str">
        <f>VLOOKUP(F2936,'Set up'!$A$2:$E$55,5,FALSE)</f>
        <v>Chq</v>
      </c>
    </row>
    <row r="2937" spans="1:18" ht="15" customHeight="1" x14ac:dyDescent="0.3">
      <c r="A2937" s="4">
        <v>45451</v>
      </c>
      <c r="B2937" s="5">
        <f t="shared" si="808"/>
        <v>6</v>
      </c>
      <c r="C2937" s="5">
        <f t="shared" si="809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8" t="s">
        <v>708</v>
      </c>
      <c r="H2937" s="13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00"/>
        <v>45481</v>
      </c>
      <c r="L2937" s="5">
        <f t="shared" si="801"/>
        <v>7</v>
      </c>
      <c r="M2937" s="5">
        <f t="shared" si="802"/>
        <v>2024</v>
      </c>
      <c r="N2937" s="12">
        <v>1263.5999999999999</v>
      </c>
      <c r="O2937" s="12"/>
      <c r="P2937" s="12">
        <f t="shared" si="812"/>
        <v>1263.5999999999999</v>
      </c>
      <c r="Q2937" s="7">
        <f t="shared" si="806"/>
        <v>4762442.1499999994</v>
      </c>
      <c r="R2937" s="44" t="str">
        <f>VLOOKUP(F2937,'Set up'!$A$2:$E$55,5,FALSE)</f>
        <v>Chq</v>
      </c>
    </row>
    <row r="2938" spans="1:18" ht="15" customHeight="1" x14ac:dyDescent="0.3">
      <c r="A2938" s="4">
        <v>45451</v>
      </c>
      <c r="B2938" s="5">
        <f t="shared" si="808"/>
        <v>6</v>
      </c>
      <c r="C2938" s="5">
        <f t="shared" si="809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8" t="s">
        <v>1406</v>
      </c>
      <c r="H2938" s="13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00"/>
        <v>45481</v>
      </c>
      <c r="L2938" s="5">
        <f t="shared" si="801"/>
        <v>7</v>
      </c>
      <c r="M2938" s="5">
        <f t="shared" si="802"/>
        <v>2024</v>
      </c>
      <c r="N2938" s="12">
        <v>144</v>
      </c>
      <c r="O2938" s="12"/>
      <c r="P2938" s="12">
        <f t="shared" si="812"/>
        <v>144</v>
      </c>
      <c r="Q2938" s="7">
        <f t="shared" si="806"/>
        <v>4762586.1499999994</v>
      </c>
      <c r="R2938" s="44" t="str">
        <f>VLOOKUP(F2938,'Set up'!$A$2:$E$55,5,FALSE)</f>
        <v>Chq</v>
      </c>
    </row>
    <row r="2939" spans="1:18" ht="15" customHeight="1" x14ac:dyDescent="0.3">
      <c r="A2939" s="4">
        <v>45451</v>
      </c>
      <c r="B2939" s="5">
        <f t="shared" si="808"/>
        <v>6</v>
      </c>
      <c r="C2939" s="5">
        <f t="shared" si="809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8" t="s">
        <v>2215</v>
      </c>
      <c r="H2939" s="13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00"/>
        <v>45481</v>
      </c>
      <c r="L2939" s="5">
        <f t="shared" si="801"/>
        <v>7</v>
      </c>
      <c r="M2939" s="5">
        <f t="shared" si="802"/>
        <v>2024</v>
      </c>
      <c r="N2939" s="12">
        <v>572</v>
      </c>
      <c r="O2939" s="12"/>
      <c r="P2939" s="12">
        <f t="shared" si="812"/>
        <v>572</v>
      </c>
      <c r="Q2939" s="7">
        <f t="shared" si="806"/>
        <v>4763158.1499999994</v>
      </c>
      <c r="R2939" s="44" t="str">
        <f>VLOOKUP(F2939,'Set up'!$A$2:$E$55,5,FALSE)</f>
        <v>Chq</v>
      </c>
    </row>
    <row r="2940" spans="1:18" ht="15" customHeight="1" x14ac:dyDescent="0.3">
      <c r="A2940" s="4">
        <v>45455</v>
      </c>
      <c r="B2940" s="5">
        <f t="shared" si="808"/>
        <v>6</v>
      </c>
      <c r="C2940" s="5">
        <f t="shared" si="809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8" t="s">
        <v>95</v>
      </c>
      <c r="H2940" s="13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00"/>
        <v>45455</v>
      </c>
      <c r="L2940" s="5">
        <f t="shared" si="801"/>
        <v>6</v>
      </c>
      <c r="M2940" s="5">
        <f t="shared" si="802"/>
        <v>2024</v>
      </c>
      <c r="N2940" s="12">
        <v>5280</v>
      </c>
      <c r="O2940" s="12"/>
      <c r="P2940" s="12">
        <f t="shared" si="812"/>
        <v>5280</v>
      </c>
      <c r="Q2940" s="7">
        <f t="shared" si="806"/>
        <v>4768438.1499999994</v>
      </c>
      <c r="R2940" s="44" t="str">
        <f>VLOOKUP(F2940,'Set up'!$A$2:$E$55,5,FALSE)</f>
        <v>Trsf</v>
      </c>
    </row>
    <row r="2941" spans="1:18" ht="15" customHeight="1" x14ac:dyDescent="0.3">
      <c r="A2941" s="4">
        <v>45455</v>
      </c>
      <c r="B2941" s="5">
        <f t="shared" si="808"/>
        <v>6</v>
      </c>
      <c r="C2941" s="5">
        <f t="shared" si="809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8" t="s">
        <v>2215</v>
      </c>
      <c r="H2941" s="13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00"/>
        <v>45455</v>
      </c>
      <c r="L2941" s="5">
        <f t="shared" si="801"/>
        <v>6</v>
      </c>
      <c r="M2941" s="5">
        <f t="shared" si="802"/>
        <v>2024</v>
      </c>
      <c r="N2941" s="12">
        <v>563.20000000000005</v>
      </c>
      <c r="O2941" s="12"/>
      <c r="P2941" s="12">
        <f t="shared" si="812"/>
        <v>563.20000000000005</v>
      </c>
      <c r="Q2941" s="7">
        <f t="shared" si="806"/>
        <v>4769001.3499999996</v>
      </c>
      <c r="R2941" s="44" t="str">
        <f>VLOOKUP(F2941,'Set up'!$A$2:$E$55,5,FALSE)</f>
        <v>Trsf</v>
      </c>
    </row>
    <row r="2942" spans="1:18" ht="15" customHeight="1" x14ac:dyDescent="0.3">
      <c r="A2942" s="4">
        <v>45455</v>
      </c>
      <c r="B2942" s="5">
        <f t="shared" si="808"/>
        <v>6</v>
      </c>
      <c r="C2942" s="5">
        <f t="shared" si="809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8" t="s">
        <v>1400</v>
      </c>
      <c r="H2942" s="13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00"/>
        <v>45455</v>
      </c>
      <c r="L2942" s="5">
        <f t="shared" si="801"/>
        <v>6</v>
      </c>
      <c r="M2942" s="5">
        <f t="shared" si="802"/>
        <v>2024</v>
      </c>
      <c r="N2942" s="12">
        <v>160</v>
      </c>
      <c r="O2942" s="12"/>
      <c r="P2942" s="12">
        <f t="shared" si="812"/>
        <v>160</v>
      </c>
      <c r="Q2942" s="7">
        <f t="shared" si="806"/>
        <v>4769161.3499999996</v>
      </c>
      <c r="R2942" s="44" t="str">
        <f>VLOOKUP(F2942,'Set up'!$A$2:$E$55,5,FALSE)</f>
        <v>Trsf</v>
      </c>
    </row>
    <row r="2943" spans="1:18" ht="15" customHeight="1" x14ac:dyDescent="0.3">
      <c r="A2943" s="4">
        <v>45455</v>
      </c>
      <c r="B2943" s="5">
        <f t="shared" si="808"/>
        <v>6</v>
      </c>
      <c r="C2943" s="5">
        <f t="shared" si="809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8" t="s">
        <v>2207</v>
      </c>
      <c r="H2943" s="13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00"/>
        <v>45455</v>
      </c>
      <c r="L2943" s="5">
        <f t="shared" si="801"/>
        <v>6</v>
      </c>
      <c r="M2943" s="5">
        <f t="shared" si="802"/>
        <v>2024</v>
      </c>
      <c r="N2943" s="12">
        <v>170</v>
      </c>
      <c r="O2943" s="12"/>
      <c r="P2943" s="12">
        <f t="shared" si="812"/>
        <v>170</v>
      </c>
      <c r="Q2943" s="7">
        <f t="shared" si="806"/>
        <v>4769331.3499999996</v>
      </c>
      <c r="R2943" s="44" t="str">
        <f>VLOOKUP(F2943,'Set up'!$A$2:$E$55,5,FALSE)</f>
        <v>Trsf</v>
      </c>
    </row>
    <row r="2944" spans="1:18" ht="15" customHeight="1" x14ac:dyDescent="0.3">
      <c r="A2944" s="4">
        <v>45455</v>
      </c>
      <c r="B2944" s="5">
        <f t="shared" si="808"/>
        <v>6</v>
      </c>
      <c r="C2944" s="5">
        <f t="shared" si="809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8" t="s">
        <v>1062</v>
      </c>
      <c r="H2944" s="13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00"/>
        <v>45455</v>
      </c>
      <c r="L2944" s="5">
        <f t="shared" si="801"/>
        <v>6</v>
      </c>
      <c r="M2944" s="5">
        <f t="shared" si="802"/>
        <v>2024</v>
      </c>
      <c r="N2944" s="12">
        <v>190</v>
      </c>
      <c r="O2944" s="12"/>
      <c r="P2944" s="12">
        <f t="shared" si="812"/>
        <v>190</v>
      </c>
      <c r="Q2944" s="7">
        <f t="shared" si="806"/>
        <v>4769521.3499999996</v>
      </c>
      <c r="R2944" s="44" t="str">
        <f>VLOOKUP(F2944,'Set up'!$A$2:$E$55,5,FALSE)</f>
        <v>Trsf</v>
      </c>
    </row>
    <row r="2945" spans="1:19" ht="15" customHeight="1" x14ac:dyDescent="0.3">
      <c r="A2945" s="4">
        <v>45455</v>
      </c>
      <c r="B2945" s="5">
        <f t="shared" si="808"/>
        <v>6</v>
      </c>
      <c r="C2945" s="5">
        <f t="shared" si="809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8" t="s">
        <v>950</v>
      </c>
      <c r="H2945" s="13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00"/>
        <v>45455</v>
      </c>
      <c r="L2945" s="5">
        <f t="shared" si="801"/>
        <v>6</v>
      </c>
      <c r="M2945" s="5">
        <f t="shared" si="802"/>
        <v>2024</v>
      </c>
      <c r="N2945" s="12">
        <v>360</v>
      </c>
      <c r="O2945" s="12"/>
      <c r="P2945" s="12">
        <f t="shared" si="812"/>
        <v>360</v>
      </c>
      <c r="Q2945" s="7">
        <f t="shared" si="806"/>
        <v>4769881.3499999996</v>
      </c>
      <c r="R2945" s="44" t="str">
        <f>VLOOKUP(F2945,'Set up'!$A$2:$E$55,5,FALSE)</f>
        <v>Trsf</v>
      </c>
    </row>
    <row r="2946" spans="1:19" ht="15" customHeight="1" x14ac:dyDescent="0.3">
      <c r="A2946" s="4">
        <v>45455</v>
      </c>
      <c r="B2946" s="5">
        <f t="shared" si="808"/>
        <v>6</v>
      </c>
      <c r="C2946" s="5">
        <f t="shared" si="809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8" t="s">
        <v>2522</v>
      </c>
      <c r="H2946" s="13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00"/>
        <v>45455</v>
      </c>
      <c r="L2946" s="5">
        <f t="shared" si="801"/>
        <v>6</v>
      </c>
      <c r="M2946" s="5">
        <f t="shared" si="802"/>
        <v>2024</v>
      </c>
      <c r="N2946" s="12">
        <v>420</v>
      </c>
      <c r="O2946" s="12"/>
      <c r="P2946" s="12">
        <f t="shared" si="812"/>
        <v>420</v>
      </c>
      <c r="Q2946" s="7">
        <f t="shared" si="806"/>
        <v>4770301.3499999996</v>
      </c>
      <c r="R2946" s="44" t="str">
        <f>VLOOKUP(F2946,'Set up'!$A$2:$E$55,5,FALSE)</f>
        <v>Trsf</v>
      </c>
    </row>
    <row r="2947" spans="1:19" ht="15" customHeight="1" x14ac:dyDescent="0.3">
      <c r="A2947" s="4">
        <v>45455</v>
      </c>
      <c r="B2947" s="5">
        <f t="shared" si="808"/>
        <v>6</v>
      </c>
      <c r="C2947" s="5">
        <f t="shared" si="809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8" t="s">
        <v>2722</v>
      </c>
      <c r="H2947" s="13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13">A2947+J2947</f>
        <v>45455</v>
      </c>
      <c r="L2947" s="5">
        <f t="shared" ref="L2947:L2994" si="814">MONTH(K2947)</f>
        <v>6</v>
      </c>
      <c r="M2947" s="5">
        <f t="shared" ref="M2947:M2994" si="815">YEAR(K2947)</f>
        <v>2024</v>
      </c>
      <c r="N2947" s="12">
        <v>125</v>
      </c>
      <c r="O2947" s="12"/>
      <c r="P2947" s="12">
        <f t="shared" si="812"/>
        <v>125</v>
      </c>
      <c r="Q2947" s="7">
        <f t="shared" si="806"/>
        <v>4770426.3499999996</v>
      </c>
      <c r="R2947" s="44" t="str">
        <f>VLOOKUP(F2947,'Set up'!$A$2:$E$55,5,FALSE)</f>
        <v>Trsf</v>
      </c>
    </row>
    <row r="2948" spans="1:19" ht="15" customHeight="1" x14ac:dyDescent="0.3">
      <c r="A2948" s="4">
        <v>45455</v>
      </c>
      <c r="B2948" s="5">
        <f t="shared" si="808"/>
        <v>6</v>
      </c>
      <c r="C2948" s="5">
        <f t="shared" si="809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8" t="s">
        <v>2625</v>
      </c>
      <c r="H2948" s="13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13"/>
        <v>45455</v>
      </c>
      <c r="L2948" s="5">
        <f t="shared" si="814"/>
        <v>6</v>
      </c>
      <c r="M2948" s="5">
        <f t="shared" si="815"/>
        <v>2024</v>
      </c>
      <c r="N2948" s="12">
        <v>3256</v>
      </c>
      <c r="O2948" s="12"/>
      <c r="P2948" s="12">
        <f t="shared" si="812"/>
        <v>3256</v>
      </c>
      <c r="Q2948" s="7">
        <f t="shared" si="806"/>
        <v>4773682.3499999996</v>
      </c>
      <c r="R2948" s="44" t="str">
        <f>VLOOKUP(F2948,'Set up'!$A$2:$E$55,5,FALSE)</f>
        <v>Trsf</v>
      </c>
    </row>
    <row r="2949" spans="1:19" ht="15" customHeight="1" x14ac:dyDescent="0.3">
      <c r="A2949" s="4">
        <v>45455</v>
      </c>
      <c r="B2949" s="5">
        <f t="shared" si="808"/>
        <v>6</v>
      </c>
      <c r="C2949" s="5">
        <f t="shared" si="809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8" t="s">
        <v>2651</v>
      </c>
      <c r="H2949" s="13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13"/>
        <v>45455</v>
      </c>
      <c r="L2949" s="5">
        <f t="shared" si="814"/>
        <v>6</v>
      </c>
      <c r="M2949" s="5">
        <f t="shared" si="815"/>
        <v>2024</v>
      </c>
      <c r="N2949" s="12">
        <v>1218</v>
      </c>
      <c r="O2949" s="12"/>
      <c r="P2949" s="12">
        <f t="shared" si="812"/>
        <v>1218</v>
      </c>
      <c r="Q2949" s="7">
        <f t="shared" si="806"/>
        <v>4774900.3499999996</v>
      </c>
      <c r="R2949" s="44" t="str">
        <f>VLOOKUP(F2949,'Set up'!$A$2:$E$55,5,FALSE)</f>
        <v>Trsf</v>
      </c>
    </row>
    <row r="2950" spans="1:19" ht="15" customHeight="1" x14ac:dyDescent="0.3">
      <c r="A2950" s="4">
        <v>45455</v>
      </c>
      <c r="B2950" s="5">
        <f t="shared" si="808"/>
        <v>6</v>
      </c>
      <c r="C2950" s="5">
        <f t="shared" si="809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8" t="s">
        <v>1923</v>
      </c>
      <c r="H2950" s="13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13"/>
        <v>45455</v>
      </c>
      <c r="L2950" s="5">
        <f t="shared" si="814"/>
        <v>6</v>
      </c>
      <c r="M2950" s="5">
        <f t="shared" si="815"/>
        <v>2024</v>
      </c>
      <c r="N2950" s="12">
        <v>702</v>
      </c>
      <c r="O2950" s="12"/>
      <c r="P2950" s="12">
        <f t="shared" si="812"/>
        <v>702</v>
      </c>
      <c r="Q2950" s="7">
        <f t="shared" si="806"/>
        <v>4775602.3499999996</v>
      </c>
      <c r="R2950" s="44" t="str">
        <f>VLOOKUP(F2950,'Set up'!$A$2:$E$55,5,FALSE)</f>
        <v>Trsf</v>
      </c>
    </row>
    <row r="2951" spans="1:19" ht="15" customHeight="1" x14ac:dyDescent="0.3">
      <c r="A2951" s="4">
        <v>45455</v>
      </c>
      <c r="B2951" s="5">
        <f t="shared" si="808"/>
        <v>6</v>
      </c>
      <c r="C2951" s="5">
        <f t="shared" si="809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8" t="s">
        <v>1074</v>
      </c>
      <c r="H2951" s="13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13"/>
        <v>45455</v>
      </c>
      <c r="L2951" s="5">
        <f t="shared" si="814"/>
        <v>6</v>
      </c>
      <c r="M2951" s="5">
        <f t="shared" si="815"/>
        <v>2024</v>
      </c>
      <c r="N2951" s="12">
        <v>1000</v>
      </c>
      <c r="O2951" s="12"/>
      <c r="P2951" s="12">
        <f t="shared" si="812"/>
        <v>1000</v>
      </c>
      <c r="Q2951" s="7">
        <f t="shared" si="806"/>
        <v>4776602.3499999996</v>
      </c>
      <c r="R2951" s="44" t="str">
        <f>VLOOKUP(F2951,'Set up'!$A$2:$E$55,5,FALSE)</f>
        <v>Trsf</v>
      </c>
    </row>
    <row r="2952" spans="1:19" ht="15" customHeight="1" x14ac:dyDescent="0.3">
      <c r="A2952" s="4">
        <v>45457</v>
      </c>
      <c r="B2952" s="5">
        <f t="shared" si="808"/>
        <v>6</v>
      </c>
      <c r="C2952" s="5">
        <f t="shared" si="809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8" t="s">
        <v>2722</v>
      </c>
      <c r="H2952" s="13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13"/>
        <v>45457</v>
      </c>
      <c r="L2952" s="5">
        <f t="shared" si="814"/>
        <v>6</v>
      </c>
      <c r="M2952" s="5">
        <f t="shared" si="815"/>
        <v>2024</v>
      </c>
      <c r="N2952" s="12">
        <v>937.5</v>
      </c>
      <c r="O2952" s="12"/>
      <c r="P2952" s="12">
        <f t="shared" si="812"/>
        <v>937.5</v>
      </c>
      <c r="Q2952" s="7">
        <f t="shared" si="806"/>
        <v>4777539.8499999996</v>
      </c>
      <c r="R2952" s="44" t="str">
        <f>VLOOKUP(F2952,'Set up'!$A$2:$E$55,5,FALSE)</f>
        <v>Trsf</v>
      </c>
    </row>
    <row r="2953" spans="1:19" ht="15" customHeight="1" x14ac:dyDescent="0.3">
      <c r="A2953" s="4">
        <v>45457</v>
      </c>
      <c r="B2953" s="5">
        <f t="shared" si="808"/>
        <v>6</v>
      </c>
      <c r="C2953" s="5">
        <f t="shared" si="809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8" t="s">
        <v>2625</v>
      </c>
      <c r="H2953" s="13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13"/>
        <v>45457</v>
      </c>
      <c r="L2953" s="5">
        <f t="shared" si="814"/>
        <v>6</v>
      </c>
      <c r="M2953" s="5">
        <f t="shared" si="815"/>
        <v>2024</v>
      </c>
      <c r="N2953" s="12">
        <v>24420</v>
      </c>
      <c r="O2953" s="12"/>
      <c r="P2953" s="12">
        <f t="shared" si="812"/>
        <v>24420</v>
      </c>
      <c r="Q2953" s="7">
        <f t="shared" si="806"/>
        <v>4801959.8499999996</v>
      </c>
      <c r="R2953" s="44" t="str">
        <f>VLOOKUP(F2953,'Set up'!$A$2:$E$55,5,FALSE)</f>
        <v>Trsf</v>
      </c>
    </row>
    <row r="2954" spans="1:19" ht="15" customHeight="1" x14ac:dyDescent="0.3">
      <c r="A2954" s="4">
        <v>45457</v>
      </c>
      <c r="B2954" s="5">
        <f t="shared" si="808"/>
        <v>6</v>
      </c>
      <c r="C2954" s="5">
        <f t="shared" si="809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8" t="s">
        <v>2651</v>
      </c>
      <c r="H2954" s="13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13"/>
        <v>45457</v>
      </c>
      <c r="L2954" s="5">
        <f t="shared" si="814"/>
        <v>6</v>
      </c>
      <c r="M2954" s="5">
        <f t="shared" si="815"/>
        <v>2024</v>
      </c>
      <c r="N2954" s="12">
        <v>7830</v>
      </c>
      <c r="O2954" s="12"/>
      <c r="P2954" s="12">
        <f t="shared" si="812"/>
        <v>7830</v>
      </c>
      <c r="Q2954" s="7">
        <f t="shared" si="806"/>
        <v>4809789.8499999996</v>
      </c>
      <c r="R2954" s="44" t="str">
        <f>VLOOKUP(F2954,'Set up'!$A$2:$E$55,5,FALSE)</f>
        <v>Trsf</v>
      </c>
    </row>
    <row r="2955" spans="1:19" ht="15" customHeight="1" x14ac:dyDescent="0.3">
      <c r="A2955" s="4">
        <v>45457</v>
      </c>
      <c r="B2955" s="5">
        <f t="shared" si="808"/>
        <v>6</v>
      </c>
      <c r="C2955" s="5">
        <f t="shared" si="809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8" t="s">
        <v>1923</v>
      </c>
      <c r="H2955" s="13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13"/>
        <v>45457</v>
      </c>
      <c r="L2955" s="5">
        <f t="shared" si="814"/>
        <v>6</v>
      </c>
      <c r="M2955" s="5">
        <f t="shared" si="815"/>
        <v>2024</v>
      </c>
      <c r="N2955" s="12">
        <v>4680</v>
      </c>
      <c r="O2955" s="12"/>
      <c r="P2955" s="12">
        <f t="shared" si="812"/>
        <v>4680</v>
      </c>
      <c r="Q2955" s="7">
        <f t="shared" si="806"/>
        <v>4814469.8499999996</v>
      </c>
      <c r="R2955" s="44" t="str">
        <f>VLOOKUP(F2955,'Set up'!$A$2:$E$55,5,FALSE)</f>
        <v>Trsf</v>
      </c>
    </row>
    <row r="2956" spans="1:19" ht="15" customHeight="1" x14ac:dyDescent="0.3">
      <c r="A2956" s="4">
        <v>45457</v>
      </c>
      <c r="B2956" s="5">
        <f t="shared" si="808"/>
        <v>6</v>
      </c>
      <c r="C2956" s="5">
        <f t="shared" si="809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8" t="s">
        <v>1062</v>
      </c>
      <c r="H2956" s="13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13"/>
        <v>45457</v>
      </c>
      <c r="L2956" s="5">
        <f t="shared" si="814"/>
        <v>6</v>
      </c>
      <c r="M2956" s="5">
        <f t="shared" si="815"/>
        <v>2024</v>
      </c>
      <c r="N2956" s="12">
        <v>760</v>
      </c>
      <c r="O2956" s="12"/>
      <c r="P2956" s="12">
        <f t="shared" si="812"/>
        <v>760</v>
      </c>
      <c r="Q2956" s="7">
        <f t="shared" si="806"/>
        <v>4815229.8499999996</v>
      </c>
      <c r="R2956" s="44" t="str">
        <f>VLOOKUP(F2956,'Set up'!$A$2:$E$55,5,FALSE)</f>
        <v>Trsf</v>
      </c>
    </row>
    <row r="2957" spans="1:19" ht="15" customHeight="1" x14ac:dyDescent="0.3">
      <c r="A2957" s="4">
        <v>45457</v>
      </c>
      <c r="B2957" s="5">
        <f t="shared" si="808"/>
        <v>6</v>
      </c>
      <c r="C2957" s="5">
        <f t="shared" si="809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8" t="s">
        <v>1074</v>
      </c>
      <c r="H2957" s="13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13"/>
        <v>45457</v>
      </c>
      <c r="L2957" s="5">
        <f t="shared" si="814"/>
        <v>6</v>
      </c>
      <c r="M2957" s="5">
        <f t="shared" si="815"/>
        <v>2024</v>
      </c>
      <c r="N2957" s="12">
        <v>3000</v>
      </c>
      <c r="O2957" s="12"/>
      <c r="P2957" s="12">
        <f t="shared" si="812"/>
        <v>3000</v>
      </c>
      <c r="Q2957" s="7">
        <f t="shared" si="806"/>
        <v>4818229.8499999996</v>
      </c>
      <c r="R2957" s="44" t="str">
        <f>VLOOKUP(F2957,'Set up'!$A$2:$E$55,5,FALSE)</f>
        <v>Trsf</v>
      </c>
    </row>
    <row r="2958" spans="1:19" ht="15" customHeight="1" x14ac:dyDescent="0.3">
      <c r="A2958" s="4">
        <v>45463</v>
      </c>
      <c r="B2958" s="5">
        <f t="shared" si="808"/>
        <v>6</v>
      </c>
      <c r="C2958" s="5">
        <f t="shared" si="809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8" t="s">
        <v>1998</v>
      </c>
      <c r="H2958" s="13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13"/>
        <v>45463</v>
      </c>
      <c r="L2958" s="5">
        <f t="shared" si="814"/>
        <v>6</v>
      </c>
      <c r="M2958" s="5">
        <f t="shared" si="815"/>
        <v>2024</v>
      </c>
      <c r="N2958" s="12">
        <v>10800</v>
      </c>
      <c r="O2958" s="6">
        <f t="shared" ref="O2958:O2964" si="816">-N2958</f>
        <v>-10800</v>
      </c>
      <c r="P2958" s="12">
        <f t="shared" si="812"/>
        <v>0</v>
      </c>
      <c r="Q2958" s="7">
        <f t="shared" si="806"/>
        <v>4829029.8499999996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08"/>
        <v>6</v>
      </c>
      <c r="C2959" s="5">
        <f t="shared" si="809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8" t="s">
        <v>1544</v>
      </c>
      <c r="H2959" s="13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13"/>
        <v>45463</v>
      </c>
      <c r="L2959" s="5">
        <f t="shared" si="814"/>
        <v>6</v>
      </c>
      <c r="M2959" s="5">
        <f t="shared" si="815"/>
        <v>2024</v>
      </c>
      <c r="N2959" s="12">
        <v>900</v>
      </c>
      <c r="O2959" s="6">
        <f t="shared" si="816"/>
        <v>-900</v>
      </c>
      <c r="P2959" s="12">
        <f t="shared" si="812"/>
        <v>0</v>
      </c>
      <c r="Q2959" s="7">
        <f t="shared" si="806"/>
        <v>4829929.8499999996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08"/>
        <v>6</v>
      </c>
      <c r="C2960" s="5">
        <f t="shared" si="809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8" t="s">
        <v>2596</v>
      </c>
      <c r="H2960" s="13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13"/>
        <v>45463</v>
      </c>
      <c r="L2960" s="5">
        <f t="shared" si="814"/>
        <v>6</v>
      </c>
      <c r="M2960" s="5">
        <f t="shared" si="815"/>
        <v>2024</v>
      </c>
      <c r="N2960" s="12">
        <v>900</v>
      </c>
      <c r="O2960" s="6">
        <f t="shared" si="816"/>
        <v>-900</v>
      </c>
      <c r="P2960" s="12">
        <f t="shared" si="812"/>
        <v>0</v>
      </c>
      <c r="Q2960" s="7">
        <f t="shared" si="806"/>
        <v>4830829.8499999996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08"/>
        <v>6</v>
      </c>
      <c r="C2961" s="5">
        <f t="shared" si="809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8" t="s">
        <v>17</v>
      </c>
      <c r="H2961" s="13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13"/>
        <v>45463</v>
      </c>
      <c r="L2961" s="5">
        <f t="shared" si="814"/>
        <v>6</v>
      </c>
      <c r="M2961" s="5">
        <f t="shared" si="815"/>
        <v>2024</v>
      </c>
      <c r="N2961" s="12">
        <v>110</v>
      </c>
      <c r="O2961" s="6">
        <f t="shared" si="816"/>
        <v>-110</v>
      </c>
      <c r="P2961" s="12">
        <f t="shared" si="812"/>
        <v>0</v>
      </c>
      <c r="Q2961" s="7">
        <f t="shared" si="806"/>
        <v>4830939.8499999996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08"/>
        <v>6</v>
      </c>
      <c r="C2962" s="5">
        <f t="shared" si="809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8" t="s">
        <v>2727</v>
      </c>
      <c r="H2962" s="13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13"/>
        <v>45463</v>
      </c>
      <c r="L2962" s="5">
        <f t="shared" si="814"/>
        <v>6</v>
      </c>
      <c r="M2962" s="5">
        <f t="shared" si="815"/>
        <v>2024</v>
      </c>
      <c r="N2962" s="12">
        <v>90</v>
      </c>
      <c r="O2962" s="6">
        <f t="shared" si="816"/>
        <v>-90</v>
      </c>
      <c r="P2962" s="12">
        <f t="shared" si="812"/>
        <v>0</v>
      </c>
      <c r="Q2962" s="7">
        <f t="shared" ref="Q2962:Q3025" si="817">SUM(Q2961+N2962)</f>
        <v>4831029.8499999996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08"/>
        <v>6</v>
      </c>
      <c r="C2963" s="5">
        <f t="shared" si="809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8" t="s">
        <v>2728</v>
      </c>
      <c r="H2963" s="13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13"/>
        <v>45463</v>
      </c>
      <c r="L2963" s="5">
        <f t="shared" si="814"/>
        <v>6</v>
      </c>
      <c r="M2963" s="5">
        <f t="shared" si="815"/>
        <v>2024</v>
      </c>
      <c r="N2963" s="12">
        <v>48</v>
      </c>
      <c r="O2963" s="6">
        <f t="shared" si="816"/>
        <v>-48</v>
      </c>
      <c r="P2963" s="12">
        <f t="shared" si="812"/>
        <v>0</v>
      </c>
      <c r="Q2963" s="7">
        <f t="shared" si="817"/>
        <v>4831077.8499999996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08"/>
        <v>6</v>
      </c>
      <c r="C2964" s="5">
        <f t="shared" si="809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8" t="s">
        <v>2729</v>
      </c>
      <c r="H2964" s="13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13"/>
        <v>45463</v>
      </c>
      <c r="L2964" s="5">
        <f t="shared" si="814"/>
        <v>6</v>
      </c>
      <c r="M2964" s="5">
        <f t="shared" si="815"/>
        <v>2024</v>
      </c>
      <c r="N2964" s="12">
        <v>48</v>
      </c>
      <c r="O2964" s="6">
        <f t="shared" si="816"/>
        <v>-48</v>
      </c>
      <c r="P2964" s="12">
        <f t="shared" si="812"/>
        <v>0</v>
      </c>
      <c r="Q2964" s="7">
        <f t="shared" si="817"/>
        <v>4831125.8499999996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08"/>
        <v>6</v>
      </c>
      <c r="C2965" s="5">
        <f t="shared" si="809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8" t="s">
        <v>1895</v>
      </c>
      <c r="H2965" s="13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13"/>
        <v>45464</v>
      </c>
      <c r="L2965" s="5">
        <f t="shared" si="814"/>
        <v>6</v>
      </c>
      <c r="M2965" s="5">
        <f t="shared" si="815"/>
        <v>2024</v>
      </c>
      <c r="N2965" s="12">
        <v>1760</v>
      </c>
      <c r="O2965" s="6">
        <f t="shared" ref="O2965:O2968" si="818">-N2965</f>
        <v>-1760</v>
      </c>
      <c r="P2965" s="12">
        <f t="shared" si="812"/>
        <v>0</v>
      </c>
      <c r="Q2965" s="7">
        <f t="shared" si="817"/>
        <v>4832885.8499999996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08"/>
        <v>6</v>
      </c>
      <c r="C2966" s="5">
        <f t="shared" si="809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8" t="s">
        <v>1062</v>
      </c>
      <c r="H2966" s="13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13"/>
        <v>45464</v>
      </c>
      <c r="L2966" s="5">
        <f t="shared" si="814"/>
        <v>6</v>
      </c>
      <c r="M2966" s="5">
        <f t="shared" si="815"/>
        <v>2024</v>
      </c>
      <c r="N2966" s="12">
        <v>95</v>
      </c>
      <c r="O2966" s="6">
        <f t="shared" si="818"/>
        <v>-95</v>
      </c>
      <c r="P2966" s="12">
        <f t="shared" si="812"/>
        <v>0</v>
      </c>
      <c r="Q2966" s="7">
        <f t="shared" si="817"/>
        <v>4832980.8499999996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08"/>
        <v>6</v>
      </c>
      <c r="C2967" s="5">
        <f t="shared" si="809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8" t="s">
        <v>54</v>
      </c>
      <c r="H2967" s="13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13"/>
        <v>45464</v>
      </c>
      <c r="L2967" s="5">
        <f t="shared" si="814"/>
        <v>6</v>
      </c>
      <c r="M2967" s="5">
        <f t="shared" si="815"/>
        <v>2024</v>
      </c>
      <c r="N2967" s="12">
        <v>312.5</v>
      </c>
      <c r="O2967" s="6">
        <f t="shared" si="818"/>
        <v>-312.5</v>
      </c>
      <c r="P2967" s="12">
        <f t="shared" si="812"/>
        <v>0</v>
      </c>
      <c r="Q2967" s="7">
        <f t="shared" si="817"/>
        <v>4833293.3499999996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08"/>
        <v>6</v>
      </c>
      <c r="C2968" s="5">
        <f t="shared" si="809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8" t="s">
        <v>801</v>
      </c>
      <c r="H2968" s="13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13"/>
        <v>45464</v>
      </c>
      <c r="L2968" s="5">
        <f t="shared" si="814"/>
        <v>6</v>
      </c>
      <c r="M2968" s="5">
        <f t="shared" si="815"/>
        <v>2024</v>
      </c>
      <c r="N2968" s="12">
        <v>225</v>
      </c>
      <c r="O2968" s="6">
        <f t="shared" si="818"/>
        <v>-225</v>
      </c>
      <c r="P2968" s="12">
        <f t="shared" si="812"/>
        <v>0</v>
      </c>
      <c r="Q2968" s="7">
        <f t="shared" si="817"/>
        <v>4833518.3499999996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08"/>
        <v>6</v>
      </c>
      <c r="C2969" s="5">
        <f t="shared" si="809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8" t="s">
        <v>95</v>
      </c>
      <c r="H2969" s="13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13"/>
        <v>45465</v>
      </c>
      <c r="L2969" s="5">
        <f t="shared" si="814"/>
        <v>6</v>
      </c>
      <c r="M2969" s="5">
        <f t="shared" si="815"/>
        <v>2024</v>
      </c>
      <c r="N2969" s="12">
        <v>1760</v>
      </c>
      <c r="O2969" s="12"/>
      <c r="P2969" s="12">
        <f t="shared" si="812"/>
        <v>1760</v>
      </c>
      <c r="Q2969" s="7">
        <f t="shared" si="817"/>
        <v>4835278.3499999996</v>
      </c>
      <c r="R2969" s="44" t="str">
        <f>VLOOKUP(F2969,'Set up'!$A$2:$E$55,5,FALSE)</f>
        <v>Trsf</v>
      </c>
    </row>
    <row r="2970" spans="1:19" ht="15" customHeight="1" x14ac:dyDescent="0.3">
      <c r="A2970" s="4">
        <v>45465</v>
      </c>
      <c r="B2970" s="5">
        <f t="shared" si="808"/>
        <v>6</v>
      </c>
      <c r="C2970" s="5">
        <f t="shared" si="809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8" t="s">
        <v>1412</v>
      </c>
      <c r="H2970" s="13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13"/>
        <v>45465</v>
      </c>
      <c r="L2970" s="5">
        <f t="shared" si="814"/>
        <v>6</v>
      </c>
      <c r="M2970" s="5">
        <f t="shared" si="815"/>
        <v>2024</v>
      </c>
      <c r="N2970" s="12">
        <v>405</v>
      </c>
      <c r="O2970" s="12"/>
      <c r="P2970" s="12">
        <f t="shared" si="812"/>
        <v>405</v>
      </c>
      <c r="Q2970" s="7">
        <f t="shared" si="817"/>
        <v>4835683.3499999996</v>
      </c>
      <c r="R2970" s="44" t="str">
        <f>VLOOKUP(F2970,'Set up'!$A$2:$E$55,5,FALSE)</f>
        <v>Trsf</v>
      </c>
    </row>
    <row r="2971" spans="1:19" ht="15" customHeight="1" x14ac:dyDescent="0.3">
      <c r="A2971" s="4">
        <v>45465</v>
      </c>
      <c r="B2971" s="5">
        <f t="shared" si="808"/>
        <v>6</v>
      </c>
      <c r="C2971" s="5">
        <f t="shared" si="809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8" t="s">
        <v>2711</v>
      </c>
      <c r="H2971" s="13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13"/>
        <v>45465</v>
      </c>
      <c r="L2971" s="5">
        <f t="shared" si="814"/>
        <v>6</v>
      </c>
      <c r="M2971" s="5">
        <f t="shared" si="815"/>
        <v>2024</v>
      </c>
      <c r="N2971" s="12">
        <v>187.5</v>
      </c>
      <c r="O2971" s="12"/>
      <c r="P2971" s="12">
        <f t="shared" si="812"/>
        <v>187.5</v>
      </c>
      <c r="Q2971" s="7">
        <f t="shared" si="817"/>
        <v>4835870.8499999996</v>
      </c>
      <c r="R2971" s="44" t="str">
        <f>VLOOKUP(F2971,'Set up'!$A$2:$E$55,5,FALSE)</f>
        <v>Trsf</v>
      </c>
    </row>
    <row r="2972" spans="1:19" ht="15" customHeight="1" x14ac:dyDescent="0.3">
      <c r="A2972" s="4">
        <v>45465</v>
      </c>
      <c r="B2972" s="5">
        <f t="shared" si="808"/>
        <v>6</v>
      </c>
      <c r="C2972" s="5">
        <f t="shared" si="809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8" t="s">
        <v>17</v>
      </c>
      <c r="H2972" s="13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13"/>
        <v>45465</v>
      </c>
      <c r="L2972" s="5">
        <f t="shared" si="814"/>
        <v>6</v>
      </c>
      <c r="M2972" s="5">
        <f t="shared" si="815"/>
        <v>2024</v>
      </c>
      <c r="N2972" s="12">
        <v>110</v>
      </c>
      <c r="O2972" s="12"/>
      <c r="P2972" s="12">
        <f t="shared" si="812"/>
        <v>110</v>
      </c>
      <c r="Q2972" s="7">
        <f t="shared" si="817"/>
        <v>4835980.8499999996</v>
      </c>
      <c r="R2972" s="44" t="str">
        <f>VLOOKUP(F2972,'Set up'!$A$2:$E$55,5,FALSE)</f>
        <v>Trsf</v>
      </c>
    </row>
    <row r="2973" spans="1:19" ht="15" customHeight="1" x14ac:dyDescent="0.3">
      <c r="A2973" s="4">
        <v>45467</v>
      </c>
      <c r="B2973" s="5">
        <f t="shared" si="808"/>
        <v>6</v>
      </c>
      <c r="C2973" s="5">
        <f t="shared" si="809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8" t="s">
        <v>1403</v>
      </c>
      <c r="H2973" s="13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13"/>
        <v>45587</v>
      </c>
      <c r="L2973" s="5">
        <f t="shared" si="814"/>
        <v>10</v>
      </c>
      <c r="M2973" s="5">
        <f t="shared" si="815"/>
        <v>2024</v>
      </c>
      <c r="N2973" s="12">
        <v>13024</v>
      </c>
      <c r="O2973" s="12"/>
      <c r="P2973" s="12">
        <f t="shared" si="812"/>
        <v>13024</v>
      </c>
      <c r="Q2973" s="7">
        <f t="shared" si="817"/>
        <v>4849004.8499999996</v>
      </c>
      <c r="R2973" s="44" t="str">
        <f>VLOOKUP(F2973,'Set up'!$A$2:$E$55,5,FALSE)</f>
        <v>Trsf</v>
      </c>
    </row>
    <row r="2974" spans="1:19" ht="15" customHeight="1" x14ac:dyDescent="0.3">
      <c r="A2974" s="4">
        <v>45467</v>
      </c>
      <c r="B2974" s="5">
        <f t="shared" ref="B2974:B2994" si="819">MONTH(A2974)</f>
        <v>6</v>
      </c>
      <c r="C2974" s="5">
        <f t="shared" ref="C2974:C2994" si="820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8" t="s">
        <v>2199</v>
      </c>
      <c r="H2974" s="13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13"/>
        <v>45587</v>
      </c>
      <c r="L2974" s="5">
        <f t="shared" si="814"/>
        <v>10</v>
      </c>
      <c r="M2974" s="5">
        <f t="shared" si="815"/>
        <v>2024</v>
      </c>
      <c r="N2974" s="12">
        <v>2146</v>
      </c>
      <c r="O2974" s="12"/>
      <c r="P2974" s="12">
        <f t="shared" si="812"/>
        <v>2146</v>
      </c>
      <c r="Q2974" s="7">
        <f t="shared" si="817"/>
        <v>4851150.8499999996</v>
      </c>
      <c r="R2974" s="44" t="str">
        <f>VLOOKUP(F2974,'Set up'!$A$2:$E$55,5,FALSE)</f>
        <v>Trsf</v>
      </c>
    </row>
    <row r="2975" spans="1:19" ht="15" customHeight="1" x14ac:dyDescent="0.3">
      <c r="A2975" s="4">
        <v>45467</v>
      </c>
      <c r="B2975" s="5">
        <f t="shared" si="819"/>
        <v>6</v>
      </c>
      <c r="C2975" s="5">
        <f t="shared" si="820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8" t="s">
        <v>2711</v>
      </c>
      <c r="H2975" s="13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13"/>
        <v>45587</v>
      </c>
      <c r="L2975" s="5">
        <f t="shared" si="814"/>
        <v>10</v>
      </c>
      <c r="M2975" s="5">
        <f t="shared" si="815"/>
        <v>2024</v>
      </c>
      <c r="N2975" s="12">
        <v>575</v>
      </c>
      <c r="O2975" s="12"/>
      <c r="P2975" s="12">
        <f t="shared" si="812"/>
        <v>575</v>
      </c>
      <c r="Q2975" s="7">
        <f t="shared" si="817"/>
        <v>4851725.8499999996</v>
      </c>
      <c r="R2975" s="44" t="str">
        <f>VLOOKUP(F2975,'Set up'!$A$2:$E$55,5,FALSE)</f>
        <v>Trsf</v>
      </c>
    </row>
    <row r="2976" spans="1:19" ht="15" customHeight="1" x14ac:dyDescent="0.3">
      <c r="A2976" s="4">
        <v>45467</v>
      </c>
      <c r="B2976" s="5">
        <f t="shared" si="819"/>
        <v>6</v>
      </c>
      <c r="C2976" s="5">
        <f t="shared" si="820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8" t="s">
        <v>46</v>
      </c>
      <c r="H2976" s="13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13"/>
        <v>45587</v>
      </c>
      <c r="L2976" s="5">
        <f t="shared" si="814"/>
        <v>10</v>
      </c>
      <c r="M2976" s="5">
        <f t="shared" si="815"/>
        <v>2024</v>
      </c>
      <c r="N2976" s="12">
        <v>880</v>
      </c>
      <c r="O2976" s="12"/>
      <c r="P2976" s="12">
        <f t="shared" si="812"/>
        <v>880</v>
      </c>
      <c r="Q2976" s="7">
        <f t="shared" si="817"/>
        <v>4852605.8499999996</v>
      </c>
      <c r="R2976" s="44" t="str">
        <f>VLOOKUP(F2976,'Set up'!$A$2:$E$55,5,FALSE)</f>
        <v>Trsf</v>
      </c>
    </row>
    <row r="2977" spans="1:19" ht="15" customHeight="1" x14ac:dyDescent="0.3">
      <c r="A2977" s="4">
        <v>45468</v>
      </c>
      <c r="B2977" s="5">
        <f t="shared" si="819"/>
        <v>6</v>
      </c>
      <c r="C2977" s="5">
        <f t="shared" si="820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8" t="s">
        <v>2625</v>
      </c>
      <c r="H2977" s="13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13"/>
        <v>45528</v>
      </c>
      <c r="L2977" s="5">
        <f t="shared" si="814"/>
        <v>8</v>
      </c>
      <c r="M2977" s="5">
        <f t="shared" si="815"/>
        <v>2024</v>
      </c>
      <c r="N2977" s="12">
        <v>3256</v>
      </c>
      <c r="O2977" s="12"/>
      <c r="P2977" s="12">
        <f t="shared" si="812"/>
        <v>3256</v>
      </c>
      <c r="Q2977" s="7">
        <f t="shared" si="817"/>
        <v>4855861.8499999996</v>
      </c>
      <c r="R2977" s="44" t="str">
        <f>VLOOKUP(F2977,'Set up'!$A$2:$E$55,5,FALSE)</f>
        <v>Chq</v>
      </c>
    </row>
    <row r="2978" spans="1:19" ht="15" customHeight="1" x14ac:dyDescent="0.3">
      <c r="A2978" s="4">
        <v>45468</v>
      </c>
      <c r="B2978" s="5">
        <f t="shared" si="819"/>
        <v>6</v>
      </c>
      <c r="C2978" s="5">
        <f t="shared" si="820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8" t="s">
        <v>1412</v>
      </c>
      <c r="H2978" s="13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13"/>
        <v>45528</v>
      </c>
      <c r="L2978" s="5">
        <f t="shared" si="814"/>
        <v>8</v>
      </c>
      <c r="M2978" s="5">
        <f t="shared" si="815"/>
        <v>2024</v>
      </c>
      <c r="N2978" s="12">
        <v>939.6</v>
      </c>
      <c r="O2978" s="12"/>
      <c r="P2978" s="12">
        <f t="shared" si="812"/>
        <v>939.6</v>
      </c>
      <c r="Q2978" s="7">
        <f t="shared" si="817"/>
        <v>4856801.4499999993</v>
      </c>
      <c r="R2978" s="44" t="str">
        <f>VLOOKUP(F2978,'Set up'!$A$2:$E$55,5,FALSE)</f>
        <v>Chq</v>
      </c>
    </row>
    <row r="2979" spans="1:19" ht="15" customHeight="1" x14ac:dyDescent="0.3">
      <c r="A2979" s="4">
        <v>45468</v>
      </c>
      <c r="B2979" s="5">
        <f t="shared" si="819"/>
        <v>6</v>
      </c>
      <c r="C2979" s="5">
        <f t="shared" si="820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8" t="s">
        <v>2203</v>
      </c>
      <c r="H2979" s="13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13"/>
        <v>45528</v>
      </c>
      <c r="L2979" s="5">
        <f t="shared" si="814"/>
        <v>8</v>
      </c>
      <c r="M2979" s="5">
        <f t="shared" si="815"/>
        <v>2024</v>
      </c>
      <c r="N2979" s="12">
        <v>626.4</v>
      </c>
      <c r="O2979" s="12"/>
      <c r="P2979" s="12">
        <f t="shared" si="812"/>
        <v>626.4</v>
      </c>
      <c r="Q2979" s="7">
        <f t="shared" si="817"/>
        <v>4857427.8499999996</v>
      </c>
      <c r="R2979" s="44" t="str">
        <f>VLOOKUP(F2979,'Set up'!$A$2:$E$55,5,FALSE)</f>
        <v>Chq</v>
      </c>
    </row>
    <row r="2980" spans="1:19" ht="15" customHeight="1" x14ac:dyDescent="0.3">
      <c r="A2980" s="4">
        <v>45468</v>
      </c>
      <c r="B2980" s="5">
        <f t="shared" si="819"/>
        <v>6</v>
      </c>
      <c r="C2980" s="5">
        <f t="shared" si="820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8" t="s">
        <v>46</v>
      </c>
      <c r="H2980" s="13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13"/>
        <v>45528</v>
      </c>
      <c r="L2980" s="5">
        <f t="shared" si="814"/>
        <v>8</v>
      </c>
      <c r="M2980" s="5">
        <f t="shared" si="815"/>
        <v>2024</v>
      </c>
      <c r="N2980" s="12">
        <v>220</v>
      </c>
      <c r="O2980" s="12"/>
      <c r="P2980" s="12">
        <f t="shared" si="812"/>
        <v>220</v>
      </c>
      <c r="Q2980" s="7">
        <f t="shared" si="817"/>
        <v>4857647.8499999996</v>
      </c>
      <c r="R2980" s="44" t="str">
        <f>VLOOKUP(F2980,'Set up'!$A$2:$E$55,5,FALSE)</f>
        <v>Chq</v>
      </c>
    </row>
    <row r="2981" spans="1:19" ht="15" customHeight="1" x14ac:dyDescent="0.3">
      <c r="A2981" s="4">
        <v>45469</v>
      </c>
      <c r="B2981" s="5">
        <f t="shared" si="819"/>
        <v>6</v>
      </c>
      <c r="C2981" s="5">
        <f t="shared" si="820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8" t="s">
        <v>2215</v>
      </c>
      <c r="H2981" s="13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13"/>
        <v>45589</v>
      </c>
      <c r="L2981" s="5">
        <f t="shared" si="814"/>
        <v>10</v>
      </c>
      <c r="M2981" s="5">
        <f t="shared" si="815"/>
        <v>2024</v>
      </c>
      <c r="N2981" s="12">
        <v>523.6</v>
      </c>
      <c r="O2981" s="12"/>
      <c r="P2981" s="12">
        <f t="shared" si="812"/>
        <v>523.6</v>
      </c>
      <c r="Q2981" s="7">
        <f t="shared" si="817"/>
        <v>4858171.4499999993</v>
      </c>
      <c r="R2981" s="44" t="str">
        <f>VLOOKUP(F2981,'Set up'!$A$2:$E$55,5,FALSE)</f>
        <v>Trsf</v>
      </c>
    </row>
    <row r="2982" spans="1:19" ht="15" customHeight="1" x14ac:dyDescent="0.3">
      <c r="A2982" s="4">
        <v>45469</v>
      </c>
      <c r="B2982" s="5">
        <f t="shared" si="819"/>
        <v>6</v>
      </c>
      <c r="C2982" s="5">
        <f t="shared" si="820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8" t="s">
        <v>1394</v>
      </c>
      <c r="H2982" s="13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13"/>
        <v>45589</v>
      </c>
      <c r="L2982" s="5">
        <f t="shared" si="814"/>
        <v>10</v>
      </c>
      <c r="M2982" s="5">
        <f t="shared" si="815"/>
        <v>2024</v>
      </c>
      <c r="N2982" s="12">
        <v>360</v>
      </c>
      <c r="O2982" s="12"/>
      <c r="P2982" s="12">
        <f t="shared" si="812"/>
        <v>360</v>
      </c>
      <c r="Q2982" s="7">
        <f t="shared" si="817"/>
        <v>4858531.4499999993</v>
      </c>
      <c r="R2982" s="44" t="str">
        <f>VLOOKUP(F2982,'Set up'!$A$2:$E$55,5,FALSE)</f>
        <v>Trsf</v>
      </c>
    </row>
    <row r="2983" spans="1:19" ht="15" customHeight="1" x14ac:dyDescent="0.3">
      <c r="A2983" s="4">
        <v>45469</v>
      </c>
      <c r="B2983" s="5">
        <f t="shared" si="819"/>
        <v>6</v>
      </c>
      <c r="C2983" s="5">
        <f t="shared" si="820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8" t="s">
        <v>2737</v>
      </c>
      <c r="H2983" s="13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13"/>
        <v>45589</v>
      </c>
      <c r="L2983" s="5">
        <f t="shared" si="814"/>
        <v>10</v>
      </c>
      <c r="M2983" s="5">
        <f t="shared" si="815"/>
        <v>2024</v>
      </c>
      <c r="N2983" s="12">
        <v>260</v>
      </c>
      <c r="O2983" s="12"/>
      <c r="P2983" s="12">
        <f t="shared" si="812"/>
        <v>260</v>
      </c>
      <c r="Q2983" s="7">
        <f t="shared" si="817"/>
        <v>4858791.4499999993</v>
      </c>
      <c r="R2983" s="44" t="str">
        <f>VLOOKUP(F2983,'Set up'!$A$2:$E$55,5,FALSE)</f>
        <v>Trsf</v>
      </c>
    </row>
    <row r="2984" spans="1:19" ht="15" customHeight="1" x14ac:dyDescent="0.3">
      <c r="A2984" s="4">
        <v>45470</v>
      </c>
      <c r="B2984" s="5">
        <f t="shared" si="819"/>
        <v>6</v>
      </c>
      <c r="C2984" s="5">
        <f t="shared" si="820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8" t="s">
        <v>1631</v>
      </c>
      <c r="H2984" s="13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13"/>
        <v>45470</v>
      </c>
      <c r="L2984" s="5">
        <f t="shared" si="814"/>
        <v>6</v>
      </c>
      <c r="M2984" s="5">
        <f t="shared" si="815"/>
        <v>2024</v>
      </c>
      <c r="N2984" s="12">
        <v>337.5</v>
      </c>
      <c r="O2984" s="6">
        <f t="shared" ref="O2984:O2987" si="821">-N2984</f>
        <v>-337.5</v>
      </c>
      <c r="P2984" s="12">
        <f t="shared" si="812"/>
        <v>0</v>
      </c>
      <c r="Q2984" s="7">
        <f t="shared" si="817"/>
        <v>4859128.9499999993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19"/>
        <v>6</v>
      </c>
      <c r="C2985" s="5">
        <f t="shared" si="820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8" t="s">
        <v>2643</v>
      </c>
      <c r="H2985" s="13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13"/>
        <v>45470</v>
      </c>
      <c r="L2985" s="5">
        <f t="shared" si="814"/>
        <v>6</v>
      </c>
      <c r="M2985" s="5">
        <f t="shared" si="815"/>
        <v>2024</v>
      </c>
      <c r="N2985" s="12">
        <v>255</v>
      </c>
      <c r="O2985" s="6">
        <f t="shared" si="821"/>
        <v>-255</v>
      </c>
      <c r="P2985" s="12">
        <f t="shared" si="812"/>
        <v>0</v>
      </c>
      <c r="Q2985" s="7">
        <f t="shared" si="817"/>
        <v>4859383.9499999993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19"/>
        <v>6</v>
      </c>
      <c r="C2986" s="5">
        <f t="shared" si="820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8" t="s">
        <v>1062</v>
      </c>
      <c r="H2986" s="13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13"/>
        <v>45470</v>
      </c>
      <c r="L2986" s="5">
        <f t="shared" si="814"/>
        <v>6</v>
      </c>
      <c r="M2986" s="5">
        <f t="shared" si="815"/>
        <v>2024</v>
      </c>
      <c r="N2986" s="12">
        <v>100</v>
      </c>
      <c r="O2986" s="6">
        <f t="shared" si="821"/>
        <v>-100</v>
      </c>
      <c r="P2986" s="12">
        <f t="shared" si="812"/>
        <v>0</v>
      </c>
      <c r="Q2986" s="7">
        <f t="shared" si="817"/>
        <v>4859483.9499999993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19"/>
        <v>6</v>
      </c>
      <c r="C2987" s="5">
        <f t="shared" si="820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8" t="s">
        <v>2722</v>
      </c>
      <c r="H2987" s="13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13"/>
        <v>45470</v>
      </c>
      <c r="L2987" s="5">
        <f t="shared" si="814"/>
        <v>6</v>
      </c>
      <c r="M2987" s="5">
        <f t="shared" si="815"/>
        <v>2024</v>
      </c>
      <c r="N2987" s="12">
        <v>62.5</v>
      </c>
      <c r="O2987" s="6">
        <f t="shared" si="821"/>
        <v>-62.5</v>
      </c>
      <c r="P2987" s="12">
        <f t="shared" si="812"/>
        <v>0</v>
      </c>
      <c r="Q2987" s="7">
        <f t="shared" si="817"/>
        <v>4859546.4499999993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19"/>
        <v>6</v>
      </c>
      <c r="C2988" s="5">
        <f t="shared" si="820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8" t="s">
        <v>2722</v>
      </c>
      <c r="H2988" s="13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13"/>
        <v>45471</v>
      </c>
      <c r="L2988" s="5">
        <f t="shared" si="814"/>
        <v>6</v>
      </c>
      <c r="M2988" s="5">
        <f t="shared" si="815"/>
        <v>2024</v>
      </c>
      <c r="N2988" s="12">
        <v>937.5</v>
      </c>
      <c r="O2988" s="12"/>
      <c r="P2988" s="12">
        <f t="shared" si="812"/>
        <v>937.5</v>
      </c>
      <c r="Q2988" s="7">
        <f t="shared" si="817"/>
        <v>4860483.9499999993</v>
      </c>
      <c r="R2988" s="44" t="str">
        <f>VLOOKUP(F2988,'Set up'!$A$2:$E$55,5,FALSE)</f>
        <v>Trsf</v>
      </c>
    </row>
    <row r="2989" spans="1:19" ht="15" customHeight="1" x14ac:dyDescent="0.3">
      <c r="A2989" s="4">
        <v>45471</v>
      </c>
      <c r="B2989" s="5">
        <f t="shared" si="819"/>
        <v>6</v>
      </c>
      <c r="C2989" s="5">
        <f t="shared" si="820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8" t="s">
        <v>2625</v>
      </c>
      <c r="H2989" s="13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13"/>
        <v>45471</v>
      </c>
      <c r="L2989" s="5">
        <f t="shared" si="814"/>
        <v>6</v>
      </c>
      <c r="M2989" s="5">
        <f t="shared" si="815"/>
        <v>2024</v>
      </c>
      <c r="N2989" s="12">
        <v>24420</v>
      </c>
      <c r="O2989" s="12"/>
      <c r="P2989" s="12">
        <f t="shared" si="812"/>
        <v>24420</v>
      </c>
      <c r="Q2989" s="7">
        <f t="shared" si="817"/>
        <v>4884903.9499999993</v>
      </c>
      <c r="R2989" s="44" t="str">
        <f>VLOOKUP(F2989,'Set up'!$A$2:$E$55,5,FALSE)</f>
        <v>Trsf</v>
      </c>
    </row>
    <row r="2990" spans="1:19" ht="15" customHeight="1" x14ac:dyDescent="0.3">
      <c r="A2990" s="4">
        <v>45471</v>
      </c>
      <c r="B2990" s="5">
        <f t="shared" si="819"/>
        <v>6</v>
      </c>
      <c r="C2990" s="5">
        <f t="shared" si="820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8" t="s">
        <v>2443</v>
      </c>
      <c r="H2990" s="13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13"/>
        <v>45471</v>
      </c>
      <c r="L2990" s="5">
        <f t="shared" si="814"/>
        <v>6</v>
      </c>
      <c r="M2990" s="5">
        <f t="shared" si="815"/>
        <v>2024</v>
      </c>
      <c r="N2990" s="12">
        <v>10156.5</v>
      </c>
      <c r="O2990" s="12"/>
      <c r="P2990" s="12">
        <f t="shared" si="812"/>
        <v>10156.5</v>
      </c>
      <c r="Q2990" s="7">
        <f t="shared" si="817"/>
        <v>4895060.4499999993</v>
      </c>
      <c r="R2990" s="44" t="str">
        <f>VLOOKUP(F2990,'Set up'!$A$2:$E$55,5,FALSE)</f>
        <v>Trsf</v>
      </c>
    </row>
    <row r="2991" spans="1:19" ht="15" customHeight="1" x14ac:dyDescent="0.3">
      <c r="A2991" s="4">
        <v>45471</v>
      </c>
      <c r="B2991" s="5">
        <f t="shared" si="819"/>
        <v>6</v>
      </c>
      <c r="C2991" s="5">
        <f t="shared" si="820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8" t="s">
        <v>1923</v>
      </c>
      <c r="H2991" s="13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13"/>
        <v>45471</v>
      </c>
      <c r="L2991" s="5">
        <f t="shared" si="814"/>
        <v>6</v>
      </c>
      <c r="M2991" s="5">
        <f t="shared" si="815"/>
        <v>2024</v>
      </c>
      <c r="N2991" s="12">
        <v>702</v>
      </c>
      <c r="O2991" s="12"/>
      <c r="P2991" s="12">
        <f t="shared" si="812"/>
        <v>702</v>
      </c>
      <c r="Q2991" s="7">
        <f t="shared" si="817"/>
        <v>4895762.4499999993</v>
      </c>
      <c r="R2991" s="44" t="str">
        <f>VLOOKUP(F2991,'Set up'!$A$2:$E$55,5,FALSE)</f>
        <v>Trsf</v>
      </c>
    </row>
    <row r="2992" spans="1:19" ht="15" customHeight="1" x14ac:dyDescent="0.3">
      <c r="A2992" s="4">
        <v>45471</v>
      </c>
      <c r="B2992" s="5">
        <f t="shared" si="819"/>
        <v>6</v>
      </c>
      <c r="C2992" s="5">
        <f t="shared" si="820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8" t="s">
        <v>656</v>
      </c>
      <c r="H2992" s="13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13"/>
        <v>45471</v>
      </c>
      <c r="L2992" s="5">
        <f t="shared" si="814"/>
        <v>6</v>
      </c>
      <c r="M2992" s="5">
        <f t="shared" si="815"/>
        <v>2024</v>
      </c>
      <c r="N2992" s="12">
        <v>3740</v>
      </c>
      <c r="O2992" s="12"/>
      <c r="P2992" s="12">
        <f t="shared" ref="P2992:P3055" si="822">SUM(N2992+O2992)</f>
        <v>3740</v>
      </c>
      <c r="Q2992" s="7">
        <f t="shared" si="817"/>
        <v>4899502.4499999993</v>
      </c>
      <c r="R2992" s="44" t="str">
        <f>VLOOKUP(F2992,'Set up'!$A$2:$E$55,5,FALSE)</f>
        <v>Trsf</v>
      </c>
    </row>
    <row r="2993" spans="1:18" ht="15" customHeight="1" x14ac:dyDescent="0.3">
      <c r="A2993" s="4">
        <v>45471</v>
      </c>
      <c r="B2993" s="5">
        <f t="shared" si="819"/>
        <v>6</v>
      </c>
      <c r="C2993" s="5">
        <f t="shared" si="820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8" t="s">
        <v>1062</v>
      </c>
      <c r="H2993" s="13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13"/>
        <v>45471</v>
      </c>
      <c r="L2993" s="5">
        <f t="shared" si="814"/>
        <v>6</v>
      </c>
      <c r="M2993" s="5">
        <f t="shared" si="815"/>
        <v>2024</v>
      </c>
      <c r="N2993" s="12">
        <v>760</v>
      </c>
      <c r="O2993" s="12"/>
      <c r="P2993" s="12">
        <f t="shared" si="822"/>
        <v>760</v>
      </c>
      <c r="Q2993" s="7">
        <f t="shared" si="817"/>
        <v>4900262.4499999993</v>
      </c>
      <c r="R2993" s="44" t="str">
        <f>VLOOKUP(F2993,'Set up'!$A$2:$E$55,5,FALSE)</f>
        <v>Trsf</v>
      </c>
    </row>
    <row r="2994" spans="1:18" ht="15" customHeight="1" x14ac:dyDescent="0.3">
      <c r="A2994" s="4">
        <v>45471</v>
      </c>
      <c r="B2994" s="5">
        <f t="shared" si="819"/>
        <v>6</v>
      </c>
      <c r="C2994" s="5">
        <f t="shared" si="820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8" t="s">
        <v>1074</v>
      </c>
      <c r="H2994" s="13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13"/>
        <v>45471</v>
      </c>
      <c r="L2994" s="5">
        <f t="shared" si="814"/>
        <v>6</v>
      </c>
      <c r="M2994" s="5">
        <f t="shared" si="815"/>
        <v>2024</v>
      </c>
      <c r="N2994" s="12">
        <v>2000</v>
      </c>
      <c r="O2994" s="12"/>
      <c r="P2994" s="12">
        <f t="shared" si="822"/>
        <v>2000</v>
      </c>
      <c r="Q2994" s="7">
        <f t="shared" si="817"/>
        <v>4902262.4499999993</v>
      </c>
      <c r="R2994" s="44" t="str">
        <f>VLOOKUP(F2994,'Set up'!$A$2:$E$55,5,FALSE)</f>
        <v>Trsf</v>
      </c>
    </row>
    <row r="2995" spans="1:18" ht="15" customHeight="1" x14ac:dyDescent="0.3">
      <c r="A2995" s="4">
        <v>45475</v>
      </c>
      <c r="B2995" s="5">
        <f t="shared" ref="B2995:B3058" si="823">MONTH(A2995)</f>
        <v>7</v>
      </c>
      <c r="C2995" s="5">
        <f t="shared" ref="C2995:C3058" si="824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8" t="s">
        <v>2817</v>
      </c>
      <c r="H2995" s="13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25">A2995+J2995</f>
        <v>45475</v>
      </c>
      <c r="L2995" s="5">
        <f t="shared" ref="L2995:L3058" si="826">MONTH(K2995)</f>
        <v>7</v>
      </c>
      <c r="M2995" s="5">
        <f t="shared" ref="M2995:M3058" si="827">YEAR(K2995)</f>
        <v>2024</v>
      </c>
      <c r="N2995" s="12">
        <v>337.5</v>
      </c>
      <c r="O2995" s="12"/>
      <c r="P2995" s="12">
        <f t="shared" si="822"/>
        <v>337.5</v>
      </c>
      <c r="Q2995" s="7">
        <f t="shared" si="817"/>
        <v>4902599.9499999993</v>
      </c>
      <c r="R2995" s="44" t="str">
        <f>VLOOKUP(F2995,'Set up'!$A$2:$E$55,5,FALSE)</f>
        <v>Cash</v>
      </c>
    </row>
    <row r="2996" spans="1:18" ht="15" customHeight="1" x14ac:dyDescent="0.3">
      <c r="A2996" s="4">
        <v>45475</v>
      </c>
      <c r="B2996" s="5">
        <f t="shared" si="823"/>
        <v>7</v>
      </c>
      <c r="C2996" s="5">
        <f t="shared" si="824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8" t="s">
        <v>2643</v>
      </c>
      <c r="H2996" s="13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25"/>
        <v>45475</v>
      </c>
      <c r="L2996" s="5">
        <f t="shared" si="826"/>
        <v>7</v>
      </c>
      <c r="M2996" s="5">
        <f t="shared" si="827"/>
        <v>2024</v>
      </c>
      <c r="N2996" s="12">
        <v>255</v>
      </c>
      <c r="O2996" s="12"/>
      <c r="P2996" s="12">
        <f t="shared" si="822"/>
        <v>255</v>
      </c>
      <c r="Q2996" s="7">
        <f t="shared" si="817"/>
        <v>4902854.9499999993</v>
      </c>
      <c r="R2996" s="44" t="str">
        <f>VLOOKUP(F2996,'Set up'!$A$2:$E$55,5,FALSE)</f>
        <v>Cash</v>
      </c>
    </row>
    <row r="2997" spans="1:18" ht="15" customHeight="1" x14ac:dyDescent="0.3">
      <c r="A2997" s="4">
        <v>45475</v>
      </c>
      <c r="B2997" s="5">
        <f t="shared" si="823"/>
        <v>7</v>
      </c>
      <c r="C2997" s="5">
        <f t="shared" si="824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8" t="s">
        <v>46</v>
      </c>
      <c r="H2997" s="13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25"/>
        <v>45475</v>
      </c>
      <c r="L2997" s="5">
        <f t="shared" si="826"/>
        <v>7</v>
      </c>
      <c r="M2997" s="5">
        <f t="shared" si="827"/>
        <v>2024</v>
      </c>
      <c r="N2997" s="12">
        <v>115</v>
      </c>
      <c r="O2997" s="12"/>
      <c r="P2997" s="12">
        <f t="shared" si="822"/>
        <v>115</v>
      </c>
      <c r="Q2997" s="7">
        <f t="shared" si="817"/>
        <v>4902969.9499999993</v>
      </c>
      <c r="R2997" s="44" t="str">
        <f>VLOOKUP(F2997,'Set up'!$A$2:$E$55,5,FALSE)</f>
        <v>Cash</v>
      </c>
    </row>
    <row r="2998" spans="1:18" ht="15" customHeight="1" x14ac:dyDescent="0.3">
      <c r="A2998" s="4">
        <v>45475</v>
      </c>
      <c r="B2998" s="5">
        <f t="shared" si="823"/>
        <v>7</v>
      </c>
      <c r="C2998" s="5">
        <f t="shared" si="824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8" t="s">
        <v>1406</v>
      </c>
      <c r="H2998" s="13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25"/>
        <v>45475</v>
      </c>
      <c r="L2998" s="5">
        <f t="shared" si="826"/>
        <v>7</v>
      </c>
      <c r="M2998" s="5">
        <f t="shared" si="827"/>
        <v>2024</v>
      </c>
      <c r="N2998" s="12">
        <v>49</v>
      </c>
      <c r="O2998" s="12"/>
      <c r="P2998" s="12">
        <f t="shared" si="822"/>
        <v>49</v>
      </c>
      <c r="Q2998" s="7">
        <f t="shared" si="817"/>
        <v>4903018.9499999993</v>
      </c>
      <c r="R2998" s="44" t="str">
        <f>VLOOKUP(F2998,'Set up'!$A$2:$E$55,5,FALSE)</f>
        <v>Cash</v>
      </c>
    </row>
    <row r="2999" spans="1:18" ht="15" customHeight="1" x14ac:dyDescent="0.3">
      <c r="A2999" s="4">
        <v>45475</v>
      </c>
      <c r="B2999" s="5">
        <f t="shared" si="823"/>
        <v>7</v>
      </c>
      <c r="C2999" s="5">
        <f t="shared" si="824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8" t="s">
        <v>2128</v>
      </c>
      <c r="H2999" s="13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25"/>
        <v>45475</v>
      </c>
      <c r="L2999" s="5">
        <f t="shared" si="826"/>
        <v>7</v>
      </c>
      <c r="M2999" s="5">
        <f t="shared" si="827"/>
        <v>2024</v>
      </c>
      <c r="N2999" s="12">
        <v>297</v>
      </c>
      <c r="O2999" s="12"/>
      <c r="P2999" s="12">
        <f t="shared" si="822"/>
        <v>297</v>
      </c>
      <c r="Q2999" s="7">
        <f t="shared" si="817"/>
        <v>4903315.9499999993</v>
      </c>
      <c r="R2999" s="44" t="str">
        <f>VLOOKUP(F2999,'Set up'!$A$2:$E$55,5,FALSE)</f>
        <v>Cash</v>
      </c>
    </row>
    <row r="3000" spans="1:18" ht="15" customHeight="1" x14ac:dyDescent="0.3">
      <c r="A3000" s="4">
        <v>45475</v>
      </c>
      <c r="B3000" s="5">
        <f t="shared" si="823"/>
        <v>7</v>
      </c>
      <c r="C3000" s="5">
        <f t="shared" si="824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8" t="s">
        <v>2728</v>
      </c>
      <c r="H3000" s="13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25"/>
        <v>45475</v>
      </c>
      <c r="L3000" s="5">
        <f t="shared" si="826"/>
        <v>7</v>
      </c>
      <c r="M3000" s="5">
        <f t="shared" si="827"/>
        <v>2024</v>
      </c>
      <c r="N3000" s="12">
        <v>48</v>
      </c>
      <c r="O3000" s="12"/>
      <c r="P3000" s="12">
        <f t="shared" si="822"/>
        <v>48</v>
      </c>
      <c r="Q3000" s="7">
        <f t="shared" si="817"/>
        <v>4903363.9499999993</v>
      </c>
      <c r="R3000" s="44" t="str">
        <f>VLOOKUP(F3000,'Set up'!$A$2:$E$55,5,FALSE)</f>
        <v>Cash</v>
      </c>
    </row>
    <row r="3001" spans="1:18" ht="15" customHeight="1" x14ac:dyDescent="0.3">
      <c r="A3001" s="4">
        <v>45475</v>
      </c>
      <c r="B3001" s="5">
        <f t="shared" si="823"/>
        <v>7</v>
      </c>
      <c r="C3001" s="5">
        <f t="shared" si="824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8" t="s">
        <v>2818</v>
      </c>
      <c r="H3001" s="13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25"/>
        <v>45475</v>
      </c>
      <c r="L3001" s="5">
        <f t="shared" si="826"/>
        <v>7</v>
      </c>
      <c r="M3001" s="5">
        <f t="shared" si="827"/>
        <v>2024</v>
      </c>
      <c r="N3001" s="12">
        <v>30</v>
      </c>
      <c r="O3001" s="12"/>
      <c r="P3001" s="12">
        <f t="shared" si="822"/>
        <v>30</v>
      </c>
      <c r="Q3001" s="7">
        <f t="shared" si="817"/>
        <v>4903393.9499999993</v>
      </c>
      <c r="R3001" s="44" t="str">
        <f>VLOOKUP(F3001,'Set up'!$A$2:$E$55,5,FALSE)</f>
        <v>Cash</v>
      </c>
    </row>
    <row r="3002" spans="1:18" ht="15" customHeight="1" x14ac:dyDescent="0.3">
      <c r="A3002" s="4">
        <v>45475</v>
      </c>
      <c r="B3002" s="5">
        <f t="shared" si="823"/>
        <v>7</v>
      </c>
      <c r="C3002" s="5">
        <f t="shared" si="824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8" t="s">
        <v>2207</v>
      </c>
      <c r="H3002" s="13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25"/>
        <v>45595</v>
      </c>
      <c r="L3002" s="5">
        <f t="shared" si="826"/>
        <v>10</v>
      </c>
      <c r="M3002" s="5">
        <f t="shared" si="827"/>
        <v>2024</v>
      </c>
      <c r="N3002" s="12">
        <v>160</v>
      </c>
      <c r="O3002" s="12"/>
      <c r="P3002" s="12">
        <f t="shared" si="822"/>
        <v>160</v>
      </c>
      <c r="Q3002" s="7">
        <f t="shared" si="817"/>
        <v>4903553.9499999993</v>
      </c>
      <c r="R3002" s="44" t="str">
        <f>VLOOKUP(F3002,'Set up'!$A$2:$E$55,5,FALSE)</f>
        <v>Trsf</v>
      </c>
    </row>
    <row r="3003" spans="1:18" ht="15" customHeight="1" x14ac:dyDescent="0.3">
      <c r="A3003" s="4">
        <v>45475</v>
      </c>
      <c r="B3003" s="5">
        <f t="shared" si="823"/>
        <v>7</v>
      </c>
      <c r="C3003" s="5">
        <f t="shared" si="824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8" t="s">
        <v>2819</v>
      </c>
      <c r="H3003" s="13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25"/>
        <v>45595</v>
      </c>
      <c r="L3003" s="5">
        <f t="shared" si="826"/>
        <v>10</v>
      </c>
      <c r="M3003" s="5">
        <f t="shared" si="827"/>
        <v>2024</v>
      </c>
      <c r="N3003" s="12">
        <v>260</v>
      </c>
      <c r="O3003" s="12"/>
      <c r="P3003" s="12">
        <f t="shared" si="822"/>
        <v>260</v>
      </c>
      <c r="Q3003" s="7">
        <f t="shared" si="817"/>
        <v>4903813.9499999993</v>
      </c>
      <c r="R3003" s="44" t="str">
        <f>VLOOKUP(F3003,'Set up'!$A$2:$E$55,5,FALSE)</f>
        <v>Trsf</v>
      </c>
    </row>
    <row r="3004" spans="1:18" ht="15" customHeight="1" x14ac:dyDescent="0.3">
      <c r="A3004" s="4">
        <v>45475</v>
      </c>
      <c r="B3004" s="5">
        <f t="shared" si="823"/>
        <v>7</v>
      </c>
      <c r="C3004" s="5">
        <f t="shared" si="824"/>
        <v>2024</v>
      </c>
      <c r="D3004" s="5" t="s">
        <v>2831</v>
      </c>
      <c r="E3004" s="5" t="str">
        <f>VLOOKUP(F3004,'Set up'!$A$2:$C$55,2,FALSE)</f>
        <v>C00000044</v>
      </c>
      <c r="F3004" s="1" t="s">
        <v>2959</v>
      </c>
      <c r="G3004" s="98" t="s">
        <v>2820</v>
      </c>
      <c r="H3004" s="13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25"/>
        <v>45475</v>
      </c>
      <c r="L3004" s="5">
        <f t="shared" si="826"/>
        <v>7</v>
      </c>
      <c r="M3004" s="5">
        <f t="shared" si="827"/>
        <v>2024</v>
      </c>
      <c r="N3004" s="12">
        <v>534</v>
      </c>
      <c r="O3004" s="12"/>
      <c r="P3004" s="12">
        <f t="shared" si="822"/>
        <v>534</v>
      </c>
      <c r="Q3004" s="7">
        <f t="shared" si="817"/>
        <v>4904347.9499999993</v>
      </c>
      <c r="R3004" s="44" t="str">
        <f>VLOOKUP(F3004,'Set up'!$A$2:$E$55,5,FALSE)</f>
        <v>Cash</v>
      </c>
    </row>
    <row r="3005" spans="1:18" ht="15" customHeight="1" x14ac:dyDescent="0.3">
      <c r="A3005" s="4">
        <v>45475</v>
      </c>
      <c r="B3005" s="5">
        <f t="shared" si="823"/>
        <v>7</v>
      </c>
      <c r="C3005" s="5">
        <f t="shared" si="824"/>
        <v>2024</v>
      </c>
      <c r="D3005" s="5" t="s">
        <v>2831</v>
      </c>
      <c r="E3005" s="5" t="str">
        <f>VLOOKUP(F3005,'Set up'!$A$2:$C$55,2,FALSE)</f>
        <v>C00000044</v>
      </c>
      <c r="F3005" s="1" t="s">
        <v>2959</v>
      </c>
      <c r="G3005" s="98" t="s">
        <v>1352</v>
      </c>
      <c r="H3005" s="13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25"/>
        <v>45475</v>
      </c>
      <c r="L3005" s="5">
        <f t="shared" si="826"/>
        <v>7</v>
      </c>
      <c r="M3005" s="5">
        <f t="shared" si="827"/>
        <v>2024</v>
      </c>
      <c r="N3005" s="12">
        <v>552</v>
      </c>
      <c r="O3005" s="12"/>
      <c r="P3005" s="12">
        <f t="shared" si="822"/>
        <v>552</v>
      </c>
      <c r="Q3005" s="7">
        <f t="shared" si="817"/>
        <v>4904899.9499999993</v>
      </c>
      <c r="R3005" s="44" t="str">
        <f>VLOOKUP(F3005,'Set up'!$A$2:$E$55,5,FALSE)</f>
        <v>Cash</v>
      </c>
    </row>
    <row r="3006" spans="1:18" ht="15" customHeight="1" x14ac:dyDescent="0.3">
      <c r="A3006" s="4">
        <v>45475</v>
      </c>
      <c r="B3006" s="5">
        <f t="shared" si="823"/>
        <v>7</v>
      </c>
      <c r="C3006" s="5">
        <f t="shared" si="824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8" t="s">
        <v>95</v>
      </c>
      <c r="H3006" s="13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25"/>
        <v>45475</v>
      </c>
      <c r="L3006" s="5">
        <f t="shared" si="826"/>
        <v>7</v>
      </c>
      <c r="M3006" s="5">
        <f t="shared" si="827"/>
        <v>2024</v>
      </c>
      <c r="N3006" s="12">
        <v>7040</v>
      </c>
      <c r="O3006" s="12"/>
      <c r="P3006" s="12">
        <f t="shared" si="822"/>
        <v>7040</v>
      </c>
      <c r="Q3006" s="7">
        <f t="shared" si="817"/>
        <v>4911939.9499999993</v>
      </c>
      <c r="R3006" s="44" t="str">
        <f>VLOOKUP(F3006,'Set up'!$A$2:$E$55,5,FALSE)</f>
        <v>Trsf</v>
      </c>
    </row>
    <row r="3007" spans="1:18" ht="15" customHeight="1" x14ac:dyDescent="0.3">
      <c r="A3007" s="4">
        <v>45475</v>
      </c>
      <c r="B3007" s="5">
        <f t="shared" si="823"/>
        <v>7</v>
      </c>
      <c r="C3007" s="5">
        <f t="shared" si="824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8" t="s">
        <v>1745</v>
      </c>
      <c r="H3007" s="13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25"/>
        <v>45475</v>
      </c>
      <c r="L3007" s="5">
        <f t="shared" si="826"/>
        <v>7</v>
      </c>
      <c r="M3007" s="5">
        <f t="shared" si="827"/>
        <v>2024</v>
      </c>
      <c r="N3007" s="12">
        <v>1108.4000000000001</v>
      </c>
      <c r="O3007" s="12"/>
      <c r="P3007" s="12">
        <f t="shared" si="822"/>
        <v>1108.4000000000001</v>
      </c>
      <c r="Q3007" s="7">
        <f t="shared" si="817"/>
        <v>4913048.3499999996</v>
      </c>
      <c r="R3007" s="44" t="str">
        <f>VLOOKUP(F3007,'Set up'!$A$2:$E$55,5,FALSE)</f>
        <v>Trsf</v>
      </c>
    </row>
    <row r="3008" spans="1:18" ht="15" customHeight="1" x14ac:dyDescent="0.3">
      <c r="A3008" s="4">
        <v>45475</v>
      </c>
      <c r="B3008" s="5">
        <f t="shared" si="823"/>
        <v>7</v>
      </c>
      <c r="C3008" s="5">
        <f t="shared" si="824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8" t="s">
        <v>1400</v>
      </c>
      <c r="H3008" s="13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25"/>
        <v>45475</v>
      </c>
      <c r="L3008" s="5">
        <f t="shared" si="826"/>
        <v>7</v>
      </c>
      <c r="M3008" s="5">
        <f t="shared" si="827"/>
        <v>2024</v>
      </c>
      <c r="N3008" s="12">
        <v>320</v>
      </c>
      <c r="O3008" s="12"/>
      <c r="P3008" s="12">
        <f t="shared" si="822"/>
        <v>320</v>
      </c>
      <c r="Q3008" s="7">
        <f t="shared" si="817"/>
        <v>4913368.3499999996</v>
      </c>
      <c r="R3008" s="44" t="str">
        <f>VLOOKUP(F3008,'Set up'!$A$2:$E$55,5,FALSE)</f>
        <v>Trsf</v>
      </c>
    </row>
    <row r="3009" spans="1:18" ht="15" customHeight="1" x14ac:dyDescent="0.3">
      <c r="A3009" s="4">
        <v>45475</v>
      </c>
      <c r="B3009" s="5">
        <f t="shared" si="823"/>
        <v>7</v>
      </c>
      <c r="C3009" s="5">
        <f t="shared" si="824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8" t="s">
        <v>950</v>
      </c>
      <c r="H3009" s="13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25"/>
        <v>45475</v>
      </c>
      <c r="L3009" s="5">
        <f t="shared" si="826"/>
        <v>7</v>
      </c>
      <c r="M3009" s="5">
        <f t="shared" si="827"/>
        <v>2024</v>
      </c>
      <c r="N3009" s="12">
        <v>360</v>
      </c>
      <c r="O3009" s="12"/>
      <c r="P3009" s="12">
        <f t="shared" si="822"/>
        <v>360</v>
      </c>
      <c r="Q3009" s="7">
        <f t="shared" si="817"/>
        <v>4913728.3499999996</v>
      </c>
      <c r="R3009" s="44" t="str">
        <f>VLOOKUP(F3009,'Set up'!$A$2:$E$55,5,FALSE)</f>
        <v>Trsf</v>
      </c>
    </row>
    <row r="3010" spans="1:18" ht="15" customHeight="1" x14ac:dyDescent="0.3">
      <c r="A3010" s="4">
        <v>45475</v>
      </c>
      <c r="B3010" s="5">
        <f t="shared" si="823"/>
        <v>7</v>
      </c>
      <c r="C3010" s="5">
        <f t="shared" si="824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8" t="s">
        <v>1062</v>
      </c>
      <c r="H3010" s="13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25"/>
        <v>45475</v>
      </c>
      <c r="L3010" s="5">
        <f t="shared" si="826"/>
        <v>7</v>
      </c>
      <c r="M3010" s="5">
        <f t="shared" si="827"/>
        <v>2024</v>
      </c>
      <c r="N3010" s="12">
        <v>190</v>
      </c>
      <c r="O3010" s="12"/>
      <c r="P3010" s="12">
        <f t="shared" si="822"/>
        <v>190</v>
      </c>
      <c r="Q3010" s="7">
        <f t="shared" si="817"/>
        <v>4913918.3499999996</v>
      </c>
      <c r="R3010" s="44" t="str">
        <f>VLOOKUP(F3010,'Set up'!$A$2:$E$55,5,FALSE)</f>
        <v>Trsf</v>
      </c>
    </row>
    <row r="3011" spans="1:18" ht="15" customHeight="1" x14ac:dyDescent="0.3">
      <c r="A3011" s="4">
        <v>45475</v>
      </c>
      <c r="B3011" s="5">
        <f t="shared" si="823"/>
        <v>7</v>
      </c>
      <c r="C3011" s="5">
        <f t="shared" si="824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8" t="s">
        <v>2215</v>
      </c>
      <c r="H3011" s="13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25"/>
        <v>45475</v>
      </c>
      <c r="L3011" s="5">
        <f t="shared" si="826"/>
        <v>7</v>
      </c>
      <c r="M3011" s="5">
        <f t="shared" si="827"/>
        <v>2024</v>
      </c>
      <c r="N3011" s="12">
        <v>563.20000000000005</v>
      </c>
      <c r="O3011" s="12"/>
      <c r="P3011" s="12">
        <f t="shared" si="822"/>
        <v>563.20000000000005</v>
      </c>
      <c r="Q3011" s="7">
        <f t="shared" si="817"/>
        <v>4914481.55</v>
      </c>
      <c r="R3011" s="44" t="str">
        <f>VLOOKUP(F3011,'Set up'!$A$2:$E$55,5,FALSE)</f>
        <v>Trsf</v>
      </c>
    </row>
    <row r="3012" spans="1:18" ht="15" customHeight="1" x14ac:dyDescent="0.3">
      <c r="A3012" s="4">
        <v>45475</v>
      </c>
      <c r="B3012" s="5">
        <f t="shared" si="823"/>
        <v>7</v>
      </c>
      <c r="C3012" s="5">
        <f t="shared" si="824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8" t="s">
        <v>894</v>
      </c>
      <c r="H3012" s="13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25"/>
        <v>45475</v>
      </c>
      <c r="L3012" s="5">
        <f t="shared" si="826"/>
        <v>7</v>
      </c>
      <c r="M3012" s="5">
        <f t="shared" si="827"/>
        <v>2024</v>
      </c>
      <c r="N3012" s="12">
        <v>1684.8</v>
      </c>
      <c r="O3012" s="12"/>
      <c r="P3012" s="12">
        <f t="shared" si="822"/>
        <v>1684.8</v>
      </c>
      <c r="Q3012" s="7">
        <f t="shared" si="817"/>
        <v>4916166.3499999996</v>
      </c>
      <c r="R3012" s="44" t="str">
        <f>VLOOKUP(F3012,'Set up'!$A$2:$E$55,5,FALSE)</f>
        <v>Trsf</v>
      </c>
    </row>
    <row r="3013" spans="1:18" ht="15" customHeight="1" x14ac:dyDescent="0.3">
      <c r="A3013" s="4">
        <v>45475</v>
      </c>
      <c r="B3013" s="5">
        <f t="shared" si="823"/>
        <v>7</v>
      </c>
      <c r="C3013" s="5">
        <f t="shared" si="824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8" t="s">
        <v>2722</v>
      </c>
      <c r="H3013" s="13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25"/>
        <v>45520</v>
      </c>
      <c r="L3013" s="5">
        <f t="shared" si="826"/>
        <v>8</v>
      </c>
      <c r="M3013" s="5">
        <f t="shared" si="827"/>
        <v>2024</v>
      </c>
      <c r="N3013" s="12">
        <v>130</v>
      </c>
      <c r="O3013" s="12"/>
      <c r="P3013" s="12">
        <f t="shared" si="822"/>
        <v>130</v>
      </c>
      <c r="Q3013" s="7">
        <f t="shared" si="817"/>
        <v>4916296.3499999996</v>
      </c>
      <c r="R3013" s="44" t="str">
        <f>VLOOKUP(F3013,'Set up'!$A$2:$E$55,5,FALSE)</f>
        <v>PD Chq</v>
      </c>
    </row>
    <row r="3014" spans="1:18" ht="15" customHeight="1" x14ac:dyDescent="0.3">
      <c r="A3014" s="4">
        <v>45476</v>
      </c>
      <c r="B3014" s="5">
        <f t="shared" si="823"/>
        <v>7</v>
      </c>
      <c r="C3014" s="5">
        <f t="shared" si="824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8" t="s">
        <v>2821</v>
      </c>
      <c r="H3014" s="13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25"/>
        <v>45476</v>
      </c>
      <c r="L3014" s="5">
        <f t="shared" si="826"/>
        <v>7</v>
      </c>
      <c r="M3014" s="5">
        <f t="shared" si="827"/>
        <v>2024</v>
      </c>
      <c r="N3014" s="12">
        <v>200</v>
      </c>
      <c r="O3014" s="12"/>
      <c r="P3014" s="12">
        <f t="shared" si="822"/>
        <v>200</v>
      </c>
      <c r="Q3014" s="7">
        <f t="shared" si="817"/>
        <v>4916496.3499999996</v>
      </c>
      <c r="R3014" s="44" t="str">
        <f>VLOOKUP(F3014,'Set up'!$A$2:$E$55,5,FALSE)</f>
        <v>Cash</v>
      </c>
    </row>
    <row r="3015" spans="1:18" ht="15" customHeight="1" x14ac:dyDescent="0.3">
      <c r="A3015" s="4">
        <v>45476</v>
      </c>
      <c r="B3015" s="5">
        <f t="shared" si="823"/>
        <v>7</v>
      </c>
      <c r="C3015" s="5">
        <f t="shared" si="824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8" t="s">
        <v>1909</v>
      </c>
      <c r="H3015" s="13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25"/>
        <v>45476</v>
      </c>
      <c r="L3015" s="5">
        <f t="shared" si="826"/>
        <v>7</v>
      </c>
      <c r="M3015" s="5">
        <f t="shared" si="827"/>
        <v>2024</v>
      </c>
      <c r="N3015" s="12">
        <v>175</v>
      </c>
      <c r="O3015" s="12"/>
      <c r="P3015" s="12">
        <f t="shared" si="822"/>
        <v>175</v>
      </c>
      <c r="Q3015" s="7">
        <f t="shared" si="817"/>
        <v>4916671.3499999996</v>
      </c>
      <c r="R3015" s="44" t="str">
        <f>VLOOKUP(F3015,'Set up'!$A$2:$E$55,5,FALSE)</f>
        <v>Cash</v>
      </c>
    </row>
    <row r="3016" spans="1:18" ht="15" customHeight="1" x14ac:dyDescent="0.3">
      <c r="A3016" s="4">
        <v>45477</v>
      </c>
      <c r="B3016" s="5">
        <f t="shared" si="823"/>
        <v>7</v>
      </c>
      <c r="C3016" s="5">
        <f t="shared" si="824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8" t="s">
        <v>95</v>
      </c>
      <c r="H3016" s="13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25"/>
        <v>45477</v>
      </c>
      <c r="L3016" s="5">
        <f t="shared" si="826"/>
        <v>7</v>
      </c>
      <c r="M3016" s="5">
        <f t="shared" si="827"/>
        <v>2024</v>
      </c>
      <c r="N3016" s="12">
        <v>1738</v>
      </c>
      <c r="O3016" s="12"/>
      <c r="P3016" s="12">
        <f t="shared" si="822"/>
        <v>1738</v>
      </c>
      <c r="Q3016" s="7">
        <f t="shared" si="817"/>
        <v>4918409.3499999996</v>
      </c>
      <c r="R3016" s="44" t="str">
        <f>VLOOKUP(F3016,'Set up'!$A$2:$E$55,5,FALSE)</f>
        <v>Chq</v>
      </c>
    </row>
    <row r="3017" spans="1:18" ht="15" customHeight="1" x14ac:dyDescent="0.3">
      <c r="A3017" s="4">
        <v>45477</v>
      </c>
      <c r="B3017" s="5">
        <f t="shared" si="823"/>
        <v>7</v>
      </c>
      <c r="C3017" s="5">
        <f t="shared" si="824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8" t="s">
        <v>2443</v>
      </c>
      <c r="H3017" s="13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25"/>
        <v>45477</v>
      </c>
      <c r="L3017" s="5">
        <f t="shared" si="826"/>
        <v>7</v>
      </c>
      <c r="M3017" s="5">
        <f t="shared" si="827"/>
        <v>2024</v>
      </c>
      <c r="N3017" s="12">
        <v>555</v>
      </c>
      <c r="O3017" s="12"/>
      <c r="P3017" s="12">
        <f t="shared" si="822"/>
        <v>555</v>
      </c>
      <c r="Q3017" s="7">
        <f t="shared" si="817"/>
        <v>4918964.3499999996</v>
      </c>
      <c r="R3017" s="44" t="str">
        <f>VLOOKUP(F3017,'Set up'!$A$2:$E$55,5,FALSE)</f>
        <v>Chq</v>
      </c>
    </row>
    <row r="3018" spans="1:18" ht="15" customHeight="1" x14ac:dyDescent="0.3">
      <c r="A3018" s="4">
        <v>45477</v>
      </c>
      <c r="B3018" s="5">
        <f t="shared" si="823"/>
        <v>7</v>
      </c>
      <c r="C3018" s="5">
        <f t="shared" si="824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8" t="s">
        <v>640</v>
      </c>
      <c r="H3018" s="13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25"/>
        <v>45477</v>
      </c>
      <c r="L3018" s="5">
        <f t="shared" si="826"/>
        <v>7</v>
      </c>
      <c r="M3018" s="5">
        <f t="shared" si="827"/>
        <v>2024</v>
      </c>
      <c r="N3018" s="12">
        <v>322.5</v>
      </c>
      <c r="O3018" s="12"/>
      <c r="P3018" s="12">
        <f t="shared" si="822"/>
        <v>322.5</v>
      </c>
      <c r="Q3018" s="7">
        <f t="shared" si="817"/>
        <v>4919286.8499999996</v>
      </c>
      <c r="R3018" s="44" t="str">
        <f>VLOOKUP(F3018,'Set up'!$A$2:$E$55,5,FALSE)</f>
        <v>Chq</v>
      </c>
    </row>
    <row r="3019" spans="1:18" ht="15" customHeight="1" x14ac:dyDescent="0.3">
      <c r="A3019" s="4">
        <v>45477</v>
      </c>
      <c r="B3019" s="5">
        <f t="shared" si="823"/>
        <v>7</v>
      </c>
      <c r="C3019" s="5">
        <f t="shared" si="824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8" t="s">
        <v>950</v>
      </c>
      <c r="H3019" s="13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25"/>
        <v>45477</v>
      </c>
      <c r="L3019" s="5">
        <f t="shared" si="826"/>
        <v>7</v>
      </c>
      <c r="M3019" s="5">
        <f t="shared" si="827"/>
        <v>2024</v>
      </c>
      <c r="N3019" s="12">
        <v>120</v>
      </c>
      <c r="O3019" s="12"/>
      <c r="P3019" s="12">
        <f t="shared" si="822"/>
        <v>120</v>
      </c>
      <c r="Q3019" s="7">
        <f t="shared" si="817"/>
        <v>4919406.8499999996</v>
      </c>
      <c r="R3019" s="44" t="str">
        <f>VLOOKUP(F3019,'Set up'!$A$2:$E$55,5,FALSE)</f>
        <v>Chq</v>
      </c>
    </row>
    <row r="3020" spans="1:18" ht="15" customHeight="1" x14ac:dyDescent="0.3">
      <c r="A3020" s="4">
        <v>45477</v>
      </c>
      <c r="B3020" s="5">
        <f t="shared" si="823"/>
        <v>7</v>
      </c>
      <c r="C3020" s="5">
        <f t="shared" si="824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8" t="s">
        <v>1794</v>
      </c>
      <c r="H3020" s="13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25"/>
        <v>45477</v>
      </c>
      <c r="L3020" s="5">
        <f t="shared" si="826"/>
        <v>7</v>
      </c>
      <c r="M3020" s="5">
        <f t="shared" si="827"/>
        <v>2024</v>
      </c>
      <c r="N3020" s="12">
        <v>175</v>
      </c>
      <c r="O3020" s="12"/>
      <c r="P3020" s="12">
        <f t="shared" si="822"/>
        <v>175</v>
      </c>
      <c r="Q3020" s="7">
        <f t="shared" si="817"/>
        <v>4919581.8499999996</v>
      </c>
      <c r="R3020" s="44" t="str">
        <f>VLOOKUP(F3020,'Set up'!$A$2:$E$55,5,FALSE)</f>
        <v>Chq</v>
      </c>
    </row>
    <row r="3021" spans="1:18" ht="15" customHeight="1" x14ac:dyDescent="0.3">
      <c r="A3021" s="4">
        <v>45477</v>
      </c>
      <c r="B3021" s="5">
        <f t="shared" si="823"/>
        <v>7</v>
      </c>
      <c r="C3021" s="5">
        <f t="shared" si="824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8" t="s">
        <v>46</v>
      </c>
      <c r="H3021" s="13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25"/>
        <v>45477</v>
      </c>
      <c r="L3021" s="5">
        <f t="shared" si="826"/>
        <v>7</v>
      </c>
      <c r="M3021" s="5">
        <f t="shared" si="827"/>
        <v>2024</v>
      </c>
      <c r="N3021" s="12">
        <v>210</v>
      </c>
      <c r="O3021" s="12"/>
      <c r="P3021" s="12">
        <f t="shared" si="822"/>
        <v>210</v>
      </c>
      <c r="Q3021" s="7">
        <f t="shared" si="817"/>
        <v>4919791.8499999996</v>
      </c>
      <c r="R3021" s="44" t="str">
        <f>VLOOKUP(F3021,'Set up'!$A$2:$E$55,5,FALSE)</f>
        <v>Chq</v>
      </c>
    </row>
    <row r="3022" spans="1:18" ht="15" customHeight="1" x14ac:dyDescent="0.3">
      <c r="A3022" s="4">
        <v>45477</v>
      </c>
      <c r="B3022" s="5">
        <f t="shared" si="823"/>
        <v>7</v>
      </c>
      <c r="C3022" s="5">
        <f t="shared" si="824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8" t="s">
        <v>95</v>
      </c>
      <c r="H3022" s="13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25"/>
        <v>45477</v>
      </c>
      <c r="L3022" s="5">
        <f t="shared" si="826"/>
        <v>7</v>
      </c>
      <c r="M3022" s="5">
        <f t="shared" si="827"/>
        <v>2024</v>
      </c>
      <c r="N3022" s="12">
        <v>1760</v>
      </c>
      <c r="O3022" s="12"/>
      <c r="P3022" s="12">
        <f t="shared" si="822"/>
        <v>1760</v>
      </c>
      <c r="Q3022" s="7">
        <f t="shared" si="817"/>
        <v>4921551.8499999996</v>
      </c>
      <c r="R3022" s="44" t="str">
        <f>VLOOKUP(F3022,'Set up'!$A$2:$E$55,5,FALSE)</f>
        <v>Trsf</v>
      </c>
    </row>
    <row r="3023" spans="1:18" ht="15" customHeight="1" x14ac:dyDescent="0.3">
      <c r="A3023" s="4">
        <v>45477</v>
      </c>
      <c r="B3023" s="5">
        <f t="shared" si="823"/>
        <v>7</v>
      </c>
      <c r="C3023" s="5">
        <f t="shared" si="824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8" t="s">
        <v>1412</v>
      </c>
      <c r="H3023" s="13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25"/>
        <v>45477</v>
      </c>
      <c r="L3023" s="5">
        <f t="shared" si="826"/>
        <v>7</v>
      </c>
      <c r="M3023" s="5">
        <f t="shared" si="827"/>
        <v>2024</v>
      </c>
      <c r="N3023" s="12">
        <v>405</v>
      </c>
      <c r="O3023" s="12"/>
      <c r="P3023" s="12">
        <f t="shared" si="822"/>
        <v>405</v>
      </c>
      <c r="Q3023" s="7">
        <f t="shared" si="817"/>
        <v>4921956.8499999996</v>
      </c>
      <c r="R3023" s="44" t="str">
        <f>VLOOKUP(F3023,'Set up'!$A$2:$E$55,5,FALSE)</f>
        <v>Trsf</v>
      </c>
    </row>
    <row r="3024" spans="1:18" ht="15" customHeight="1" x14ac:dyDescent="0.3">
      <c r="A3024" s="4">
        <v>45477</v>
      </c>
      <c r="B3024" s="5">
        <f t="shared" si="823"/>
        <v>7</v>
      </c>
      <c r="C3024" s="5">
        <f t="shared" si="824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8" t="s">
        <v>2711</v>
      </c>
      <c r="H3024" s="13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25"/>
        <v>45477</v>
      </c>
      <c r="L3024" s="5">
        <f t="shared" si="826"/>
        <v>7</v>
      </c>
      <c r="M3024" s="5">
        <f t="shared" si="827"/>
        <v>2024</v>
      </c>
      <c r="N3024" s="12">
        <v>125</v>
      </c>
      <c r="O3024" s="12"/>
      <c r="P3024" s="12">
        <f t="shared" si="822"/>
        <v>125</v>
      </c>
      <c r="Q3024" s="7">
        <f t="shared" si="817"/>
        <v>4922081.8499999996</v>
      </c>
      <c r="R3024" s="44" t="str">
        <f>VLOOKUP(F3024,'Set up'!$A$2:$E$55,5,FALSE)</f>
        <v>Trsf</v>
      </c>
    </row>
    <row r="3025" spans="1:18" ht="15" customHeight="1" x14ac:dyDescent="0.3">
      <c r="A3025" s="4">
        <v>45477</v>
      </c>
      <c r="B3025" s="5">
        <f t="shared" si="823"/>
        <v>7</v>
      </c>
      <c r="C3025" s="5">
        <f t="shared" si="824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8" t="s">
        <v>2522</v>
      </c>
      <c r="H3025" s="13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25"/>
        <v>45477</v>
      </c>
      <c r="L3025" s="5">
        <f t="shared" si="826"/>
        <v>7</v>
      </c>
      <c r="M3025" s="5">
        <f t="shared" si="827"/>
        <v>2024</v>
      </c>
      <c r="N3025" s="12">
        <v>420</v>
      </c>
      <c r="O3025" s="12"/>
      <c r="P3025" s="12">
        <f t="shared" si="822"/>
        <v>420</v>
      </c>
      <c r="Q3025" s="7">
        <f t="shared" si="817"/>
        <v>4922501.8499999996</v>
      </c>
      <c r="R3025" s="44" t="str">
        <f>VLOOKUP(F3025,'Set up'!$A$2:$E$55,5,FALSE)</f>
        <v>Trsf</v>
      </c>
    </row>
    <row r="3026" spans="1:18" ht="15" customHeight="1" x14ac:dyDescent="0.3">
      <c r="A3026" s="4">
        <v>45477</v>
      </c>
      <c r="B3026" s="5">
        <f t="shared" si="823"/>
        <v>7</v>
      </c>
      <c r="C3026" s="5">
        <f t="shared" si="824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8" t="s">
        <v>1470</v>
      </c>
      <c r="H3026" s="13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25"/>
        <v>45477</v>
      </c>
      <c r="L3026" s="5">
        <f t="shared" si="826"/>
        <v>7</v>
      </c>
      <c r="M3026" s="5">
        <f t="shared" si="827"/>
        <v>2024</v>
      </c>
      <c r="N3026" s="12">
        <v>395</v>
      </c>
      <c r="O3026" s="12"/>
      <c r="P3026" s="12">
        <f t="shared" si="822"/>
        <v>395</v>
      </c>
      <c r="Q3026" s="7">
        <f t="shared" ref="Q3026:Q3089" si="828">SUM(Q3025+N3026)</f>
        <v>4922896.8499999996</v>
      </c>
      <c r="R3026" s="44" t="str">
        <f>VLOOKUP(F3026,'Set up'!$A$2:$E$55,5,FALSE)</f>
        <v>Trsf</v>
      </c>
    </row>
    <row r="3027" spans="1:18" ht="15" customHeight="1" x14ac:dyDescent="0.3">
      <c r="A3027" s="4">
        <v>45479</v>
      </c>
      <c r="B3027" s="5">
        <f t="shared" si="823"/>
        <v>7</v>
      </c>
      <c r="C3027" s="5">
        <f t="shared" si="824"/>
        <v>2024</v>
      </c>
      <c r="D3027" s="5" t="s">
        <v>2837</v>
      </c>
      <c r="E3027" s="5" t="str">
        <f>VLOOKUP(F3027,'Set up'!$A$2:$C$55,2,FALSE)</f>
        <v>C00000044</v>
      </c>
      <c r="F3027" s="1" t="s">
        <v>2959</v>
      </c>
      <c r="G3027" s="98" t="s">
        <v>1179</v>
      </c>
      <c r="H3027" s="13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25"/>
        <v>45479</v>
      </c>
      <c r="L3027" s="5">
        <f t="shared" si="826"/>
        <v>7</v>
      </c>
      <c r="M3027" s="5">
        <f t="shared" si="827"/>
        <v>2024</v>
      </c>
      <c r="N3027" s="12">
        <v>1694</v>
      </c>
      <c r="O3027" s="12"/>
      <c r="P3027" s="12">
        <f t="shared" si="822"/>
        <v>1694</v>
      </c>
      <c r="Q3027" s="7">
        <f t="shared" si="828"/>
        <v>4924590.8499999996</v>
      </c>
      <c r="R3027" s="44" t="str">
        <f>VLOOKUP(F3027,'Set up'!$A$2:$E$55,5,FALSE)</f>
        <v>Cash</v>
      </c>
    </row>
    <row r="3028" spans="1:18" ht="15" customHeight="1" x14ac:dyDescent="0.3">
      <c r="A3028" s="4">
        <v>45479</v>
      </c>
      <c r="B3028" s="5">
        <f t="shared" si="823"/>
        <v>7</v>
      </c>
      <c r="C3028" s="5">
        <f t="shared" si="824"/>
        <v>2024</v>
      </c>
      <c r="D3028" s="5" t="s">
        <v>2837</v>
      </c>
      <c r="E3028" s="5" t="str">
        <f>VLOOKUP(F3028,'Set up'!$A$2:$C$55,2,FALSE)</f>
        <v>C00000044</v>
      </c>
      <c r="F3028" s="1" t="s">
        <v>2959</v>
      </c>
      <c r="G3028" s="98" t="s">
        <v>2643</v>
      </c>
      <c r="H3028" s="13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25"/>
        <v>45479</v>
      </c>
      <c r="L3028" s="5">
        <f t="shared" si="826"/>
        <v>7</v>
      </c>
      <c r="M3028" s="5">
        <f t="shared" si="827"/>
        <v>2024</v>
      </c>
      <c r="N3028" s="12">
        <v>438</v>
      </c>
      <c r="O3028" s="12"/>
      <c r="P3028" s="12">
        <f t="shared" si="822"/>
        <v>438</v>
      </c>
      <c r="Q3028" s="7">
        <f t="shared" si="828"/>
        <v>4925028.8499999996</v>
      </c>
      <c r="R3028" s="44" t="str">
        <f>VLOOKUP(F3028,'Set up'!$A$2:$E$55,5,FALSE)</f>
        <v>Cash</v>
      </c>
    </row>
    <row r="3029" spans="1:18" ht="15" customHeight="1" x14ac:dyDescent="0.3">
      <c r="A3029" s="4">
        <v>45479</v>
      </c>
      <c r="B3029" s="5">
        <f t="shared" si="823"/>
        <v>7</v>
      </c>
      <c r="C3029" s="5">
        <f t="shared" si="824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8" t="s">
        <v>95</v>
      </c>
      <c r="H3029" s="13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25"/>
        <v>45479</v>
      </c>
      <c r="L3029" s="5">
        <f t="shared" si="826"/>
        <v>7</v>
      </c>
      <c r="M3029" s="5">
        <f t="shared" si="827"/>
        <v>2024</v>
      </c>
      <c r="N3029" s="12">
        <v>1760</v>
      </c>
      <c r="O3029" s="12"/>
      <c r="P3029" s="12">
        <f t="shared" si="822"/>
        <v>1760</v>
      </c>
      <c r="Q3029" s="7">
        <f t="shared" si="828"/>
        <v>4926788.8499999996</v>
      </c>
      <c r="R3029" s="44" t="str">
        <f>VLOOKUP(F3029,'Set up'!$A$2:$E$55,5,FALSE)</f>
        <v>Cash</v>
      </c>
    </row>
    <row r="3030" spans="1:18" ht="15" customHeight="1" x14ac:dyDescent="0.3">
      <c r="A3030" s="4">
        <v>45482</v>
      </c>
      <c r="B3030" s="5">
        <f t="shared" si="823"/>
        <v>7</v>
      </c>
      <c r="C3030" s="5">
        <f t="shared" si="824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8" t="s">
        <v>2722</v>
      </c>
      <c r="H3030" s="13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25"/>
        <v>45482</v>
      </c>
      <c r="L3030" s="5">
        <f t="shared" si="826"/>
        <v>7</v>
      </c>
      <c r="M3030" s="5">
        <f t="shared" si="827"/>
        <v>2024</v>
      </c>
      <c r="N3030" s="12">
        <v>937.5</v>
      </c>
      <c r="O3030" s="12"/>
      <c r="P3030" s="12">
        <f t="shared" si="822"/>
        <v>937.5</v>
      </c>
      <c r="Q3030" s="7">
        <f t="shared" si="828"/>
        <v>4927726.3499999996</v>
      </c>
      <c r="R3030" s="44" t="str">
        <f>VLOOKUP(F3030,'Set up'!$A$2:$E$55,5,FALSE)</f>
        <v>Trsf</v>
      </c>
    </row>
    <row r="3031" spans="1:18" ht="15" customHeight="1" x14ac:dyDescent="0.3">
      <c r="A3031" s="4">
        <v>45482</v>
      </c>
      <c r="B3031" s="5">
        <f t="shared" si="823"/>
        <v>7</v>
      </c>
      <c r="C3031" s="5">
        <f t="shared" si="824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8" t="s">
        <v>2625</v>
      </c>
      <c r="H3031" s="13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25"/>
        <v>45482</v>
      </c>
      <c r="L3031" s="5">
        <f t="shared" si="826"/>
        <v>7</v>
      </c>
      <c r="M3031" s="5">
        <f t="shared" si="827"/>
        <v>2024</v>
      </c>
      <c r="N3031" s="12">
        <v>24420</v>
      </c>
      <c r="O3031" s="12"/>
      <c r="P3031" s="12">
        <f t="shared" si="822"/>
        <v>24420</v>
      </c>
      <c r="Q3031" s="7">
        <f t="shared" si="828"/>
        <v>4952146.3499999996</v>
      </c>
      <c r="R3031" s="44" t="str">
        <f>VLOOKUP(F3031,'Set up'!$A$2:$E$55,5,FALSE)</f>
        <v>Trsf</v>
      </c>
    </row>
    <row r="3032" spans="1:18" ht="15" customHeight="1" x14ac:dyDescent="0.3">
      <c r="A3032" s="4">
        <v>45482</v>
      </c>
      <c r="B3032" s="5">
        <f t="shared" si="823"/>
        <v>7</v>
      </c>
      <c r="C3032" s="5">
        <f t="shared" si="824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8" t="s">
        <v>2443</v>
      </c>
      <c r="H3032" s="13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25"/>
        <v>45482</v>
      </c>
      <c r="L3032" s="5">
        <f t="shared" si="826"/>
        <v>7</v>
      </c>
      <c r="M3032" s="5">
        <f t="shared" si="827"/>
        <v>2024</v>
      </c>
      <c r="N3032" s="12">
        <v>9028</v>
      </c>
      <c r="O3032" s="12"/>
      <c r="P3032" s="12">
        <f t="shared" si="822"/>
        <v>9028</v>
      </c>
      <c r="Q3032" s="7">
        <f t="shared" si="828"/>
        <v>4961174.3499999996</v>
      </c>
      <c r="R3032" s="44" t="str">
        <f>VLOOKUP(F3032,'Set up'!$A$2:$E$55,5,FALSE)</f>
        <v>Trsf</v>
      </c>
    </row>
    <row r="3033" spans="1:18" ht="15" customHeight="1" x14ac:dyDescent="0.3">
      <c r="A3033" s="4">
        <v>45482</v>
      </c>
      <c r="B3033" s="5">
        <f t="shared" si="823"/>
        <v>7</v>
      </c>
      <c r="C3033" s="5">
        <f t="shared" si="824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8" t="s">
        <v>656</v>
      </c>
      <c r="H3033" s="13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25"/>
        <v>45482</v>
      </c>
      <c r="L3033" s="5">
        <f t="shared" si="826"/>
        <v>7</v>
      </c>
      <c r="M3033" s="5">
        <f t="shared" si="827"/>
        <v>2024</v>
      </c>
      <c r="N3033" s="12">
        <v>2640</v>
      </c>
      <c r="O3033" s="12"/>
      <c r="P3033" s="12">
        <f t="shared" si="822"/>
        <v>2640</v>
      </c>
      <c r="Q3033" s="7">
        <f t="shared" si="828"/>
        <v>4963814.3499999996</v>
      </c>
      <c r="R3033" s="44" t="str">
        <f>VLOOKUP(F3033,'Set up'!$A$2:$E$55,5,FALSE)</f>
        <v>Trsf</v>
      </c>
    </row>
    <row r="3034" spans="1:18" ht="15" customHeight="1" x14ac:dyDescent="0.3">
      <c r="A3034" s="4">
        <v>45482</v>
      </c>
      <c r="B3034" s="5">
        <f t="shared" si="823"/>
        <v>7</v>
      </c>
      <c r="C3034" s="5">
        <f t="shared" si="824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8" t="s">
        <v>656</v>
      </c>
      <c r="H3034" s="13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25"/>
        <v>45482</v>
      </c>
      <c r="L3034" s="5">
        <f t="shared" si="826"/>
        <v>7</v>
      </c>
      <c r="M3034" s="5">
        <f t="shared" si="827"/>
        <v>2024</v>
      </c>
      <c r="N3034" s="12">
        <v>3600</v>
      </c>
      <c r="O3034" s="12"/>
      <c r="P3034" s="12">
        <f t="shared" si="822"/>
        <v>3600</v>
      </c>
      <c r="Q3034" s="7">
        <f t="shared" si="828"/>
        <v>4967414.3499999996</v>
      </c>
      <c r="R3034" s="44" t="str">
        <f>VLOOKUP(F3034,'Set up'!$A$2:$E$55,5,FALSE)</f>
        <v>Trsf</v>
      </c>
    </row>
    <row r="3035" spans="1:18" ht="15" customHeight="1" x14ac:dyDescent="0.3">
      <c r="A3035" s="4">
        <v>45482</v>
      </c>
      <c r="B3035" s="5">
        <f t="shared" si="823"/>
        <v>7</v>
      </c>
      <c r="C3035" s="5">
        <f t="shared" si="824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8" t="s">
        <v>1062</v>
      </c>
      <c r="H3035" s="13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25"/>
        <v>45482</v>
      </c>
      <c r="L3035" s="5">
        <f t="shared" si="826"/>
        <v>7</v>
      </c>
      <c r="M3035" s="5">
        <f t="shared" si="827"/>
        <v>2024</v>
      </c>
      <c r="N3035" s="12">
        <v>380</v>
      </c>
      <c r="O3035" s="12"/>
      <c r="P3035" s="12">
        <f t="shared" si="822"/>
        <v>380</v>
      </c>
      <c r="Q3035" s="7">
        <f t="shared" si="828"/>
        <v>4967794.3499999996</v>
      </c>
      <c r="R3035" s="44" t="str">
        <f>VLOOKUP(F3035,'Set up'!$A$2:$E$55,5,FALSE)</f>
        <v>Trsf</v>
      </c>
    </row>
    <row r="3036" spans="1:18" ht="15" customHeight="1" x14ac:dyDescent="0.3">
      <c r="A3036" s="4">
        <v>45482</v>
      </c>
      <c r="B3036" s="5">
        <f t="shared" si="823"/>
        <v>7</v>
      </c>
      <c r="C3036" s="5">
        <f t="shared" si="824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8" t="s">
        <v>1074</v>
      </c>
      <c r="H3036" s="13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25"/>
        <v>45482</v>
      </c>
      <c r="L3036" s="5">
        <f t="shared" si="826"/>
        <v>7</v>
      </c>
      <c r="M3036" s="5">
        <f t="shared" si="827"/>
        <v>2024</v>
      </c>
      <c r="N3036" s="12">
        <v>1000</v>
      </c>
      <c r="O3036" s="12"/>
      <c r="P3036" s="12">
        <f t="shared" si="822"/>
        <v>1000</v>
      </c>
      <c r="Q3036" s="7">
        <f t="shared" si="828"/>
        <v>4968794.3499999996</v>
      </c>
      <c r="R3036" s="44" t="str">
        <f>VLOOKUP(F3036,'Set up'!$A$2:$E$55,5,FALSE)</f>
        <v>Trsf</v>
      </c>
    </row>
    <row r="3037" spans="1:18" ht="15" customHeight="1" x14ac:dyDescent="0.3">
      <c r="A3037" s="4">
        <v>45485</v>
      </c>
      <c r="B3037" s="5">
        <f t="shared" si="823"/>
        <v>7</v>
      </c>
      <c r="C3037" s="5">
        <f t="shared" si="824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8" t="s">
        <v>1412</v>
      </c>
      <c r="H3037" s="13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25"/>
        <v>45545</v>
      </c>
      <c r="L3037" s="5">
        <f t="shared" si="826"/>
        <v>9</v>
      </c>
      <c r="M3037" s="5">
        <f t="shared" si="827"/>
        <v>2024</v>
      </c>
      <c r="N3037" s="12">
        <v>658.8</v>
      </c>
      <c r="O3037" s="12"/>
      <c r="P3037" s="12">
        <f t="shared" si="822"/>
        <v>658.8</v>
      </c>
      <c r="Q3037" s="7">
        <f t="shared" si="828"/>
        <v>4969453.1499999994</v>
      </c>
      <c r="R3037" s="44" t="str">
        <f>VLOOKUP(F3037,'Set up'!$A$2:$E$55,5,FALSE)</f>
        <v>Chq</v>
      </c>
    </row>
    <row r="3038" spans="1:18" ht="15" customHeight="1" x14ac:dyDescent="0.3">
      <c r="A3038" s="4">
        <v>45485</v>
      </c>
      <c r="B3038" s="5">
        <f t="shared" si="823"/>
        <v>7</v>
      </c>
      <c r="C3038" s="5">
        <f t="shared" si="824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8" t="s">
        <v>769</v>
      </c>
      <c r="H3038" s="13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25"/>
        <v>45545</v>
      </c>
      <c r="L3038" s="5">
        <f t="shared" si="826"/>
        <v>9</v>
      </c>
      <c r="M3038" s="5">
        <f t="shared" si="827"/>
        <v>2024</v>
      </c>
      <c r="N3038" s="12">
        <v>160</v>
      </c>
      <c r="O3038" s="12"/>
      <c r="P3038" s="12">
        <f t="shared" si="822"/>
        <v>160</v>
      </c>
      <c r="Q3038" s="7">
        <f t="shared" si="828"/>
        <v>4969613.1499999994</v>
      </c>
      <c r="R3038" s="44" t="str">
        <f>VLOOKUP(F3038,'Set up'!$A$2:$E$55,5,FALSE)</f>
        <v>Chq</v>
      </c>
    </row>
    <row r="3039" spans="1:18" ht="15" customHeight="1" x14ac:dyDescent="0.3">
      <c r="A3039" s="4">
        <v>45485</v>
      </c>
      <c r="B3039" s="5">
        <f t="shared" si="823"/>
        <v>7</v>
      </c>
      <c r="C3039" s="5">
        <f t="shared" si="824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8" t="s">
        <v>1895</v>
      </c>
      <c r="H3039" s="13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25"/>
        <v>45485</v>
      </c>
      <c r="L3039" s="5">
        <f t="shared" si="826"/>
        <v>7</v>
      </c>
      <c r="M3039" s="5">
        <f t="shared" si="827"/>
        <v>2024</v>
      </c>
      <c r="N3039" s="12">
        <v>1760</v>
      </c>
      <c r="O3039" s="12"/>
      <c r="P3039" s="12">
        <f t="shared" si="822"/>
        <v>1760</v>
      </c>
      <c r="Q3039" s="7">
        <f t="shared" si="828"/>
        <v>4971373.1499999994</v>
      </c>
      <c r="R3039" s="44" t="str">
        <f>VLOOKUP(F3039,'Set up'!$A$2:$E$55,5,FALSE)</f>
        <v>Cash</v>
      </c>
    </row>
    <row r="3040" spans="1:18" ht="15" customHeight="1" x14ac:dyDescent="0.3">
      <c r="A3040" s="4">
        <v>45485</v>
      </c>
      <c r="B3040" s="5">
        <f t="shared" si="823"/>
        <v>7</v>
      </c>
      <c r="C3040" s="5">
        <f t="shared" si="824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8" t="s">
        <v>2199</v>
      </c>
      <c r="H3040" s="13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25"/>
        <v>45485</v>
      </c>
      <c r="L3040" s="5">
        <f t="shared" si="826"/>
        <v>7</v>
      </c>
      <c r="M3040" s="5">
        <f t="shared" si="827"/>
        <v>2024</v>
      </c>
      <c r="N3040" s="12">
        <v>555</v>
      </c>
      <c r="O3040" s="12"/>
      <c r="P3040" s="12">
        <f t="shared" si="822"/>
        <v>555</v>
      </c>
      <c r="Q3040" s="7">
        <f t="shared" si="828"/>
        <v>4971928.1499999994</v>
      </c>
      <c r="R3040" s="44" t="str">
        <f>VLOOKUP(F3040,'Set up'!$A$2:$E$55,5,FALSE)</f>
        <v>Cash</v>
      </c>
    </row>
    <row r="3041" spans="1:18" ht="15" customHeight="1" x14ac:dyDescent="0.3">
      <c r="A3041" s="4">
        <v>45485</v>
      </c>
      <c r="B3041" s="5">
        <f t="shared" si="823"/>
        <v>7</v>
      </c>
      <c r="C3041" s="5">
        <f t="shared" si="824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8" t="s">
        <v>1062</v>
      </c>
      <c r="H3041" s="13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25"/>
        <v>45485</v>
      </c>
      <c r="L3041" s="5">
        <f t="shared" si="826"/>
        <v>7</v>
      </c>
      <c r="M3041" s="5">
        <f t="shared" si="827"/>
        <v>2024</v>
      </c>
      <c r="N3041" s="12">
        <v>95</v>
      </c>
      <c r="O3041" s="12"/>
      <c r="P3041" s="12">
        <f t="shared" si="822"/>
        <v>95</v>
      </c>
      <c r="Q3041" s="7">
        <f t="shared" si="828"/>
        <v>4972023.1499999994</v>
      </c>
      <c r="R3041" s="44" t="str">
        <f>VLOOKUP(F3041,'Set up'!$A$2:$E$55,5,FALSE)</f>
        <v>Cash</v>
      </c>
    </row>
    <row r="3042" spans="1:18" ht="15" customHeight="1" x14ac:dyDescent="0.3">
      <c r="A3042" s="4">
        <v>45485</v>
      </c>
      <c r="B3042" s="5">
        <f t="shared" si="823"/>
        <v>7</v>
      </c>
      <c r="C3042" s="5">
        <f t="shared" si="824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8" t="s">
        <v>2722</v>
      </c>
      <c r="H3042" s="13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25"/>
        <v>45485</v>
      </c>
      <c r="L3042" s="5">
        <f t="shared" si="826"/>
        <v>7</v>
      </c>
      <c r="M3042" s="5">
        <f t="shared" si="827"/>
        <v>2024</v>
      </c>
      <c r="N3042" s="12">
        <v>312.5</v>
      </c>
      <c r="O3042" s="12"/>
      <c r="P3042" s="12">
        <f t="shared" si="822"/>
        <v>312.5</v>
      </c>
      <c r="Q3042" s="7">
        <f t="shared" si="828"/>
        <v>4972335.6499999994</v>
      </c>
      <c r="R3042" s="44" t="str">
        <f>VLOOKUP(F3042,'Set up'!$A$2:$E$55,5,FALSE)</f>
        <v>Cash</v>
      </c>
    </row>
    <row r="3043" spans="1:18" ht="15" customHeight="1" x14ac:dyDescent="0.3">
      <c r="A3043" s="4">
        <v>45489</v>
      </c>
      <c r="B3043" s="5">
        <f t="shared" si="823"/>
        <v>7</v>
      </c>
      <c r="C3043" s="5">
        <f t="shared" si="824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8" t="s">
        <v>2823</v>
      </c>
      <c r="H3043" s="13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29">A3043+J3043</f>
        <v>45489</v>
      </c>
      <c r="L3043" s="5">
        <f t="shared" si="826"/>
        <v>7</v>
      </c>
      <c r="M3043" s="5">
        <f t="shared" si="827"/>
        <v>2024</v>
      </c>
      <c r="N3043" s="12">
        <v>625</v>
      </c>
      <c r="O3043" s="12"/>
      <c r="P3043" s="12">
        <f t="shared" si="822"/>
        <v>625</v>
      </c>
      <c r="Q3043" s="7">
        <f t="shared" si="828"/>
        <v>4972960.6499999994</v>
      </c>
      <c r="R3043" s="44" t="str">
        <f>VLOOKUP(F3043,'Set up'!$A$2:$E$55,5,FALSE)</f>
        <v>Cash</v>
      </c>
    </row>
    <row r="3044" spans="1:18" ht="15" customHeight="1" x14ac:dyDescent="0.3">
      <c r="A3044" s="4">
        <v>45490</v>
      </c>
      <c r="B3044" s="5">
        <f t="shared" si="823"/>
        <v>7</v>
      </c>
      <c r="C3044" s="5">
        <f t="shared" si="824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8" t="s">
        <v>95</v>
      </c>
      <c r="H3044" s="13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29"/>
        <v>45490</v>
      </c>
      <c r="L3044" s="5">
        <f t="shared" si="826"/>
        <v>7</v>
      </c>
      <c r="M3044" s="5">
        <f t="shared" si="827"/>
        <v>2024</v>
      </c>
      <c r="N3044" s="12">
        <v>1760</v>
      </c>
      <c r="O3044" s="12"/>
      <c r="P3044" s="12">
        <f t="shared" si="822"/>
        <v>1760</v>
      </c>
      <c r="Q3044" s="7">
        <f t="shared" si="828"/>
        <v>4974720.6499999994</v>
      </c>
      <c r="R3044" s="44" t="str">
        <f>VLOOKUP(F3044,'Set up'!$A$2:$E$55,5,FALSE)</f>
        <v>Trsf</v>
      </c>
    </row>
    <row r="3045" spans="1:18" ht="15" customHeight="1" x14ac:dyDescent="0.3">
      <c r="A3045" s="4">
        <v>45490</v>
      </c>
      <c r="B3045" s="5">
        <f t="shared" si="823"/>
        <v>7</v>
      </c>
      <c r="C3045" s="5">
        <f t="shared" si="824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8" t="s">
        <v>1412</v>
      </c>
      <c r="H3045" s="13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25"/>
        <v>45490</v>
      </c>
      <c r="L3045" s="5">
        <f t="shared" si="826"/>
        <v>7</v>
      </c>
      <c r="M3045" s="5">
        <f t="shared" si="827"/>
        <v>2024</v>
      </c>
      <c r="N3045" s="12">
        <v>405</v>
      </c>
      <c r="O3045" s="12"/>
      <c r="P3045" s="12">
        <f t="shared" si="822"/>
        <v>405</v>
      </c>
      <c r="Q3045" s="7">
        <f t="shared" si="828"/>
        <v>4975125.6499999994</v>
      </c>
      <c r="R3045" s="44" t="str">
        <f>VLOOKUP(F3045,'Set up'!$A$2:$E$55,5,FALSE)</f>
        <v>Trsf</v>
      </c>
    </row>
    <row r="3046" spans="1:18" ht="15" customHeight="1" x14ac:dyDescent="0.3">
      <c r="A3046" s="4">
        <v>45491</v>
      </c>
      <c r="B3046" s="5">
        <f t="shared" si="823"/>
        <v>7</v>
      </c>
      <c r="C3046" s="5">
        <f t="shared" si="824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8" t="s">
        <v>1403</v>
      </c>
      <c r="H3046" s="13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25"/>
        <v>45611</v>
      </c>
      <c r="L3046" s="5">
        <f t="shared" si="826"/>
        <v>11</v>
      </c>
      <c r="M3046" s="5">
        <f t="shared" si="827"/>
        <v>2024</v>
      </c>
      <c r="N3046" s="12">
        <v>13024</v>
      </c>
      <c r="O3046" s="12"/>
      <c r="P3046" s="12">
        <f t="shared" si="822"/>
        <v>13024</v>
      </c>
      <c r="Q3046" s="7">
        <f t="shared" si="828"/>
        <v>4988149.6499999994</v>
      </c>
      <c r="R3046" s="44" t="str">
        <f>VLOOKUP(F3046,'Set up'!$A$2:$E$55,5,FALSE)</f>
        <v>Trsf</v>
      </c>
    </row>
    <row r="3047" spans="1:18" ht="15" customHeight="1" x14ac:dyDescent="0.3">
      <c r="A3047" s="4">
        <v>45491</v>
      </c>
      <c r="B3047" s="5">
        <f t="shared" si="823"/>
        <v>7</v>
      </c>
      <c r="C3047" s="5">
        <f t="shared" si="824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8" t="s">
        <v>1544</v>
      </c>
      <c r="H3047" s="13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25"/>
        <v>45611</v>
      </c>
      <c r="L3047" s="5">
        <f t="shared" si="826"/>
        <v>11</v>
      </c>
      <c r="M3047" s="5">
        <f t="shared" si="827"/>
        <v>2024</v>
      </c>
      <c r="N3047" s="12">
        <v>900</v>
      </c>
      <c r="O3047" s="12"/>
      <c r="P3047" s="12">
        <f t="shared" si="822"/>
        <v>900</v>
      </c>
      <c r="Q3047" s="7">
        <f t="shared" si="828"/>
        <v>4989049.6499999994</v>
      </c>
      <c r="R3047" s="44" t="str">
        <f>VLOOKUP(F3047,'Set up'!$A$2:$E$55,5,FALSE)</f>
        <v>Trsf</v>
      </c>
    </row>
    <row r="3048" spans="1:18" ht="15" customHeight="1" x14ac:dyDescent="0.3">
      <c r="A3048" s="4">
        <v>45491</v>
      </c>
      <c r="B3048" s="5">
        <f t="shared" si="823"/>
        <v>7</v>
      </c>
      <c r="C3048" s="5">
        <f t="shared" si="824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8" t="s">
        <v>2711</v>
      </c>
      <c r="H3048" s="13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25"/>
        <v>45611</v>
      </c>
      <c r="L3048" s="5">
        <f t="shared" si="826"/>
        <v>11</v>
      </c>
      <c r="M3048" s="5">
        <f t="shared" si="827"/>
        <v>2024</v>
      </c>
      <c r="N3048" s="12">
        <v>287.5</v>
      </c>
      <c r="O3048" s="12"/>
      <c r="P3048" s="12">
        <f t="shared" si="822"/>
        <v>287.5</v>
      </c>
      <c r="Q3048" s="7">
        <f t="shared" si="828"/>
        <v>4989337.1499999994</v>
      </c>
      <c r="R3048" s="44" t="str">
        <f>VLOOKUP(F3048,'Set up'!$A$2:$E$55,5,FALSE)</f>
        <v>Trsf</v>
      </c>
    </row>
    <row r="3049" spans="1:18" ht="15" customHeight="1" x14ac:dyDescent="0.3">
      <c r="A3049" s="4">
        <v>45491</v>
      </c>
      <c r="B3049" s="5">
        <f t="shared" si="823"/>
        <v>7</v>
      </c>
      <c r="C3049" s="5">
        <f t="shared" si="824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8" t="s">
        <v>46</v>
      </c>
      <c r="H3049" s="13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25"/>
        <v>45611</v>
      </c>
      <c r="L3049" s="5">
        <f t="shared" si="826"/>
        <v>11</v>
      </c>
      <c r="M3049" s="5">
        <f t="shared" si="827"/>
        <v>2024</v>
      </c>
      <c r="N3049" s="12">
        <v>440</v>
      </c>
      <c r="O3049" s="12"/>
      <c r="P3049" s="12">
        <f t="shared" si="822"/>
        <v>440</v>
      </c>
      <c r="Q3049" s="7">
        <f t="shared" si="828"/>
        <v>4989777.1499999994</v>
      </c>
      <c r="R3049" s="44" t="str">
        <f>VLOOKUP(F3049,'Set up'!$A$2:$E$55,5,FALSE)</f>
        <v>Trsf</v>
      </c>
    </row>
    <row r="3050" spans="1:18" ht="15" customHeight="1" x14ac:dyDescent="0.3">
      <c r="A3050" s="4">
        <v>45491</v>
      </c>
      <c r="B3050" s="5">
        <f t="shared" si="823"/>
        <v>7</v>
      </c>
      <c r="C3050" s="5">
        <f t="shared" si="824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8" t="s">
        <v>2824</v>
      </c>
      <c r="H3050" s="13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25"/>
        <v>45611</v>
      </c>
      <c r="L3050" s="5">
        <f t="shared" si="826"/>
        <v>11</v>
      </c>
      <c r="M3050" s="5">
        <f t="shared" si="827"/>
        <v>2024</v>
      </c>
      <c r="N3050" s="12">
        <v>696</v>
      </c>
      <c r="O3050" s="12"/>
      <c r="P3050" s="12">
        <f t="shared" si="822"/>
        <v>696</v>
      </c>
      <c r="Q3050" s="7">
        <f t="shared" si="828"/>
        <v>4990473.1499999994</v>
      </c>
      <c r="R3050" s="44" t="str">
        <f>VLOOKUP(F3050,'Set up'!$A$2:$E$55,5,FALSE)</f>
        <v>Trsf</v>
      </c>
    </row>
    <row r="3051" spans="1:18" ht="15" customHeight="1" x14ac:dyDescent="0.3">
      <c r="A3051" s="4">
        <v>45491</v>
      </c>
      <c r="B3051" s="5">
        <f t="shared" si="823"/>
        <v>7</v>
      </c>
      <c r="C3051" s="5">
        <f t="shared" si="824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8" t="s">
        <v>556</v>
      </c>
      <c r="H3051" s="13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25"/>
        <v>45611</v>
      </c>
      <c r="L3051" s="5">
        <f t="shared" si="826"/>
        <v>11</v>
      </c>
      <c r="M3051" s="5">
        <f t="shared" si="827"/>
        <v>2024</v>
      </c>
      <c r="N3051" s="12">
        <v>1440</v>
      </c>
      <c r="O3051" s="12"/>
      <c r="P3051" s="12">
        <f t="shared" si="822"/>
        <v>1440</v>
      </c>
      <c r="Q3051" s="7">
        <f t="shared" si="828"/>
        <v>4991913.1499999994</v>
      </c>
      <c r="R3051" s="44" t="str">
        <f>VLOOKUP(F3051,'Set up'!$A$2:$E$55,5,FALSE)</f>
        <v>Trsf</v>
      </c>
    </row>
    <row r="3052" spans="1:18" ht="15" customHeight="1" x14ac:dyDescent="0.3">
      <c r="A3052" s="4">
        <v>45491</v>
      </c>
      <c r="B3052" s="5">
        <f t="shared" si="823"/>
        <v>7</v>
      </c>
      <c r="C3052" s="5">
        <f t="shared" si="824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8" t="s">
        <v>2825</v>
      </c>
      <c r="H3052" s="13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25"/>
        <v>45611</v>
      </c>
      <c r="L3052" s="5">
        <f t="shared" si="826"/>
        <v>11</v>
      </c>
      <c r="M3052" s="5">
        <f t="shared" si="827"/>
        <v>2024</v>
      </c>
      <c r="N3052" s="12">
        <v>364</v>
      </c>
      <c r="O3052" s="12"/>
      <c r="P3052" s="12">
        <f t="shared" si="822"/>
        <v>364</v>
      </c>
      <c r="Q3052" s="7">
        <f t="shared" si="828"/>
        <v>4992277.1499999994</v>
      </c>
      <c r="R3052" s="44" t="str">
        <f>VLOOKUP(F3052,'Set up'!$A$2:$E$55,5,FALSE)</f>
        <v>Trsf</v>
      </c>
    </row>
    <row r="3053" spans="1:18" ht="15" customHeight="1" x14ac:dyDescent="0.3">
      <c r="A3053" s="4">
        <v>45491</v>
      </c>
      <c r="B3053" s="5">
        <f t="shared" si="823"/>
        <v>7</v>
      </c>
      <c r="C3053" s="5">
        <f t="shared" si="824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8" t="s">
        <v>2646</v>
      </c>
      <c r="H3053" s="13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25"/>
        <v>45611</v>
      </c>
      <c r="L3053" s="5">
        <f t="shared" si="826"/>
        <v>11</v>
      </c>
      <c r="M3053" s="5">
        <f t="shared" si="827"/>
        <v>2024</v>
      </c>
      <c r="N3053" s="12">
        <v>250</v>
      </c>
      <c r="O3053" s="12"/>
      <c r="P3053" s="12">
        <f t="shared" si="822"/>
        <v>250</v>
      </c>
      <c r="Q3053" s="7">
        <f t="shared" si="828"/>
        <v>4992527.1499999994</v>
      </c>
      <c r="R3053" s="44" t="str">
        <f>VLOOKUP(F3053,'Set up'!$A$2:$E$55,5,FALSE)</f>
        <v>Trsf</v>
      </c>
    </row>
    <row r="3054" spans="1:18" ht="15" customHeight="1" x14ac:dyDescent="0.3">
      <c r="A3054" s="4">
        <v>45493</v>
      </c>
      <c r="B3054" s="5">
        <f t="shared" si="823"/>
        <v>7</v>
      </c>
      <c r="C3054" s="5">
        <f t="shared" si="824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8" t="s">
        <v>1895</v>
      </c>
      <c r="H3054" s="13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25"/>
        <v>45493</v>
      </c>
      <c r="L3054" s="5">
        <f t="shared" si="826"/>
        <v>7</v>
      </c>
      <c r="M3054" s="5">
        <f t="shared" si="827"/>
        <v>2024</v>
      </c>
      <c r="N3054" s="12">
        <v>1760</v>
      </c>
      <c r="O3054" s="12"/>
      <c r="P3054" s="12">
        <f t="shared" si="822"/>
        <v>1760</v>
      </c>
      <c r="Q3054" s="7">
        <f t="shared" si="828"/>
        <v>4994287.1499999994</v>
      </c>
      <c r="R3054" s="44" t="str">
        <f>VLOOKUP(F3054,'Set up'!$A$2:$E$55,5,FALSE)</f>
        <v>Cash</v>
      </c>
    </row>
    <row r="3055" spans="1:18" ht="15" customHeight="1" x14ac:dyDescent="0.3">
      <c r="A3055" s="4">
        <v>45493</v>
      </c>
      <c r="B3055" s="5">
        <f t="shared" si="823"/>
        <v>7</v>
      </c>
      <c r="C3055" s="5">
        <f t="shared" si="824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8" t="s">
        <v>2199</v>
      </c>
      <c r="H3055" s="13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25"/>
        <v>45493</v>
      </c>
      <c r="L3055" s="5">
        <f t="shared" si="826"/>
        <v>7</v>
      </c>
      <c r="M3055" s="5">
        <f t="shared" si="827"/>
        <v>2024</v>
      </c>
      <c r="N3055" s="12">
        <v>277.5</v>
      </c>
      <c r="O3055" s="12"/>
      <c r="P3055" s="12">
        <f t="shared" si="822"/>
        <v>277.5</v>
      </c>
      <c r="Q3055" s="7">
        <f t="shared" si="828"/>
        <v>4994564.6499999994</v>
      </c>
      <c r="R3055" s="44" t="str">
        <f>VLOOKUP(F3055,'Set up'!$A$2:$E$55,5,FALSE)</f>
        <v>Cash</v>
      </c>
    </row>
    <row r="3056" spans="1:18" ht="15" customHeight="1" x14ac:dyDescent="0.3">
      <c r="A3056" s="4">
        <v>45493</v>
      </c>
      <c r="B3056" s="5">
        <f t="shared" si="823"/>
        <v>7</v>
      </c>
      <c r="C3056" s="5">
        <f t="shared" si="824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8" t="s">
        <v>1062</v>
      </c>
      <c r="H3056" s="13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25"/>
        <v>45493</v>
      </c>
      <c r="L3056" s="5">
        <f t="shared" si="826"/>
        <v>7</v>
      </c>
      <c r="M3056" s="5">
        <f t="shared" si="827"/>
        <v>2024</v>
      </c>
      <c r="N3056" s="12">
        <v>95</v>
      </c>
      <c r="O3056" s="12"/>
      <c r="P3056" s="12">
        <f t="shared" ref="P3056:P3093" si="830">SUM(N3056+O3056)</f>
        <v>95</v>
      </c>
      <c r="Q3056" s="7">
        <f t="shared" si="828"/>
        <v>4994659.6499999994</v>
      </c>
      <c r="R3056" s="44" t="str">
        <f>VLOOKUP(F3056,'Set up'!$A$2:$E$55,5,FALSE)</f>
        <v>Cash</v>
      </c>
    </row>
    <row r="3057" spans="1:18" ht="15" customHeight="1" x14ac:dyDescent="0.3">
      <c r="A3057" s="4">
        <v>45493</v>
      </c>
      <c r="B3057" s="5">
        <f t="shared" si="823"/>
        <v>7</v>
      </c>
      <c r="C3057" s="5">
        <f t="shared" si="824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8" t="s">
        <v>2722</v>
      </c>
      <c r="H3057" s="13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25"/>
        <v>45493</v>
      </c>
      <c r="L3057" s="5">
        <f t="shared" si="826"/>
        <v>7</v>
      </c>
      <c r="M3057" s="5">
        <f t="shared" si="827"/>
        <v>2024</v>
      </c>
      <c r="N3057" s="12">
        <v>312.5</v>
      </c>
      <c r="O3057" s="12"/>
      <c r="P3057" s="12">
        <f t="shared" si="830"/>
        <v>312.5</v>
      </c>
      <c r="Q3057" s="7">
        <f t="shared" si="828"/>
        <v>4994972.1499999994</v>
      </c>
      <c r="R3057" s="44" t="str">
        <f>VLOOKUP(F3057,'Set up'!$A$2:$E$55,5,FALSE)</f>
        <v>Cash</v>
      </c>
    </row>
    <row r="3058" spans="1:18" ht="15" customHeight="1" x14ac:dyDescent="0.3">
      <c r="A3058" s="4">
        <v>45493</v>
      </c>
      <c r="B3058" s="5">
        <f t="shared" si="823"/>
        <v>7</v>
      </c>
      <c r="C3058" s="5">
        <f t="shared" si="824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8" t="s">
        <v>2592</v>
      </c>
      <c r="H3058" s="13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25"/>
        <v>45493</v>
      </c>
      <c r="L3058" s="5">
        <f t="shared" si="826"/>
        <v>7</v>
      </c>
      <c r="M3058" s="5">
        <f t="shared" si="827"/>
        <v>2024</v>
      </c>
      <c r="N3058" s="12">
        <v>540</v>
      </c>
      <c r="O3058" s="12"/>
      <c r="P3058" s="12">
        <f t="shared" si="830"/>
        <v>540</v>
      </c>
      <c r="Q3058" s="7">
        <f t="shared" si="828"/>
        <v>4995512.1499999994</v>
      </c>
      <c r="R3058" s="44" t="str">
        <f>VLOOKUP(F3058,'Set up'!$A$2:$E$55,5,FALSE)</f>
        <v>Cash</v>
      </c>
    </row>
    <row r="3059" spans="1:18" ht="15" customHeight="1" x14ac:dyDescent="0.3">
      <c r="A3059" s="4">
        <v>45496</v>
      </c>
      <c r="B3059" s="5">
        <f t="shared" ref="B3059:B3092" si="831">MONTH(A3059)</f>
        <v>7</v>
      </c>
      <c r="C3059" s="5">
        <f t="shared" ref="C3059:C3092" si="832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8" t="s">
        <v>1409</v>
      </c>
      <c r="H3059" s="13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33">A3059+J3059</f>
        <v>45556</v>
      </c>
      <c r="L3059" s="5">
        <f t="shared" ref="L3059:L3092" si="834">MONTH(K3059)</f>
        <v>9</v>
      </c>
      <c r="M3059" s="5">
        <f t="shared" ref="M3059:M3092" si="835">YEAR(K3059)</f>
        <v>2024</v>
      </c>
      <c r="N3059" s="12">
        <v>3256</v>
      </c>
      <c r="O3059" s="12"/>
      <c r="P3059" s="12">
        <f t="shared" si="830"/>
        <v>3256</v>
      </c>
      <c r="Q3059" s="7">
        <f t="shared" si="828"/>
        <v>4998768.1499999994</v>
      </c>
      <c r="R3059" s="44" t="str">
        <f>VLOOKUP(F3059,'Set up'!$A$2:$E$55,5,FALSE)</f>
        <v>Chq</v>
      </c>
    </row>
    <row r="3060" spans="1:18" ht="15" customHeight="1" x14ac:dyDescent="0.3">
      <c r="A3060" s="4">
        <v>45496</v>
      </c>
      <c r="B3060" s="5">
        <f t="shared" si="831"/>
        <v>7</v>
      </c>
      <c r="C3060" s="5">
        <f t="shared" si="832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8" t="s">
        <v>617</v>
      </c>
      <c r="H3060" s="13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33"/>
        <v>45556</v>
      </c>
      <c r="L3060" s="5">
        <f t="shared" si="834"/>
        <v>9</v>
      </c>
      <c r="M3060" s="5">
        <f t="shared" si="835"/>
        <v>2024</v>
      </c>
      <c r="N3060" s="12">
        <v>1628</v>
      </c>
      <c r="O3060" s="12"/>
      <c r="P3060" s="12">
        <f t="shared" si="830"/>
        <v>1628</v>
      </c>
      <c r="Q3060" s="7">
        <f t="shared" si="828"/>
        <v>5000396.1499999994</v>
      </c>
      <c r="R3060" s="44" t="str">
        <f>VLOOKUP(F3060,'Set up'!$A$2:$E$55,5,FALSE)</f>
        <v>Chq</v>
      </c>
    </row>
    <row r="3061" spans="1:18" ht="15" customHeight="1" x14ac:dyDescent="0.3">
      <c r="A3061" s="4">
        <v>45497</v>
      </c>
      <c r="B3061" s="5">
        <f t="shared" si="831"/>
        <v>7</v>
      </c>
      <c r="C3061" s="5">
        <f t="shared" si="832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8" t="s">
        <v>95</v>
      </c>
      <c r="H3061" s="13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33"/>
        <v>45497</v>
      </c>
      <c r="L3061" s="5">
        <f t="shared" si="834"/>
        <v>7</v>
      </c>
      <c r="M3061" s="5">
        <f t="shared" si="835"/>
        <v>2024</v>
      </c>
      <c r="N3061" s="12">
        <v>1760</v>
      </c>
      <c r="O3061" s="12"/>
      <c r="P3061" s="12">
        <f t="shared" si="830"/>
        <v>1760</v>
      </c>
      <c r="Q3061" s="7">
        <f t="shared" si="828"/>
        <v>5002156.1499999994</v>
      </c>
      <c r="R3061" s="44" t="str">
        <f>VLOOKUP(F3061,'Set up'!$A$2:$E$55,5,FALSE)</f>
        <v>Trsf</v>
      </c>
    </row>
    <row r="3062" spans="1:18" ht="15" customHeight="1" x14ac:dyDescent="0.3">
      <c r="A3062" s="4">
        <v>45497</v>
      </c>
      <c r="B3062" s="5">
        <f t="shared" si="831"/>
        <v>7</v>
      </c>
      <c r="C3062" s="5">
        <f t="shared" si="832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8" t="s">
        <v>1412</v>
      </c>
      <c r="H3062" s="13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33"/>
        <v>45497</v>
      </c>
      <c r="L3062" s="5">
        <f t="shared" si="834"/>
        <v>7</v>
      </c>
      <c r="M3062" s="5">
        <f t="shared" si="835"/>
        <v>2024</v>
      </c>
      <c r="N3062" s="12">
        <v>405</v>
      </c>
      <c r="O3062" s="12"/>
      <c r="P3062" s="12">
        <f t="shared" si="830"/>
        <v>405</v>
      </c>
      <c r="Q3062" s="7">
        <f t="shared" si="828"/>
        <v>5002561.1499999994</v>
      </c>
      <c r="R3062" s="44" t="str">
        <f>VLOOKUP(F3062,'Set up'!$A$2:$E$55,5,FALSE)</f>
        <v>Trsf</v>
      </c>
    </row>
    <row r="3063" spans="1:18" ht="15" customHeight="1" x14ac:dyDescent="0.3">
      <c r="A3063" s="4">
        <v>45497</v>
      </c>
      <c r="B3063" s="5">
        <f t="shared" si="831"/>
        <v>7</v>
      </c>
      <c r="C3063" s="5">
        <f t="shared" si="832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8" t="s">
        <v>2711</v>
      </c>
      <c r="H3063" s="13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33"/>
        <v>45497</v>
      </c>
      <c r="L3063" s="5">
        <f t="shared" si="834"/>
        <v>7</v>
      </c>
      <c r="M3063" s="5">
        <f t="shared" si="835"/>
        <v>2024</v>
      </c>
      <c r="N3063" s="12">
        <v>187.5</v>
      </c>
      <c r="O3063" s="12"/>
      <c r="P3063" s="12">
        <f t="shared" si="830"/>
        <v>187.5</v>
      </c>
      <c r="Q3063" s="7">
        <f t="shared" si="828"/>
        <v>5002748.6499999994</v>
      </c>
      <c r="R3063" s="44" t="str">
        <f>VLOOKUP(F3063,'Set up'!$A$2:$E$55,5,FALSE)</f>
        <v>Trsf</v>
      </c>
    </row>
    <row r="3064" spans="1:18" ht="15" customHeight="1" x14ac:dyDescent="0.3">
      <c r="A3064" s="4">
        <v>45497</v>
      </c>
      <c r="B3064" s="5">
        <f t="shared" si="831"/>
        <v>7</v>
      </c>
      <c r="C3064" s="5">
        <f t="shared" si="832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8" t="s">
        <v>46</v>
      </c>
      <c r="H3064" s="13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33"/>
        <v>45497</v>
      </c>
      <c r="L3064" s="5">
        <f t="shared" si="834"/>
        <v>7</v>
      </c>
      <c r="M3064" s="5">
        <f t="shared" si="835"/>
        <v>2024</v>
      </c>
      <c r="N3064" s="12">
        <v>110</v>
      </c>
      <c r="O3064" s="12"/>
      <c r="P3064" s="12">
        <f t="shared" si="830"/>
        <v>110</v>
      </c>
      <c r="Q3064" s="7">
        <f t="shared" si="828"/>
        <v>5002858.6499999994</v>
      </c>
      <c r="R3064" s="44" t="str">
        <f>VLOOKUP(F3064,'Set up'!$A$2:$E$55,5,FALSE)</f>
        <v>Trsf</v>
      </c>
    </row>
    <row r="3065" spans="1:18" ht="15" customHeight="1" x14ac:dyDescent="0.3">
      <c r="A3065" s="4">
        <v>45497</v>
      </c>
      <c r="B3065" s="5">
        <f t="shared" si="831"/>
        <v>7</v>
      </c>
      <c r="C3065" s="5">
        <f t="shared" si="832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8" t="s">
        <v>1470</v>
      </c>
      <c r="H3065" s="13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33"/>
        <v>45497</v>
      </c>
      <c r="L3065" s="5">
        <f t="shared" si="834"/>
        <v>7</v>
      </c>
      <c r="M3065" s="5">
        <f t="shared" si="835"/>
        <v>2024</v>
      </c>
      <c r="N3065" s="12">
        <v>395</v>
      </c>
      <c r="O3065" s="12"/>
      <c r="P3065" s="12">
        <f t="shared" si="830"/>
        <v>395</v>
      </c>
      <c r="Q3065" s="7">
        <f t="shared" si="828"/>
        <v>5003253.6499999994</v>
      </c>
      <c r="R3065" s="44" t="str">
        <f>VLOOKUP(F3065,'Set up'!$A$2:$E$55,5,FALSE)</f>
        <v>Trsf</v>
      </c>
    </row>
    <row r="3066" spans="1:18" ht="15" customHeight="1" x14ac:dyDescent="0.3">
      <c r="A3066" s="4">
        <v>45497</v>
      </c>
      <c r="B3066" s="5">
        <f t="shared" si="831"/>
        <v>7</v>
      </c>
      <c r="C3066" s="5">
        <f t="shared" si="832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8" t="s">
        <v>1661</v>
      </c>
      <c r="H3066" s="13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33"/>
        <v>45497</v>
      </c>
      <c r="L3066" s="5">
        <f t="shared" si="834"/>
        <v>7</v>
      </c>
      <c r="M3066" s="5">
        <f t="shared" si="835"/>
        <v>2024</v>
      </c>
      <c r="N3066" s="12">
        <v>160</v>
      </c>
      <c r="O3066" s="12"/>
      <c r="P3066" s="12">
        <f t="shared" si="830"/>
        <v>160</v>
      </c>
      <c r="Q3066" s="7">
        <f t="shared" si="828"/>
        <v>5003413.6499999994</v>
      </c>
      <c r="R3066" s="44" t="str">
        <f>VLOOKUP(F3066,'Set up'!$A$2:$E$55,5,FALSE)</f>
        <v>Trsf</v>
      </c>
    </row>
    <row r="3067" spans="1:18" ht="15" customHeight="1" x14ac:dyDescent="0.3">
      <c r="A3067" s="4">
        <v>45497</v>
      </c>
      <c r="B3067" s="5">
        <f t="shared" si="831"/>
        <v>7</v>
      </c>
      <c r="C3067" s="5">
        <f t="shared" si="832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8" t="s">
        <v>895</v>
      </c>
      <c r="H3067" s="13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33"/>
        <v>45497</v>
      </c>
      <c r="L3067" s="5">
        <f t="shared" si="834"/>
        <v>7</v>
      </c>
      <c r="M3067" s="5">
        <f t="shared" si="835"/>
        <v>2024</v>
      </c>
      <c r="N3067" s="12">
        <v>150</v>
      </c>
      <c r="O3067" s="12"/>
      <c r="P3067" s="12">
        <f t="shared" si="830"/>
        <v>150</v>
      </c>
      <c r="Q3067" s="7">
        <f t="shared" si="828"/>
        <v>5003563.6499999994</v>
      </c>
      <c r="R3067" s="44" t="str">
        <f>VLOOKUP(F3067,'Set up'!$A$2:$E$55,5,FALSE)</f>
        <v>Trsf</v>
      </c>
    </row>
    <row r="3068" spans="1:18" ht="15" customHeight="1" x14ac:dyDescent="0.3">
      <c r="A3068" s="4">
        <v>45497</v>
      </c>
      <c r="B3068" s="5">
        <f t="shared" si="831"/>
        <v>7</v>
      </c>
      <c r="C3068" s="5">
        <f t="shared" si="832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8" t="s">
        <v>2128</v>
      </c>
      <c r="H3068" s="13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33"/>
        <v>45497</v>
      </c>
      <c r="L3068" s="5">
        <f t="shared" si="834"/>
        <v>7</v>
      </c>
      <c r="M3068" s="5">
        <f t="shared" si="835"/>
        <v>2024</v>
      </c>
      <c r="N3068" s="12">
        <v>283.8</v>
      </c>
      <c r="O3068" s="12"/>
      <c r="P3068" s="12">
        <f t="shared" si="830"/>
        <v>283.8</v>
      </c>
      <c r="Q3068" s="7">
        <f t="shared" si="828"/>
        <v>5003847.4499999993</v>
      </c>
      <c r="R3068" s="44" t="str">
        <f>VLOOKUP(F3068,'Set up'!$A$2:$E$55,5,FALSE)</f>
        <v>Trsf</v>
      </c>
    </row>
    <row r="3069" spans="1:18" ht="15" customHeight="1" x14ac:dyDescent="0.3">
      <c r="A3069" s="4">
        <v>45498</v>
      </c>
      <c r="B3069" s="5">
        <f t="shared" si="831"/>
        <v>7</v>
      </c>
      <c r="C3069" s="5">
        <f t="shared" si="832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8" t="s">
        <v>2722</v>
      </c>
      <c r="H3069" s="13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33"/>
        <v>45498</v>
      </c>
      <c r="L3069" s="5">
        <f t="shared" si="834"/>
        <v>7</v>
      </c>
      <c r="M3069" s="5">
        <f t="shared" si="835"/>
        <v>2024</v>
      </c>
      <c r="N3069" s="12">
        <v>937.5</v>
      </c>
      <c r="O3069" s="12"/>
      <c r="P3069" s="12">
        <f t="shared" si="830"/>
        <v>937.5</v>
      </c>
      <c r="Q3069" s="7">
        <f t="shared" si="828"/>
        <v>5004784.9499999993</v>
      </c>
      <c r="R3069" s="44" t="str">
        <f>VLOOKUP(F3069,'Set up'!$A$2:$E$55,5,FALSE)</f>
        <v>Trsf</v>
      </c>
    </row>
    <row r="3070" spans="1:18" ht="15" customHeight="1" x14ac:dyDescent="0.3">
      <c r="A3070" s="4">
        <v>45498</v>
      </c>
      <c r="B3070" s="5">
        <f t="shared" si="831"/>
        <v>7</v>
      </c>
      <c r="C3070" s="5">
        <f t="shared" si="832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8" t="s">
        <v>2625</v>
      </c>
      <c r="H3070" s="13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33"/>
        <v>45498</v>
      </c>
      <c r="L3070" s="5">
        <f t="shared" si="834"/>
        <v>7</v>
      </c>
      <c r="M3070" s="5">
        <f t="shared" si="835"/>
        <v>2024</v>
      </c>
      <c r="N3070" s="12">
        <v>24420</v>
      </c>
      <c r="O3070" s="12"/>
      <c r="P3070" s="12">
        <f t="shared" si="830"/>
        <v>24420</v>
      </c>
      <c r="Q3070" s="7">
        <f t="shared" si="828"/>
        <v>5029204.9499999993</v>
      </c>
      <c r="R3070" s="44" t="str">
        <f>VLOOKUP(F3070,'Set up'!$A$2:$E$55,5,FALSE)</f>
        <v>Trsf</v>
      </c>
    </row>
    <row r="3071" spans="1:18" ht="15" customHeight="1" x14ac:dyDescent="0.3">
      <c r="A3071" s="4">
        <v>45498</v>
      </c>
      <c r="B3071" s="5">
        <f t="shared" si="831"/>
        <v>7</v>
      </c>
      <c r="C3071" s="5">
        <f t="shared" si="832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8" t="s">
        <v>1544</v>
      </c>
      <c r="H3071" s="13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33"/>
        <v>45498</v>
      </c>
      <c r="L3071" s="5">
        <f t="shared" si="834"/>
        <v>7</v>
      </c>
      <c r="M3071" s="5">
        <f t="shared" si="835"/>
        <v>2024</v>
      </c>
      <c r="N3071" s="12">
        <v>7320</v>
      </c>
      <c r="O3071" s="12"/>
      <c r="P3071" s="12">
        <f t="shared" si="830"/>
        <v>7320</v>
      </c>
      <c r="Q3071" s="7">
        <f t="shared" si="828"/>
        <v>5036524.9499999993</v>
      </c>
      <c r="R3071" s="44" t="str">
        <f>VLOOKUP(F3071,'Set up'!$A$2:$E$55,5,FALSE)</f>
        <v>Trsf</v>
      </c>
    </row>
    <row r="3072" spans="1:18" ht="15" customHeight="1" x14ac:dyDescent="0.3">
      <c r="A3072" s="4">
        <v>45498</v>
      </c>
      <c r="B3072" s="5">
        <f t="shared" si="831"/>
        <v>7</v>
      </c>
      <c r="C3072" s="5">
        <f t="shared" si="832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8" t="s">
        <v>656</v>
      </c>
      <c r="H3072" s="13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33"/>
        <v>45498</v>
      </c>
      <c r="L3072" s="5">
        <f t="shared" si="834"/>
        <v>7</v>
      </c>
      <c r="M3072" s="5">
        <f t="shared" si="835"/>
        <v>2024</v>
      </c>
      <c r="N3072" s="12">
        <v>4800</v>
      </c>
      <c r="O3072" s="12"/>
      <c r="P3072" s="12">
        <f t="shared" si="830"/>
        <v>4800</v>
      </c>
      <c r="Q3072" s="7">
        <f t="shared" si="828"/>
        <v>5041324.9499999993</v>
      </c>
      <c r="R3072" s="44" t="str">
        <f>VLOOKUP(F3072,'Set up'!$A$2:$E$55,5,FALSE)</f>
        <v>Trsf</v>
      </c>
    </row>
    <row r="3073" spans="1:18" ht="15" customHeight="1" x14ac:dyDescent="0.3">
      <c r="A3073" s="4">
        <v>45498</v>
      </c>
      <c r="B3073" s="5">
        <f t="shared" si="831"/>
        <v>7</v>
      </c>
      <c r="C3073" s="5">
        <f t="shared" si="832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8" t="s">
        <v>1062</v>
      </c>
      <c r="H3073" s="13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33"/>
        <v>45498</v>
      </c>
      <c r="L3073" s="5">
        <f t="shared" si="834"/>
        <v>7</v>
      </c>
      <c r="M3073" s="5">
        <f t="shared" si="835"/>
        <v>2024</v>
      </c>
      <c r="N3073" s="12">
        <v>380</v>
      </c>
      <c r="O3073" s="12"/>
      <c r="P3073" s="12">
        <f t="shared" si="830"/>
        <v>380</v>
      </c>
      <c r="Q3073" s="7">
        <f t="shared" si="828"/>
        <v>5041704.9499999993</v>
      </c>
      <c r="R3073" s="44" t="str">
        <f>VLOOKUP(F3073,'Set up'!$A$2:$E$55,5,FALSE)</f>
        <v>Trsf</v>
      </c>
    </row>
    <row r="3074" spans="1:18" ht="15" customHeight="1" x14ac:dyDescent="0.3">
      <c r="A3074" s="4">
        <v>45498</v>
      </c>
      <c r="B3074" s="5">
        <f t="shared" si="831"/>
        <v>7</v>
      </c>
      <c r="C3074" s="5">
        <f t="shared" si="832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8" t="s">
        <v>1074</v>
      </c>
      <c r="H3074" s="13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33"/>
        <v>45498</v>
      </c>
      <c r="L3074" s="5">
        <f t="shared" si="834"/>
        <v>7</v>
      </c>
      <c r="M3074" s="5">
        <f t="shared" si="835"/>
        <v>2024</v>
      </c>
      <c r="N3074" s="12">
        <v>1000</v>
      </c>
      <c r="O3074" s="12"/>
      <c r="P3074" s="12">
        <f t="shared" si="830"/>
        <v>1000</v>
      </c>
      <c r="Q3074" s="7">
        <f t="shared" si="828"/>
        <v>5042704.9499999993</v>
      </c>
      <c r="R3074" s="44" t="str">
        <f>VLOOKUP(F3074,'Set up'!$A$2:$E$55,5,FALSE)</f>
        <v>Trsf</v>
      </c>
    </row>
    <row r="3075" spans="1:18" ht="15" customHeight="1" x14ac:dyDescent="0.3">
      <c r="A3075" s="4">
        <v>45498</v>
      </c>
      <c r="B3075" s="5">
        <f t="shared" si="831"/>
        <v>7</v>
      </c>
      <c r="C3075" s="5">
        <f t="shared" si="832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8" t="s">
        <v>2826</v>
      </c>
      <c r="H3075" s="13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33"/>
        <v>45498</v>
      </c>
      <c r="L3075" s="5">
        <f t="shared" si="834"/>
        <v>7</v>
      </c>
      <c r="M3075" s="5">
        <f t="shared" si="835"/>
        <v>2024</v>
      </c>
      <c r="N3075" s="12">
        <v>975</v>
      </c>
      <c r="O3075" s="12"/>
      <c r="P3075" s="12">
        <f t="shared" si="830"/>
        <v>975</v>
      </c>
      <c r="Q3075" s="7">
        <f t="shared" si="828"/>
        <v>5043679.9499999993</v>
      </c>
      <c r="R3075" s="44" t="str">
        <f>VLOOKUP(F3075,'Set up'!$A$2:$E$55,5,FALSE)</f>
        <v>Trsf</v>
      </c>
    </row>
    <row r="3076" spans="1:18" ht="15" customHeight="1" x14ac:dyDescent="0.3">
      <c r="A3076" s="4">
        <v>45500</v>
      </c>
      <c r="B3076" s="5">
        <f t="shared" si="831"/>
        <v>7</v>
      </c>
      <c r="C3076" s="5">
        <f t="shared" si="832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8" t="s">
        <v>95</v>
      </c>
      <c r="H3076" s="13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33"/>
        <v>45500</v>
      </c>
      <c r="L3076" s="5">
        <f t="shared" si="834"/>
        <v>7</v>
      </c>
      <c r="M3076" s="5">
        <f t="shared" si="835"/>
        <v>2024</v>
      </c>
      <c r="N3076" s="12">
        <v>3520</v>
      </c>
      <c r="O3076" s="12"/>
      <c r="P3076" s="12">
        <f t="shared" si="830"/>
        <v>3520</v>
      </c>
      <c r="Q3076" s="7">
        <f t="shared" si="828"/>
        <v>5047199.9499999993</v>
      </c>
      <c r="R3076" s="44" t="str">
        <f>VLOOKUP(F3076,'Set up'!$A$2:$E$55,5,FALSE)</f>
        <v>Cash</v>
      </c>
    </row>
    <row r="3077" spans="1:18" ht="15" customHeight="1" x14ac:dyDescent="0.3">
      <c r="A3077" s="4">
        <v>45500</v>
      </c>
      <c r="B3077" s="5">
        <f t="shared" si="831"/>
        <v>7</v>
      </c>
      <c r="C3077" s="5">
        <f t="shared" si="832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8" t="s">
        <v>2596</v>
      </c>
      <c r="H3077" s="13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33"/>
        <v>45500</v>
      </c>
      <c r="L3077" s="5">
        <f t="shared" si="834"/>
        <v>7</v>
      </c>
      <c r="M3077" s="5">
        <f t="shared" si="835"/>
        <v>2024</v>
      </c>
      <c r="N3077" s="12">
        <v>900</v>
      </c>
      <c r="O3077" s="12"/>
      <c r="P3077" s="12">
        <f t="shared" si="830"/>
        <v>900</v>
      </c>
      <c r="Q3077" s="7">
        <f t="shared" si="828"/>
        <v>5048099.9499999993</v>
      </c>
      <c r="R3077" s="44" t="str">
        <f>VLOOKUP(F3077,'Set up'!$A$2:$E$55,5,FALSE)</f>
        <v>Cash</v>
      </c>
    </row>
    <row r="3078" spans="1:18" ht="15" customHeight="1" x14ac:dyDescent="0.3">
      <c r="A3078" s="4">
        <v>45500</v>
      </c>
      <c r="B3078" s="5">
        <f t="shared" si="831"/>
        <v>7</v>
      </c>
      <c r="C3078" s="5">
        <f t="shared" si="832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8" t="s">
        <v>17</v>
      </c>
      <c r="H3078" s="13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33"/>
        <v>45500</v>
      </c>
      <c r="L3078" s="5">
        <f t="shared" si="834"/>
        <v>7</v>
      </c>
      <c r="M3078" s="5">
        <f t="shared" si="835"/>
        <v>2024</v>
      </c>
      <c r="N3078" s="12">
        <v>110</v>
      </c>
      <c r="O3078" s="12"/>
      <c r="P3078" s="12">
        <f t="shared" si="830"/>
        <v>110</v>
      </c>
      <c r="Q3078" s="7">
        <f t="shared" si="828"/>
        <v>5048209.9499999993</v>
      </c>
      <c r="R3078" s="44" t="str">
        <f>VLOOKUP(F3078,'Set up'!$A$2:$E$55,5,FALSE)</f>
        <v>Cash</v>
      </c>
    </row>
    <row r="3079" spans="1:18" ht="15" customHeight="1" x14ac:dyDescent="0.3">
      <c r="A3079" s="4">
        <v>45500</v>
      </c>
      <c r="B3079" s="5">
        <f t="shared" si="831"/>
        <v>7</v>
      </c>
      <c r="C3079" s="5">
        <f t="shared" si="832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8" t="s">
        <v>2827</v>
      </c>
      <c r="H3079" s="13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33"/>
        <v>45500</v>
      </c>
      <c r="L3079" s="5">
        <f t="shared" si="834"/>
        <v>7</v>
      </c>
      <c r="M3079" s="5">
        <f t="shared" si="835"/>
        <v>2024</v>
      </c>
      <c r="N3079" s="12">
        <v>40</v>
      </c>
      <c r="O3079" s="12"/>
      <c r="P3079" s="12">
        <f t="shared" si="830"/>
        <v>40</v>
      </c>
      <c r="Q3079" s="7">
        <f t="shared" si="828"/>
        <v>5048249.9499999993</v>
      </c>
      <c r="R3079" s="44" t="str">
        <f>VLOOKUP(F3079,'Set up'!$A$2:$E$55,5,FALSE)</f>
        <v>Cash</v>
      </c>
    </row>
    <row r="3080" spans="1:18" ht="15" customHeight="1" x14ac:dyDescent="0.3">
      <c r="A3080" s="4">
        <v>45500</v>
      </c>
      <c r="B3080" s="5">
        <f t="shared" si="831"/>
        <v>7</v>
      </c>
      <c r="C3080" s="5">
        <f t="shared" si="832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8" t="s">
        <v>895</v>
      </c>
      <c r="H3080" s="13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33"/>
        <v>45500</v>
      </c>
      <c r="L3080" s="5">
        <f t="shared" si="834"/>
        <v>7</v>
      </c>
      <c r="M3080" s="5">
        <f t="shared" si="835"/>
        <v>2024</v>
      </c>
      <c r="N3080" s="12">
        <v>175</v>
      </c>
      <c r="O3080" s="12"/>
      <c r="P3080" s="12">
        <f t="shared" si="830"/>
        <v>175</v>
      </c>
      <c r="Q3080" s="7">
        <f t="shared" si="828"/>
        <v>5048424.9499999993</v>
      </c>
      <c r="R3080" s="44" t="str">
        <f>VLOOKUP(F3080,'Set up'!$A$2:$E$55,5,FALSE)</f>
        <v>Cash</v>
      </c>
    </row>
    <row r="3081" spans="1:18" ht="15" customHeight="1" x14ac:dyDescent="0.3">
      <c r="A3081" s="4">
        <v>45502</v>
      </c>
      <c r="B3081" s="5">
        <f t="shared" si="831"/>
        <v>7</v>
      </c>
      <c r="C3081" s="5">
        <f t="shared" si="832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8" t="s">
        <v>95</v>
      </c>
      <c r="H3081" s="13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33"/>
        <v>45502</v>
      </c>
      <c r="L3081" s="5">
        <f t="shared" si="834"/>
        <v>7</v>
      </c>
      <c r="M3081" s="5">
        <f t="shared" si="835"/>
        <v>2024</v>
      </c>
      <c r="N3081" s="12">
        <v>7040</v>
      </c>
      <c r="O3081" s="12"/>
      <c r="P3081" s="12">
        <f t="shared" si="830"/>
        <v>7040</v>
      </c>
      <c r="Q3081" s="7">
        <f t="shared" si="828"/>
        <v>5055464.9499999993</v>
      </c>
      <c r="R3081" s="44" t="str">
        <f>VLOOKUP(F3081,'Set up'!$A$2:$E$55,5,FALSE)</f>
        <v>Trsf</v>
      </c>
    </row>
    <row r="3082" spans="1:18" ht="15" customHeight="1" x14ac:dyDescent="0.3">
      <c r="A3082" s="4">
        <v>45502</v>
      </c>
      <c r="B3082" s="5">
        <f t="shared" si="831"/>
        <v>7</v>
      </c>
      <c r="C3082" s="5">
        <f t="shared" si="832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8" t="s">
        <v>894</v>
      </c>
      <c r="H3082" s="13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33"/>
        <v>45502</v>
      </c>
      <c r="L3082" s="5">
        <f t="shared" si="834"/>
        <v>7</v>
      </c>
      <c r="M3082" s="5">
        <f t="shared" si="835"/>
        <v>2024</v>
      </c>
      <c r="N3082" s="12">
        <v>1684.8</v>
      </c>
      <c r="O3082" s="12"/>
      <c r="P3082" s="12">
        <f t="shared" si="830"/>
        <v>1684.8</v>
      </c>
      <c r="Q3082" s="7">
        <f t="shared" si="828"/>
        <v>5057149.7499999991</v>
      </c>
      <c r="R3082" s="44" t="str">
        <f>VLOOKUP(F3082,'Set up'!$A$2:$E$55,5,FALSE)</f>
        <v>Trsf</v>
      </c>
    </row>
    <row r="3083" spans="1:18" ht="15" customHeight="1" x14ac:dyDescent="0.3">
      <c r="A3083" s="4">
        <v>45502</v>
      </c>
      <c r="B3083" s="5">
        <f t="shared" si="831"/>
        <v>7</v>
      </c>
      <c r="C3083" s="5">
        <f t="shared" si="832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8" t="s">
        <v>656</v>
      </c>
      <c r="H3083" s="13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33"/>
        <v>45502</v>
      </c>
      <c r="L3083" s="5">
        <f t="shared" si="834"/>
        <v>7</v>
      </c>
      <c r="M3083" s="5">
        <f t="shared" si="835"/>
        <v>2024</v>
      </c>
      <c r="N3083" s="12">
        <v>280</v>
      </c>
      <c r="O3083" s="12"/>
      <c r="P3083" s="12">
        <f t="shared" si="830"/>
        <v>280</v>
      </c>
      <c r="Q3083" s="7">
        <f t="shared" si="828"/>
        <v>5057429.7499999991</v>
      </c>
      <c r="R3083" s="44" t="str">
        <f>VLOOKUP(F3083,'Set up'!$A$2:$E$55,5,FALSE)</f>
        <v>Trsf</v>
      </c>
    </row>
    <row r="3084" spans="1:18" ht="15" customHeight="1" x14ac:dyDescent="0.3">
      <c r="A3084" s="4">
        <v>45502</v>
      </c>
      <c r="B3084" s="5">
        <f t="shared" si="831"/>
        <v>7</v>
      </c>
      <c r="C3084" s="5">
        <f t="shared" si="832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8" t="s">
        <v>2215</v>
      </c>
      <c r="H3084" s="13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33"/>
        <v>45502</v>
      </c>
      <c r="L3084" s="5">
        <f t="shared" si="834"/>
        <v>7</v>
      </c>
      <c r="M3084" s="5">
        <f t="shared" si="835"/>
        <v>2024</v>
      </c>
      <c r="N3084" s="12">
        <v>563.20000000000005</v>
      </c>
      <c r="O3084" s="12"/>
      <c r="P3084" s="12">
        <f t="shared" si="830"/>
        <v>563.20000000000005</v>
      </c>
      <c r="Q3084" s="7">
        <f t="shared" si="828"/>
        <v>5057992.9499999993</v>
      </c>
      <c r="R3084" s="44" t="str">
        <f>VLOOKUP(F3084,'Set up'!$A$2:$E$55,5,FALSE)</f>
        <v>Trsf</v>
      </c>
    </row>
    <row r="3085" spans="1:18" ht="15" customHeight="1" x14ac:dyDescent="0.3">
      <c r="A3085" s="4">
        <v>45502</v>
      </c>
      <c r="B3085" s="5">
        <f t="shared" si="831"/>
        <v>7</v>
      </c>
      <c r="C3085" s="5">
        <f t="shared" si="832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8" t="s">
        <v>1062</v>
      </c>
      <c r="H3085" s="13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33"/>
        <v>45502</v>
      </c>
      <c r="L3085" s="5">
        <f t="shared" si="834"/>
        <v>7</v>
      </c>
      <c r="M3085" s="5">
        <f t="shared" si="835"/>
        <v>2024</v>
      </c>
      <c r="N3085" s="12">
        <v>380</v>
      </c>
      <c r="O3085" s="12"/>
      <c r="P3085" s="12">
        <f t="shared" si="830"/>
        <v>380</v>
      </c>
      <c r="Q3085" s="7">
        <f t="shared" si="828"/>
        <v>5058372.9499999993</v>
      </c>
      <c r="R3085" s="44" t="str">
        <f>VLOOKUP(F3085,'Set up'!$A$2:$E$55,5,FALSE)</f>
        <v>Trsf</v>
      </c>
    </row>
    <row r="3086" spans="1:18" ht="15" customHeight="1" x14ac:dyDescent="0.3">
      <c r="A3086" s="4">
        <v>45502</v>
      </c>
      <c r="B3086" s="5">
        <f t="shared" si="831"/>
        <v>7</v>
      </c>
      <c r="C3086" s="5">
        <f t="shared" si="832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8" t="s">
        <v>1887</v>
      </c>
      <c r="H3086" s="13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33"/>
        <v>45502</v>
      </c>
      <c r="L3086" s="5">
        <f t="shared" si="834"/>
        <v>7</v>
      </c>
      <c r="M3086" s="5">
        <f t="shared" si="835"/>
        <v>2024</v>
      </c>
      <c r="N3086" s="12">
        <v>320</v>
      </c>
      <c r="O3086" s="12"/>
      <c r="P3086" s="12">
        <f t="shared" si="830"/>
        <v>320</v>
      </c>
      <c r="Q3086" s="7">
        <f t="shared" si="828"/>
        <v>5058692.9499999993</v>
      </c>
      <c r="R3086" s="44" t="str">
        <f>VLOOKUP(F3086,'Set up'!$A$2:$E$55,5,FALSE)</f>
        <v>Trsf</v>
      </c>
    </row>
    <row r="3087" spans="1:18" ht="15" customHeight="1" x14ac:dyDescent="0.3">
      <c r="A3087" s="4">
        <v>45500</v>
      </c>
      <c r="B3087" s="5">
        <f t="shared" si="831"/>
        <v>7</v>
      </c>
      <c r="C3087" s="5">
        <f t="shared" si="832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8" t="s">
        <v>1074</v>
      </c>
      <c r="H3087" s="13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33"/>
        <v>45500</v>
      </c>
      <c r="L3087" s="5">
        <f t="shared" si="834"/>
        <v>7</v>
      </c>
      <c r="M3087" s="5">
        <f t="shared" si="835"/>
        <v>2024</v>
      </c>
      <c r="N3087" s="12">
        <v>1000</v>
      </c>
      <c r="O3087" s="12"/>
      <c r="P3087" s="12">
        <f t="shared" si="830"/>
        <v>1000</v>
      </c>
      <c r="Q3087" s="7">
        <f t="shared" si="828"/>
        <v>5059692.9499999993</v>
      </c>
      <c r="R3087" s="44" t="str">
        <f>VLOOKUP(F3087,'Set up'!$A$2:$E$55,5,FALSE)</f>
        <v>Trsf</v>
      </c>
    </row>
    <row r="3088" spans="1:18" ht="15" customHeight="1" x14ac:dyDescent="0.3">
      <c r="A3088" s="4">
        <v>45502</v>
      </c>
      <c r="B3088" s="5">
        <f t="shared" si="831"/>
        <v>7</v>
      </c>
      <c r="C3088" s="5">
        <f t="shared" si="832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8" t="s">
        <v>2596</v>
      </c>
      <c r="H3088" s="13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33"/>
        <v>45502</v>
      </c>
      <c r="L3088" s="5">
        <f t="shared" si="834"/>
        <v>7</v>
      </c>
      <c r="M3088" s="5">
        <f t="shared" si="835"/>
        <v>2024</v>
      </c>
      <c r="N3088" s="12">
        <v>225</v>
      </c>
      <c r="O3088" s="12"/>
      <c r="P3088" s="12">
        <f t="shared" si="830"/>
        <v>225</v>
      </c>
      <c r="Q3088" s="7">
        <f t="shared" si="828"/>
        <v>5059917.9499999993</v>
      </c>
      <c r="R3088" s="44" t="str">
        <f>VLOOKUP(F3088,'Set up'!$A$2:$E$55,5,FALSE)</f>
        <v>Cash</v>
      </c>
    </row>
    <row r="3089" spans="1:18" ht="15" customHeight="1" x14ac:dyDescent="0.3">
      <c r="A3089" s="4">
        <v>45503</v>
      </c>
      <c r="B3089" s="5">
        <f t="shared" si="831"/>
        <v>7</v>
      </c>
      <c r="C3089" s="5">
        <f t="shared" si="832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8" t="s">
        <v>1895</v>
      </c>
      <c r="H3089" s="13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33"/>
        <v>45503</v>
      </c>
      <c r="L3089" s="5">
        <f t="shared" si="834"/>
        <v>7</v>
      </c>
      <c r="M3089" s="5">
        <f t="shared" si="835"/>
        <v>2024</v>
      </c>
      <c r="N3089" s="12">
        <v>1760</v>
      </c>
      <c r="O3089" s="12"/>
      <c r="P3089" s="12">
        <f t="shared" si="830"/>
        <v>1760</v>
      </c>
      <c r="Q3089" s="7">
        <f t="shared" si="828"/>
        <v>5061677.9499999993</v>
      </c>
      <c r="R3089" s="44" t="str">
        <f>VLOOKUP(F3089,'Set up'!$A$2:$E$55,5,FALSE)</f>
        <v>Cash</v>
      </c>
    </row>
    <row r="3090" spans="1:18" ht="15" customHeight="1" x14ac:dyDescent="0.3">
      <c r="A3090" s="4">
        <v>45503</v>
      </c>
      <c r="B3090" s="5">
        <f t="shared" si="831"/>
        <v>7</v>
      </c>
      <c r="C3090" s="5">
        <f t="shared" si="832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8" t="s">
        <v>2199</v>
      </c>
      <c r="H3090" s="13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33"/>
        <v>45503</v>
      </c>
      <c r="L3090" s="5">
        <f t="shared" si="834"/>
        <v>7</v>
      </c>
      <c r="M3090" s="5">
        <f t="shared" si="835"/>
        <v>2024</v>
      </c>
      <c r="N3090" s="12">
        <v>555</v>
      </c>
      <c r="O3090" s="12"/>
      <c r="P3090" s="12">
        <f t="shared" si="830"/>
        <v>555</v>
      </c>
      <c r="Q3090" s="7">
        <f t="shared" ref="Q3090:Q3093" si="836">SUM(Q3089+N3090)</f>
        <v>5062232.9499999993</v>
      </c>
      <c r="R3090" s="44" t="str">
        <f>VLOOKUP(F3090,'Set up'!$A$2:$E$55,5,FALSE)</f>
        <v>Cash</v>
      </c>
    </row>
    <row r="3091" spans="1:18" ht="15" customHeight="1" x14ac:dyDescent="0.3">
      <c r="A3091" s="4">
        <v>45503</v>
      </c>
      <c r="B3091" s="5">
        <f t="shared" si="831"/>
        <v>7</v>
      </c>
      <c r="C3091" s="5">
        <f t="shared" si="832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8" t="s">
        <v>1062</v>
      </c>
      <c r="H3091" s="13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33"/>
        <v>45503</v>
      </c>
      <c r="L3091" s="5">
        <f t="shared" si="834"/>
        <v>7</v>
      </c>
      <c r="M3091" s="5">
        <f t="shared" si="835"/>
        <v>2024</v>
      </c>
      <c r="N3091" s="12">
        <v>95</v>
      </c>
      <c r="O3091" s="12"/>
      <c r="P3091" s="12">
        <f t="shared" si="830"/>
        <v>95</v>
      </c>
      <c r="Q3091" s="7">
        <f t="shared" si="836"/>
        <v>5062327.9499999993</v>
      </c>
      <c r="R3091" s="44" t="str">
        <f>VLOOKUP(F3091,'Set up'!$A$2:$E$55,5,FALSE)</f>
        <v>Cash</v>
      </c>
    </row>
    <row r="3092" spans="1:18" ht="15" customHeight="1" x14ac:dyDescent="0.3">
      <c r="A3092" s="4">
        <v>45503</v>
      </c>
      <c r="B3092" s="5">
        <f t="shared" si="831"/>
        <v>7</v>
      </c>
      <c r="C3092" s="5">
        <f t="shared" si="832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8" t="s">
        <v>2722</v>
      </c>
      <c r="H3092" s="13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33"/>
        <v>45503</v>
      </c>
      <c r="L3092" s="5">
        <f t="shared" si="834"/>
        <v>7</v>
      </c>
      <c r="M3092" s="5">
        <f t="shared" si="835"/>
        <v>2024</v>
      </c>
      <c r="N3092" s="12">
        <v>312.5</v>
      </c>
      <c r="O3092" s="12"/>
      <c r="P3092" s="12">
        <f t="shared" si="830"/>
        <v>312.5</v>
      </c>
      <c r="Q3092" s="7">
        <f t="shared" si="836"/>
        <v>5062640.4499999993</v>
      </c>
      <c r="R3092" s="44" t="str">
        <f>VLOOKUP(F3092,'Set up'!$A$2:$E$55,5,FALSE)</f>
        <v>Cash</v>
      </c>
    </row>
    <row r="3093" spans="1:18" ht="15" customHeight="1" x14ac:dyDescent="0.3">
      <c r="A3093" s="4">
        <v>45506</v>
      </c>
      <c r="B3093" s="5">
        <f t="shared" ref="B3093" si="837">MONTH(A3093)</f>
        <v>8</v>
      </c>
      <c r="C3093" s="5">
        <f t="shared" ref="C3093" si="838">YEAR(A3093)</f>
        <v>2024</v>
      </c>
      <c r="D3093" s="5" t="s">
        <v>2858</v>
      </c>
      <c r="E3093" s="5" t="str">
        <f>VLOOKUP(F3093,'Set up'!$A$2:$C$55,2,FALSE)</f>
        <v>C00000037</v>
      </c>
      <c r="F3093" s="1" t="s">
        <v>1310</v>
      </c>
      <c r="G3093" s="11" t="s">
        <v>1895</v>
      </c>
      <c r="H3093" s="13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" si="839">A3093+J3093</f>
        <v>45536</v>
      </c>
      <c r="L3093" s="5">
        <f t="shared" ref="L3093" si="840">MONTH(K3093)</f>
        <v>9</v>
      </c>
      <c r="M3093" s="5">
        <f t="shared" ref="M3093" si="841">YEAR(K3093)</f>
        <v>2024</v>
      </c>
      <c r="N3093" s="12">
        <v>5280</v>
      </c>
      <c r="O3093" s="12"/>
      <c r="P3093" s="12">
        <f t="shared" si="830"/>
        <v>5280</v>
      </c>
      <c r="Q3093" s="7">
        <f t="shared" si="836"/>
        <v>5067920.4499999993</v>
      </c>
      <c r="R3093" s="44" t="str">
        <f>VLOOKUP(F3093,'Set up'!$A$2:$E$55,5,FALSE)</f>
        <v>Chq</v>
      </c>
    </row>
    <row r="3094" spans="1:18" ht="15" customHeight="1" x14ac:dyDescent="0.3">
      <c r="A3094" s="4">
        <v>45506</v>
      </c>
      <c r="B3094" s="5">
        <f t="shared" ref="B3094:B3173" si="842">MONTH(A3094)</f>
        <v>8</v>
      </c>
      <c r="C3094" s="5">
        <f t="shared" ref="C3094:C3173" si="843">YEAR(A3094)</f>
        <v>2024</v>
      </c>
      <c r="D3094" s="5" t="s">
        <v>2858</v>
      </c>
      <c r="E3094" s="5" t="str">
        <f>VLOOKUP(F3094,'Set up'!$A$2:$C$55,2,FALSE)</f>
        <v>C00000037</v>
      </c>
      <c r="F3094" s="1" t="s">
        <v>1310</v>
      </c>
      <c r="G3094" s="11" t="s">
        <v>708</v>
      </c>
      <c r="H3094" s="13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ref="K3094:K3173" si="844">A3094+J3094</f>
        <v>45536</v>
      </c>
      <c r="L3094" s="5">
        <f t="shared" ref="L3094:L3173" si="845">MONTH(K3094)</f>
        <v>9</v>
      </c>
      <c r="M3094" s="5">
        <f t="shared" ref="M3094:M3173" si="846">YEAR(K3094)</f>
        <v>2024</v>
      </c>
      <c r="N3094" s="12">
        <v>842.4</v>
      </c>
      <c r="O3094" s="12"/>
      <c r="P3094" s="12">
        <f t="shared" ref="P3094:P3173" si="847">SUM(N3094+O3094)</f>
        <v>842.4</v>
      </c>
      <c r="Q3094" s="7">
        <f t="shared" ref="Q3094:Q3147" si="848">SUM(Q3093+N3094)</f>
        <v>5068762.8499999996</v>
      </c>
      <c r="R3094" s="44" t="str">
        <f>VLOOKUP(F3094,'Set up'!$A$2:$E$55,5,FALSE)</f>
        <v>Chq</v>
      </c>
    </row>
    <row r="3095" spans="1:18" ht="15" customHeight="1" x14ac:dyDescent="0.3">
      <c r="A3095" s="4">
        <v>45506</v>
      </c>
      <c r="B3095" s="5">
        <f t="shared" si="842"/>
        <v>8</v>
      </c>
      <c r="C3095" s="5">
        <f t="shared" si="843"/>
        <v>2024</v>
      </c>
      <c r="D3095" s="5" t="s">
        <v>2858</v>
      </c>
      <c r="E3095" s="5" t="str">
        <f>VLOOKUP(F3095,'Set up'!$A$2:$C$55,2,FALSE)</f>
        <v>C00000037</v>
      </c>
      <c r="F3095" s="1" t="s">
        <v>1310</v>
      </c>
      <c r="G3095" s="11" t="s">
        <v>2629</v>
      </c>
      <c r="H3095" s="13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44"/>
        <v>45536</v>
      </c>
      <c r="L3095" s="5">
        <f t="shared" si="845"/>
        <v>9</v>
      </c>
      <c r="M3095" s="5">
        <f t="shared" si="846"/>
        <v>2024</v>
      </c>
      <c r="N3095" s="12">
        <v>842.4</v>
      </c>
      <c r="O3095" s="12"/>
      <c r="P3095" s="12">
        <f t="shared" si="847"/>
        <v>842.4</v>
      </c>
      <c r="Q3095" s="7">
        <f t="shared" si="848"/>
        <v>5069605.25</v>
      </c>
      <c r="R3095" s="44" t="str">
        <f>VLOOKUP(F3095,'Set up'!$A$2:$E$55,5,FALSE)</f>
        <v>Chq</v>
      </c>
    </row>
    <row r="3096" spans="1:18" ht="15" customHeight="1" x14ac:dyDescent="0.3">
      <c r="A3096" s="4">
        <v>45506</v>
      </c>
      <c r="B3096" s="5">
        <f t="shared" si="842"/>
        <v>8</v>
      </c>
      <c r="C3096" s="5">
        <f t="shared" si="843"/>
        <v>2024</v>
      </c>
      <c r="D3096" s="5" t="s">
        <v>2858</v>
      </c>
      <c r="E3096" s="5" t="str">
        <f>VLOOKUP(F3096,'Set up'!$A$2:$C$55,2,FALSE)</f>
        <v>C00000037</v>
      </c>
      <c r="F3096" s="1" t="s">
        <v>1310</v>
      </c>
      <c r="G3096" s="98" t="s">
        <v>1406</v>
      </c>
      <c r="H3096" s="13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44"/>
        <v>45536</v>
      </c>
      <c r="L3096" s="5">
        <f t="shared" si="845"/>
        <v>9</v>
      </c>
      <c r="M3096" s="5">
        <f t="shared" si="846"/>
        <v>2024</v>
      </c>
      <c r="N3096" s="12">
        <v>240</v>
      </c>
      <c r="O3096" s="12"/>
      <c r="P3096" s="12">
        <f t="shared" si="847"/>
        <v>240</v>
      </c>
      <c r="Q3096" s="7">
        <f t="shared" si="848"/>
        <v>5069845.25</v>
      </c>
      <c r="R3096" s="44" t="str">
        <f>VLOOKUP(F3096,'Set up'!$A$2:$E$55,5,FALSE)</f>
        <v>Chq</v>
      </c>
    </row>
    <row r="3097" spans="1:18" ht="15" customHeight="1" x14ac:dyDescent="0.3">
      <c r="A3097" s="4">
        <v>45506</v>
      </c>
      <c r="B3097" s="5">
        <f t="shared" si="842"/>
        <v>8</v>
      </c>
      <c r="C3097" s="5">
        <f t="shared" si="843"/>
        <v>2024</v>
      </c>
      <c r="D3097" s="5" t="s">
        <v>2858</v>
      </c>
      <c r="E3097" s="5" t="str">
        <f>VLOOKUP(F3097,'Set up'!$A$2:$C$55,2,FALSE)</f>
        <v>C00000037</v>
      </c>
      <c r="F3097" s="1" t="s">
        <v>1310</v>
      </c>
      <c r="G3097" s="90" t="s">
        <v>1111</v>
      </c>
      <c r="H3097" s="13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44"/>
        <v>45536</v>
      </c>
      <c r="L3097" s="5">
        <f t="shared" si="845"/>
        <v>9</v>
      </c>
      <c r="M3097" s="5">
        <f t="shared" si="846"/>
        <v>2024</v>
      </c>
      <c r="N3097" s="12">
        <v>312.5</v>
      </c>
      <c r="O3097" s="12"/>
      <c r="P3097" s="12">
        <f t="shared" si="847"/>
        <v>312.5</v>
      </c>
      <c r="Q3097" s="7">
        <f t="shared" si="848"/>
        <v>5070157.75</v>
      </c>
      <c r="R3097" s="44" t="str">
        <f>VLOOKUP(F3097,'Set up'!$A$2:$E$55,5,FALSE)</f>
        <v>Chq</v>
      </c>
    </row>
    <row r="3098" spans="1:18" ht="15" customHeight="1" x14ac:dyDescent="0.3">
      <c r="A3098" s="4">
        <v>45506</v>
      </c>
      <c r="B3098" s="5">
        <f t="shared" si="842"/>
        <v>8</v>
      </c>
      <c r="C3098" s="5">
        <f t="shared" si="843"/>
        <v>2024</v>
      </c>
      <c r="D3098" s="5" t="s">
        <v>2858</v>
      </c>
      <c r="E3098" s="5" t="str">
        <f>VLOOKUP(F3098,'Set up'!$A$2:$C$55,2,FALSE)</f>
        <v>C00000037</v>
      </c>
      <c r="F3098" s="1" t="s">
        <v>1310</v>
      </c>
      <c r="G3098" s="98" t="s">
        <v>1547</v>
      </c>
      <c r="H3098" s="13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44"/>
        <v>45536</v>
      </c>
      <c r="L3098" s="5">
        <f t="shared" si="845"/>
        <v>9</v>
      </c>
      <c r="M3098" s="5">
        <f t="shared" si="846"/>
        <v>2024</v>
      </c>
      <c r="N3098" s="12">
        <v>930</v>
      </c>
      <c r="O3098" s="12"/>
      <c r="P3098" s="12">
        <f t="shared" si="847"/>
        <v>930</v>
      </c>
      <c r="Q3098" s="7">
        <f t="shared" si="848"/>
        <v>5071087.75</v>
      </c>
      <c r="R3098" s="44" t="str">
        <f>VLOOKUP(F3098,'Set up'!$A$2:$E$55,5,FALSE)</f>
        <v>Chq</v>
      </c>
    </row>
    <row r="3099" spans="1:18" ht="15" customHeight="1" x14ac:dyDescent="0.3">
      <c r="A3099" s="4">
        <v>45506</v>
      </c>
      <c r="B3099" s="5">
        <f t="shared" si="842"/>
        <v>8</v>
      </c>
      <c r="C3099" s="5">
        <f t="shared" si="843"/>
        <v>2024</v>
      </c>
      <c r="D3099" s="5" t="s">
        <v>2858</v>
      </c>
      <c r="E3099" s="5" t="str">
        <f>VLOOKUP(F3099,'Set up'!$A$2:$C$55,2,FALSE)</f>
        <v>C00000037</v>
      </c>
      <c r="F3099" s="1" t="s">
        <v>1310</v>
      </c>
      <c r="G3099" s="98" t="s">
        <v>1062</v>
      </c>
      <c r="H3099" s="13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44"/>
        <v>45536</v>
      </c>
      <c r="L3099" s="5">
        <f t="shared" si="845"/>
        <v>9</v>
      </c>
      <c r="M3099" s="5">
        <f t="shared" si="846"/>
        <v>2024</v>
      </c>
      <c r="N3099" s="12">
        <v>285</v>
      </c>
      <c r="O3099" s="12"/>
      <c r="P3099" s="12">
        <f t="shared" si="847"/>
        <v>285</v>
      </c>
      <c r="Q3099" s="7">
        <f t="shared" si="848"/>
        <v>5071372.75</v>
      </c>
      <c r="R3099" s="44" t="str">
        <f>VLOOKUP(F3099,'Set up'!$A$2:$E$55,5,FALSE)</f>
        <v>Chq</v>
      </c>
    </row>
    <row r="3100" spans="1:18" ht="15" customHeight="1" x14ac:dyDescent="0.3">
      <c r="A3100" s="4">
        <v>45509</v>
      </c>
      <c r="B3100" s="5">
        <f t="shared" si="842"/>
        <v>8</v>
      </c>
      <c r="C3100" s="5">
        <f t="shared" si="843"/>
        <v>2024</v>
      </c>
      <c r="D3100" s="5" t="s">
        <v>2859</v>
      </c>
      <c r="E3100" s="5" t="str">
        <f>VLOOKUP(F3100,'Set up'!$A$2:$C$55,2,FALSE)</f>
        <v>C00000042</v>
      </c>
      <c r="F3100" s="1" t="s">
        <v>2013</v>
      </c>
      <c r="G3100" s="102" t="s">
        <v>1062</v>
      </c>
      <c r="H3100" s="13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44"/>
        <v>45509</v>
      </c>
      <c r="L3100" s="5">
        <f t="shared" si="845"/>
        <v>8</v>
      </c>
      <c r="M3100" s="5">
        <f t="shared" si="846"/>
        <v>2024</v>
      </c>
      <c r="N3100" s="12">
        <v>190</v>
      </c>
      <c r="O3100" s="12"/>
      <c r="P3100" s="12">
        <f t="shared" si="847"/>
        <v>190</v>
      </c>
      <c r="Q3100" s="7">
        <f t="shared" si="848"/>
        <v>5071562.75</v>
      </c>
      <c r="R3100" s="44" t="str">
        <f>VLOOKUP(F3100,'Set up'!$A$2:$E$55,5,FALSE)</f>
        <v>Trsf</v>
      </c>
    </row>
    <row r="3101" spans="1:18" ht="15" customHeight="1" x14ac:dyDescent="0.3">
      <c r="A3101" s="4">
        <v>45509</v>
      </c>
      <c r="B3101" s="5">
        <f t="shared" si="842"/>
        <v>8</v>
      </c>
      <c r="C3101" s="5">
        <f t="shared" si="843"/>
        <v>2024</v>
      </c>
      <c r="D3101" s="5" t="s">
        <v>2859</v>
      </c>
      <c r="E3101" s="5" t="str">
        <f>VLOOKUP(F3101,'Set up'!$A$2:$C$55,2,FALSE)</f>
        <v>C00000042</v>
      </c>
      <c r="F3101" s="1" t="s">
        <v>2013</v>
      </c>
      <c r="G3101" s="90" t="s">
        <v>17</v>
      </c>
      <c r="H3101" s="13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44"/>
        <v>45509</v>
      </c>
      <c r="L3101" s="5">
        <f t="shared" si="845"/>
        <v>8</v>
      </c>
      <c r="M3101" s="5">
        <f t="shared" si="846"/>
        <v>2024</v>
      </c>
      <c r="N3101" s="12">
        <v>220</v>
      </c>
      <c r="O3101" s="12"/>
      <c r="P3101" s="12">
        <f t="shared" si="847"/>
        <v>220</v>
      </c>
      <c r="Q3101" s="7">
        <f t="shared" si="848"/>
        <v>5071782.75</v>
      </c>
      <c r="R3101" s="44" t="str">
        <f>VLOOKUP(F3101,'Set up'!$A$2:$E$55,5,FALSE)</f>
        <v>Trsf</v>
      </c>
    </row>
    <row r="3102" spans="1:18" ht="15" customHeight="1" x14ac:dyDescent="0.3">
      <c r="A3102" s="4">
        <v>45509</v>
      </c>
      <c r="B3102" s="5">
        <f t="shared" si="842"/>
        <v>8</v>
      </c>
      <c r="C3102" s="5">
        <f t="shared" si="843"/>
        <v>2024</v>
      </c>
      <c r="D3102" s="5" t="s">
        <v>2860</v>
      </c>
      <c r="E3102" s="5" t="str">
        <f>VLOOKUP(F3102,'Set up'!$A$2:$C$55,2,FALSE)</f>
        <v>C00000006</v>
      </c>
      <c r="F3102" s="1" t="s">
        <v>43</v>
      </c>
      <c r="G3102" s="98" t="s">
        <v>95</v>
      </c>
      <c r="H3102" s="13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44"/>
        <v>45509</v>
      </c>
      <c r="L3102" s="5">
        <f t="shared" si="845"/>
        <v>8</v>
      </c>
      <c r="M3102" s="5">
        <f t="shared" si="846"/>
        <v>2024</v>
      </c>
      <c r="N3102" s="12">
        <v>8690</v>
      </c>
      <c r="O3102" s="12"/>
      <c r="P3102" s="12">
        <f t="shared" si="847"/>
        <v>8690</v>
      </c>
      <c r="Q3102" s="7">
        <f t="shared" si="848"/>
        <v>5080472.75</v>
      </c>
      <c r="R3102" s="44" t="str">
        <f>VLOOKUP(F3102,'Set up'!$A$2:$E$55,5,FALSE)</f>
        <v>Chq</v>
      </c>
    </row>
    <row r="3103" spans="1:18" ht="15" customHeight="1" x14ac:dyDescent="0.3">
      <c r="A3103" s="4">
        <v>45509</v>
      </c>
      <c r="B3103" s="5">
        <f t="shared" si="842"/>
        <v>8</v>
      </c>
      <c r="C3103" s="5">
        <f t="shared" si="843"/>
        <v>2024</v>
      </c>
      <c r="D3103" s="5" t="s">
        <v>2860</v>
      </c>
      <c r="E3103" s="5" t="str">
        <f>VLOOKUP(F3103,'Set up'!$A$2:$C$55,2,FALSE)</f>
        <v>C00000006</v>
      </c>
      <c r="F3103" s="1" t="s">
        <v>43</v>
      </c>
      <c r="G3103" s="90" t="s">
        <v>1797</v>
      </c>
      <c r="H3103" s="13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44"/>
        <v>45509</v>
      </c>
      <c r="L3103" s="5">
        <f t="shared" si="845"/>
        <v>8</v>
      </c>
      <c r="M3103" s="5">
        <f t="shared" si="846"/>
        <v>2024</v>
      </c>
      <c r="N3103" s="12">
        <v>2700</v>
      </c>
      <c r="O3103" s="12"/>
      <c r="P3103" s="12">
        <f t="shared" si="847"/>
        <v>2700</v>
      </c>
      <c r="Q3103" s="7">
        <f t="shared" si="848"/>
        <v>5083172.75</v>
      </c>
      <c r="R3103" s="44" t="str">
        <f>VLOOKUP(F3103,'Set up'!$A$2:$E$55,5,FALSE)</f>
        <v>Chq</v>
      </c>
    </row>
    <row r="3104" spans="1:18" ht="15" customHeight="1" x14ac:dyDescent="0.3">
      <c r="A3104" s="4">
        <v>45509</v>
      </c>
      <c r="B3104" s="5">
        <f t="shared" si="842"/>
        <v>8</v>
      </c>
      <c r="C3104" s="5">
        <f t="shared" si="843"/>
        <v>2024</v>
      </c>
      <c r="D3104" s="5" t="s">
        <v>2860</v>
      </c>
      <c r="E3104" s="5" t="str">
        <f>VLOOKUP(F3104,'Set up'!$A$2:$C$55,2,FALSE)</f>
        <v>C00000006</v>
      </c>
      <c r="F3104" s="1" t="s">
        <v>43</v>
      </c>
      <c r="G3104" s="90" t="s">
        <v>17</v>
      </c>
      <c r="H3104" s="13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44"/>
        <v>45509</v>
      </c>
      <c r="L3104" s="5">
        <f t="shared" si="845"/>
        <v>8</v>
      </c>
      <c r="M3104" s="5">
        <f t="shared" si="846"/>
        <v>2024</v>
      </c>
      <c r="N3104" s="12">
        <v>220</v>
      </c>
      <c r="O3104" s="12"/>
      <c r="P3104" s="12">
        <f t="shared" si="847"/>
        <v>220</v>
      </c>
      <c r="Q3104" s="7">
        <f t="shared" si="848"/>
        <v>5083392.75</v>
      </c>
      <c r="R3104" s="44" t="str">
        <f>VLOOKUP(F3104,'Set up'!$A$2:$E$55,5,FALSE)</f>
        <v>Chq</v>
      </c>
    </row>
    <row r="3105" spans="1:18" ht="15" customHeight="1" x14ac:dyDescent="0.3">
      <c r="A3105" s="4">
        <v>45509</v>
      </c>
      <c r="B3105" s="5">
        <f t="shared" si="842"/>
        <v>8</v>
      </c>
      <c r="C3105" s="5">
        <f t="shared" si="843"/>
        <v>2024</v>
      </c>
      <c r="D3105" s="5" t="s">
        <v>2860</v>
      </c>
      <c r="E3105" s="5" t="str">
        <f>VLOOKUP(F3105,'Set up'!$A$2:$C$55,2,FALSE)</f>
        <v>C00000006</v>
      </c>
      <c r="F3105" s="1" t="s">
        <v>43</v>
      </c>
      <c r="G3105" s="11" t="s">
        <v>2861</v>
      </c>
      <c r="H3105" s="13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44"/>
        <v>45509</v>
      </c>
      <c r="L3105" s="5">
        <f t="shared" si="845"/>
        <v>8</v>
      </c>
      <c r="M3105" s="5">
        <f t="shared" si="846"/>
        <v>2024</v>
      </c>
      <c r="N3105" s="12">
        <v>640</v>
      </c>
      <c r="O3105" s="12"/>
      <c r="P3105" s="12">
        <f t="shared" si="847"/>
        <v>640</v>
      </c>
      <c r="Q3105" s="7">
        <f t="shared" si="848"/>
        <v>5084032.75</v>
      </c>
      <c r="R3105" s="44" t="str">
        <f>VLOOKUP(F3105,'Set up'!$A$2:$E$55,5,FALSE)</f>
        <v>Chq</v>
      </c>
    </row>
    <row r="3106" spans="1:18" ht="15" customHeight="1" x14ac:dyDescent="0.3">
      <c r="A3106" s="4">
        <v>45509</v>
      </c>
      <c r="B3106" s="5">
        <f t="shared" si="842"/>
        <v>8</v>
      </c>
      <c r="C3106" s="5">
        <f t="shared" si="843"/>
        <v>2024</v>
      </c>
      <c r="D3106" s="5" t="s">
        <v>2862</v>
      </c>
      <c r="E3106" s="5" t="str">
        <f>VLOOKUP(F3106,'Set up'!$A$2:$C$55,2,FALSE)</f>
        <v>C00000044</v>
      </c>
      <c r="F3106" s="1" t="s">
        <v>2959</v>
      </c>
      <c r="G3106" s="133" t="s">
        <v>1564</v>
      </c>
      <c r="H3106" s="13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44"/>
        <v>45509</v>
      </c>
      <c r="L3106" s="5">
        <f t="shared" si="845"/>
        <v>8</v>
      </c>
      <c r="M3106" s="5">
        <f t="shared" si="846"/>
        <v>2024</v>
      </c>
      <c r="N3106" s="95">
        <v>1694</v>
      </c>
      <c r="O3106" s="12"/>
      <c r="P3106" s="12">
        <f t="shared" si="847"/>
        <v>1694</v>
      </c>
      <c r="Q3106" s="7">
        <f t="shared" si="848"/>
        <v>5085726.75</v>
      </c>
      <c r="R3106" s="44" t="str">
        <f>VLOOKUP(F3106,'Set up'!$A$2:$E$55,5,FALSE)</f>
        <v>Cash</v>
      </c>
    </row>
    <row r="3107" spans="1:18" ht="15" customHeight="1" x14ac:dyDescent="0.3">
      <c r="A3107" s="4">
        <v>45509</v>
      </c>
      <c r="B3107" s="5">
        <f t="shared" si="842"/>
        <v>8</v>
      </c>
      <c r="C3107" s="5">
        <f t="shared" si="843"/>
        <v>2024</v>
      </c>
      <c r="D3107" s="5" t="s">
        <v>2862</v>
      </c>
      <c r="E3107" s="5" t="str">
        <f>VLOOKUP(F3107,'Set up'!$A$2:$C$55,2,FALSE)</f>
        <v>C00000044</v>
      </c>
      <c r="F3107" s="1" t="s">
        <v>2959</v>
      </c>
      <c r="G3107" s="116" t="s">
        <v>656</v>
      </c>
      <c r="H3107" s="13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44"/>
        <v>45509</v>
      </c>
      <c r="L3107" s="5">
        <f t="shared" si="845"/>
        <v>8</v>
      </c>
      <c r="M3107" s="5">
        <f t="shared" si="846"/>
        <v>2024</v>
      </c>
      <c r="N3107" s="95">
        <v>280</v>
      </c>
      <c r="O3107" s="12"/>
      <c r="P3107" s="12">
        <f t="shared" si="847"/>
        <v>280</v>
      </c>
      <c r="Q3107" s="7">
        <f t="shared" si="848"/>
        <v>5086006.75</v>
      </c>
      <c r="R3107" s="44" t="str">
        <f>VLOOKUP(F3107,'Set up'!$A$2:$E$55,5,FALSE)</f>
        <v>Cash</v>
      </c>
    </row>
    <row r="3108" spans="1:18" ht="15" customHeight="1" x14ac:dyDescent="0.3">
      <c r="A3108" s="4">
        <v>45509</v>
      </c>
      <c r="B3108" s="5">
        <f t="shared" si="842"/>
        <v>8</v>
      </c>
      <c r="C3108" s="5">
        <f t="shared" si="843"/>
        <v>2024</v>
      </c>
      <c r="D3108" s="5" t="s">
        <v>2862</v>
      </c>
      <c r="E3108" s="5" t="str">
        <f>VLOOKUP(F3108,'Set up'!$A$2:$C$55,2,FALSE)</f>
        <v>C00000044</v>
      </c>
      <c r="F3108" s="1" t="s">
        <v>2959</v>
      </c>
      <c r="G3108" s="116" t="s">
        <v>1469</v>
      </c>
      <c r="H3108" s="13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44"/>
        <v>45509</v>
      </c>
      <c r="L3108" s="5">
        <f t="shared" si="845"/>
        <v>8</v>
      </c>
      <c r="M3108" s="5">
        <f t="shared" si="846"/>
        <v>2024</v>
      </c>
      <c r="N3108" s="95">
        <v>325</v>
      </c>
      <c r="O3108" s="12"/>
      <c r="P3108" s="12">
        <f t="shared" si="847"/>
        <v>325</v>
      </c>
      <c r="Q3108" s="7">
        <f t="shared" si="848"/>
        <v>5086331.75</v>
      </c>
      <c r="R3108" s="44" t="str">
        <f>VLOOKUP(F3108,'Set up'!$A$2:$E$55,5,FALSE)</f>
        <v>Cash</v>
      </c>
    </row>
    <row r="3109" spans="1:18" ht="15" customHeight="1" x14ac:dyDescent="0.3">
      <c r="A3109" s="4">
        <v>45509</v>
      </c>
      <c r="B3109" s="5">
        <f t="shared" si="842"/>
        <v>8</v>
      </c>
      <c r="C3109" s="5">
        <f t="shared" si="843"/>
        <v>2024</v>
      </c>
      <c r="D3109" s="5" t="s">
        <v>2862</v>
      </c>
      <c r="E3109" s="5" t="str">
        <f>VLOOKUP(F3109,'Set up'!$A$2:$C$55,2,FALSE)</f>
        <v>C00000044</v>
      </c>
      <c r="F3109" s="1" t="s">
        <v>2959</v>
      </c>
      <c r="G3109" s="116" t="s">
        <v>1352</v>
      </c>
      <c r="H3109" s="13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44"/>
        <v>45509</v>
      </c>
      <c r="L3109" s="5">
        <f t="shared" si="845"/>
        <v>8</v>
      </c>
      <c r="M3109" s="5">
        <f t="shared" si="846"/>
        <v>2024</v>
      </c>
      <c r="N3109" s="12">
        <v>414</v>
      </c>
      <c r="O3109" s="12"/>
      <c r="P3109" s="12">
        <f t="shared" si="847"/>
        <v>414</v>
      </c>
      <c r="Q3109" s="7">
        <f t="shared" si="848"/>
        <v>5086745.75</v>
      </c>
      <c r="R3109" s="44" t="str">
        <f>VLOOKUP(F3109,'Set up'!$A$2:$E$55,5,FALSE)</f>
        <v>Cash</v>
      </c>
    </row>
    <row r="3110" spans="1:18" ht="15" customHeight="1" x14ac:dyDescent="0.3">
      <c r="A3110" s="4">
        <v>45509</v>
      </c>
      <c r="B3110" s="5">
        <f t="shared" si="842"/>
        <v>8</v>
      </c>
      <c r="C3110" s="5">
        <f t="shared" si="843"/>
        <v>2024</v>
      </c>
      <c r="D3110" s="5" t="s">
        <v>2862</v>
      </c>
      <c r="E3110" s="5" t="str">
        <f>VLOOKUP(F3110,'Set up'!$A$2:$C$55,2,FALSE)</f>
        <v>C00000044</v>
      </c>
      <c r="F3110" s="1" t="s">
        <v>2959</v>
      </c>
      <c r="G3110" s="116" t="s">
        <v>1716</v>
      </c>
      <c r="H3110" s="13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44"/>
        <v>45509</v>
      </c>
      <c r="L3110" s="5">
        <f t="shared" si="845"/>
        <v>8</v>
      </c>
      <c r="M3110" s="5">
        <f t="shared" si="846"/>
        <v>2024</v>
      </c>
      <c r="N3110" s="12">
        <v>165</v>
      </c>
      <c r="O3110" s="12"/>
      <c r="P3110" s="12">
        <f t="shared" si="847"/>
        <v>165</v>
      </c>
      <c r="Q3110" s="7">
        <f t="shared" si="848"/>
        <v>5086910.75</v>
      </c>
      <c r="R3110" s="44" t="str">
        <f>VLOOKUP(F3110,'Set up'!$A$2:$E$55,5,FALSE)</f>
        <v>Cash</v>
      </c>
    </row>
    <row r="3111" spans="1:18" ht="15" customHeight="1" x14ac:dyDescent="0.3">
      <c r="A3111" s="4">
        <v>45510</v>
      </c>
      <c r="B3111" s="5">
        <f t="shared" si="842"/>
        <v>8</v>
      </c>
      <c r="C3111" s="5">
        <f t="shared" si="843"/>
        <v>2024</v>
      </c>
      <c r="D3111" s="5" t="s">
        <v>2863</v>
      </c>
      <c r="E3111" s="5" t="str">
        <f>VLOOKUP(F3111,'Set up'!$A$2:$C$55,2,FALSE)</f>
        <v>C00000050</v>
      </c>
      <c r="F3111" s="1" t="s">
        <v>2732</v>
      </c>
      <c r="G3111" s="132" t="s">
        <v>2625</v>
      </c>
      <c r="H3111" s="13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44"/>
        <v>45510</v>
      </c>
      <c r="L3111" s="5">
        <f t="shared" si="845"/>
        <v>8</v>
      </c>
      <c r="M3111" s="5">
        <f t="shared" si="846"/>
        <v>2024</v>
      </c>
      <c r="N3111" s="12">
        <v>1760</v>
      </c>
      <c r="O3111" s="12"/>
      <c r="P3111" s="12">
        <f t="shared" si="847"/>
        <v>1760</v>
      </c>
      <c r="Q3111" s="7">
        <f t="shared" si="848"/>
        <v>5088670.75</v>
      </c>
      <c r="R3111" s="44" t="str">
        <f>VLOOKUP(F3111,'Set up'!$A$2:$E$55,5,FALSE)</f>
        <v>Cash</v>
      </c>
    </row>
    <row r="3112" spans="1:18" ht="15" customHeight="1" x14ac:dyDescent="0.3">
      <c r="A3112" s="4">
        <v>45510</v>
      </c>
      <c r="B3112" s="5">
        <f t="shared" si="842"/>
        <v>8</v>
      </c>
      <c r="C3112" s="5">
        <f t="shared" si="843"/>
        <v>2024</v>
      </c>
      <c r="D3112" s="5" t="s">
        <v>2863</v>
      </c>
      <c r="E3112" s="5" t="str">
        <f>VLOOKUP(F3112,'Set up'!$A$2:$C$55,2,FALSE)</f>
        <v>C00000050</v>
      </c>
      <c r="F3112" s="1" t="s">
        <v>2732</v>
      </c>
      <c r="G3112" s="98" t="s">
        <v>2199</v>
      </c>
      <c r="H3112" s="13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44"/>
        <v>45510</v>
      </c>
      <c r="L3112" s="5">
        <f t="shared" si="845"/>
        <v>8</v>
      </c>
      <c r="M3112" s="5">
        <f t="shared" si="846"/>
        <v>2024</v>
      </c>
      <c r="N3112" s="12">
        <v>832.5</v>
      </c>
      <c r="O3112" s="12"/>
      <c r="P3112" s="12">
        <f t="shared" si="847"/>
        <v>832.5</v>
      </c>
      <c r="Q3112" s="7">
        <f t="shared" si="848"/>
        <v>5089503.25</v>
      </c>
      <c r="R3112" s="44" t="str">
        <f>VLOOKUP(F3112,'Set up'!$A$2:$E$55,5,FALSE)</f>
        <v>Cash</v>
      </c>
    </row>
    <row r="3113" spans="1:18" ht="15" customHeight="1" x14ac:dyDescent="0.3">
      <c r="A3113" s="4">
        <v>45510</v>
      </c>
      <c r="B3113" s="5">
        <f t="shared" si="842"/>
        <v>8</v>
      </c>
      <c r="C3113" s="5">
        <f t="shared" si="843"/>
        <v>2024</v>
      </c>
      <c r="D3113" s="5" t="s">
        <v>2863</v>
      </c>
      <c r="E3113" s="5" t="str">
        <f>VLOOKUP(F3113,'Set up'!$A$2:$C$55,2,FALSE)</f>
        <v>C00000050</v>
      </c>
      <c r="F3113" s="1" t="s">
        <v>2732</v>
      </c>
      <c r="G3113" s="98" t="s">
        <v>1062</v>
      </c>
      <c r="H3113" s="13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44"/>
        <v>45510</v>
      </c>
      <c r="L3113" s="5">
        <f t="shared" si="845"/>
        <v>8</v>
      </c>
      <c r="M3113" s="5">
        <f t="shared" si="846"/>
        <v>2024</v>
      </c>
      <c r="N3113" s="12">
        <v>95</v>
      </c>
      <c r="O3113" s="12"/>
      <c r="P3113" s="12">
        <f t="shared" si="847"/>
        <v>95</v>
      </c>
      <c r="Q3113" s="7">
        <f t="shared" si="848"/>
        <v>5089598.25</v>
      </c>
      <c r="R3113" s="44" t="str">
        <f>VLOOKUP(F3113,'Set up'!$A$2:$E$55,5,FALSE)</f>
        <v>Cash</v>
      </c>
    </row>
    <row r="3114" spans="1:18" ht="15" customHeight="1" x14ac:dyDescent="0.3">
      <c r="A3114" s="4">
        <v>45510</v>
      </c>
      <c r="B3114" s="5">
        <f t="shared" si="842"/>
        <v>8</v>
      </c>
      <c r="C3114" s="5">
        <f t="shared" si="843"/>
        <v>2024</v>
      </c>
      <c r="D3114" s="5" t="s">
        <v>2864</v>
      </c>
      <c r="E3114" s="5" t="str">
        <f>VLOOKUP(F3114,'Set up'!$A$2:$C$55,2,FALSE)</f>
        <v>C00000010</v>
      </c>
      <c r="F3114" s="1" t="s">
        <v>62</v>
      </c>
      <c r="G3114" s="134" t="s">
        <v>1403</v>
      </c>
      <c r="H3114" s="13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44"/>
        <v>45630</v>
      </c>
      <c r="L3114" s="5">
        <f t="shared" si="845"/>
        <v>12</v>
      </c>
      <c r="M3114" s="5">
        <f t="shared" si="846"/>
        <v>2024</v>
      </c>
      <c r="N3114" s="12">
        <v>13024</v>
      </c>
      <c r="O3114" s="12"/>
      <c r="P3114" s="12">
        <f t="shared" si="847"/>
        <v>13024</v>
      </c>
      <c r="Q3114" s="7">
        <f t="shared" si="848"/>
        <v>5102622.25</v>
      </c>
      <c r="R3114" s="44" t="str">
        <f>VLOOKUP(F3114,'Set up'!$A$2:$E$55,5,FALSE)</f>
        <v>Trsf</v>
      </c>
    </row>
    <row r="3115" spans="1:18" ht="15" customHeight="1" x14ac:dyDescent="0.3">
      <c r="A3115" s="4">
        <v>45510</v>
      </c>
      <c r="B3115" s="5">
        <f t="shared" si="842"/>
        <v>8</v>
      </c>
      <c r="C3115" s="5">
        <f t="shared" si="843"/>
        <v>2024</v>
      </c>
      <c r="D3115" s="5" t="s">
        <v>2864</v>
      </c>
      <c r="E3115" s="5" t="str">
        <f>VLOOKUP(F3115,'Set up'!$A$2:$C$55,2,FALSE)</f>
        <v>C00000010</v>
      </c>
      <c r="F3115" s="1" t="s">
        <v>62</v>
      </c>
      <c r="G3115" s="90" t="s">
        <v>1544</v>
      </c>
      <c r="H3115" s="13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44"/>
        <v>45630</v>
      </c>
      <c r="L3115" s="5">
        <f t="shared" si="845"/>
        <v>12</v>
      </c>
      <c r="M3115" s="5">
        <f t="shared" si="846"/>
        <v>2024</v>
      </c>
      <c r="N3115" s="12">
        <v>1800</v>
      </c>
      <c r="O3115" s="12"/>
      <c r="P3115" s="12">
        <f t="shared" si="847"/>
        <v>1800</v>
      </c>
      <c r="Q3115" s="7">
        <f t="shared" si="848"/>
        <v>5104422.25</v>
      </c>
      <c r="R3115" s="44" t="str">
        <f>VLOOKUP(F3115,'Set up'!$A$2:$E$55,5,FALSE)</f>
        <v>Trsf</v>
      </c>
    </row>
    <row r="3116" spans="1:18" ht="15" customHeight="1" x14ac:dyDescent="0.3">
      <c r="A3116" s="4">
        <v>45510</v>
      </c>
      <c r="B3116" s="5">
        <f t="shared" si="842"/>
        <v>8</v>
      </c>
      <c r="C3116" s="5">
        <f t="shared" si="843"/>
        <v>2024</v>
      </c>
      <c r="D3116" s="5" t="s">
        <v>2864</v>
      </c>
      <c r="E3116" s="5" t="str">
        <f>VLOOKUP(F3116,'Set up'!$A$2:$C$55,2,FALSE)</f>
        <v>C00000010</v>
      </c>
      <c r="F3116" s="1" t="s">
        <v>62</v>
      </c>
      <c r="G3116" s="90" t="s">
        <v>2711</v>
      </c>
      <c r="H3116" s="13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44"/>
        <v>45630</v>
      </c>
      <c r="L3116" s="5">
        <f t="shared" si="845"/>
        <v>12</v>
      </c>
      <c r="M3116" s="5">
        <f t="shared" si="846"/>
        <v>2024</v>
      </c>
      <c r="N3116" s="12">
        <v>575</v>
      </c>
      <c r="O3116" s="12"/>
      <c r="P3116" s="12">
        <f t="shared" si="847"/>
        <v>575</v>
      </c>
      <c r="Q3116" s="7">
        <f t="shared" si="848"/>
        <v>5104997.25</v>
      </c>
      <c r="R3116" s="44" t="str">
        <f>VLOOKUP(F3116,'Set up'!$A$2:$E$55,5,FALSE)</f>
        <v>Trsf</v>
      </c>
    </row>
    <row r="3117" spans="1:18" ht="15" customHeight="1" x14ac:dyDescent="0.3">
      <c r="A3117" s="4">
        <v>45510</v>
      </c>
      <c r="B3117" s="5">
        <f t="shared" si="842"/>
        <v>8</v>
      </c>
      <c r="C3117" s="5">
        <f t="shared" si="843"/>
        <v>2024</v>
      </c>
      <c r="D3117" s="5" t="s">
        <v>2864</v>
      </c>
      <c r="E3117" s="5" t="str">
        <f>VLOOKUP(F3117,'Set up'!$A$2:$C$55,2,FALSE)</f>
        <v>C00000010</v>
      </c>
      <c r="F3117" s="1" t="s">
        <v>62</v>
      </c>
      <c r="G3117" s="11" t="s">
        <v>46</v>
      </c>
      <c r="H3117" s="13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44"/>
        <v>45630</v>
      </c>
      <c r="L3117" s="5">
        <f t="shared" si="845"/>
        <v>12</v>
      </c>
      <c r="M3117" s="5">
        <f t="shared" si="846"/>
        <v>2024</v>
      </c>
      <c r="N3117" s="12">
        <v>440</v>
      </c>
      <c r="O3117" s="12"/>
      <c r="P3117" s="12">
        <f t="shared" si="847"/>
        <v>440</v>
      </c>
      <c r="Q3117" s="7">
        <f t="shared" si="848"/>
        <v>5105437.25</v>
      </c>
      <c r="R3117" s="44" t="str">
        <f>VLOOKUP(F3117,'Set up'!$A$2:$E$55,5,FALSE)</f>
        <v>Trsf</v>
      </c>
    </row>
    <row r="3118" spans="1:18" ht="15" customHeight="1" x14ac:dyDescent="0.3">
      <c r="A3118" s="4">
        <v>45510</v>
      </c>
      <c r="B3118" s="5">
        <f t="shared" si="842"/>
        <v>8</v>
      </c>
      <c r="C3118" s="5">
        <f t="shared" si="843"/>
        <v>2024</v>
      </c>
      <c r="D3118" s="5" t="s">
        <v>2864</v>
      </c>
      <c r="E3118" s="5" t="str">
        <f>VLOOKUP(F3118,'Set up'!$A$2:$C$55,2,FALSE)</f>
        <v>C00000010</v>
      </c>
      <c r="F3118" s="1" t="s">
        <v>62</v>
      </c>
      <c r="G3118" s="134" t="s">
        <v>2215</v>
      </c>
      <c r="H3118" s="13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44"/>
        <v>45630</v>
      </c>
      <c r="L3118" s="5">
        <f t="shared" si="845"/>
        <v>12</v>
      </c>
      <c r="M3118" s="5">
        <f t="shared" si="846"/>
        <v>2024</v>
      </c>
      <c r="N3118" s="12">
        <v>523.6</v>
      </c>
      <c r="O3118" s="12"/>
      <c r="P3118" s="12">
        <f t="shared" si="847"/>
        <v>523.6</v>
      </c>
      <c r="Q3118" s="7">
        <f t="shared" si="848"/>
        <v>5105960.8499999996</v>
      </c>
      <c r="R3118" s="44" t="str">
        <f>VLOOKUP(F3118,'Set up'!$A$2:$E$55,5,FALSE)</f>
        <v>Trsf</v>
      </c>
    </row>
    <row r="3119" spans="1:18" ht="15" customHeight="1" x14ac:dyDescent="0.3">
      <c r="A3119" s="4">
        <v>45510</v>
      </c>
      <c r="B3119" s="5">
        <f t="shared" si="842"/>
        <v>8</v>
      </c>
      <c r="C3119" s="5">
        <f t="shared" si="843"/>
        <v>2024</v>
      </c>
      <c r="D3119" s="5" t="s">
        <v>2864</v>
      </c>
      <c r="E3119" s="5" t="str">
        <f>VLOOKUP(F3119,'Set up'!$A$2:$C$55,2,FALSE)</f>
        <v>C00000010</v>
      </c>
      <c r="F3119" s="1" t="s">
        <v>62</v>
      </c>
      <c r="G3119" s="90" t="s">
        <v>2522</v>
      </c>
      <c r="H3119" s="13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44"/>
        <v>45630</v>
      </c>
      <c r="L3119" s="5">
        <f t="shared" si="845"/>
        <v>12</v>
      </c>
      <c r="M3119" s="5">
        <f t="shared" si="846"/>
        <v>2024</v>
      </c>
      <c r="N3119" s="12">
        <v>420</v>
      </c>
      <c r="O3119" s="12"/>
      <c r="P3119" s="12">
        <f t="shared" si="847"/>
        <v>420</v>
      </c>
      <c r="Q3119" s="7">
        <f t="shared" si="848"/>
        <v>5106380.8499999996</v>
      </c>
      <c r="R3119" s="44" t="str">
        <f>VLOOKUP(F3119,'Set up'!$A$2:$E$55,5,FALSE)</f>
        <v>Trsf</v>
      </c>
    </row>
    <row r="3120" spans="1:18" ht="15" customHeight="1" x14ac:dyDescent="0.3">
      <c r="A3120" s="4">
        <v>45510</v>
      </c>
      <c r="B3120" s="5">
        <f t="shared" si="842"/>
        <v>8</v>
      </c>
      <c r="C3120" s="5">
        <f t="shared" si="843"/>
        <v>2024</v>
      </c>
      <c r="D3120" s="5" t="s">
        <v>2864</v>
      </c>
      <c r="E3120" s="5" t="str">
        <f>VLOOKUP(F3120,'Set up'!$A$2:$C$55,2,FALSE)</f>
        <v>C00000010</v>
      </c>
      <c r="F3120" s="1" t="s">
        <v>62</v>
      </c>
      <c r="G3120" s="90" t="s">
        <v>615</v>
      </c>
      <c r="H3120" s="13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44"/>
        <v>45630</v>
      </c>
      <c r="L3120" s="5">
        <f t="shared" si="845"/>
        <v>12</v>
      </c>
      <c r="M3120" s="5">
        <f t="shared" si="846"/>
        <v>2024</v>
      </c>
      <c r="N3120" s="12">
        <v>395</v>
      </c>
      <c r="O3120" s="12"/>
      <c r="P3120" s="12">
        <f t="shared" si="847"/>
        <v>395</v>
      </c>
      <c r="Q3120" s="7">
        <f t="shared" si="848"/>
        <v>5106775.8499999996</v>
      </c>
      <c r="R3120" s="44" t="str">
        <f>VLOOKUP(F3120,'Set up'!$A$2:$E$55,5,FALSE)</f>
        <v>Trsf</v>
      </c>
    </row>
    <row r="3121" spans="1:18" ht="15" customHeight="1" x14ac:dyDescent="0.3">
      <c r="A3121" s="4">
        <v>45510</v>
      </c>
      <c r="B3121" s="5">
        <f t="shared" si="842"/>
        <v>8</v>
      </c>
      <c r="C3121" s="5">
        <f t="shared" si="843"/>
        <v>2024</v>
      </c>
      <c r="D3121" s="5" t="s">
        <v>2865</v>
      </c>
      <c r="E3121" s="5" t="str">
        <f>VLOOKUP(F3121,'Set up'!$A$2:$C$55,2,FALSE)</f>
        <v>C00000019</v>
      </c>
      <c r="F3121" s="1" t="s">
        <v>401</v>
      </c>
      <c r="G3121" s="90" t="s">
        <v>95</v>
      </c>
      <c r="H3121" s="13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44"/>
        <v>45510</v>
      </c>
      <c r="L3121" s="5">
        <f t="shared" si="845"/>
        <v>8</v>
      </c>
      <c r="M3121" s="5">
        <f t="shared" si="846"/>
        <v>2024</v>
      </c>
      <c r="N3121" s="12">
        <v>1760</v>
      </c>
      <c r="O3121" s="12"/>
      <c r="P3121" s="12">
        <f t="shared" si="847"/>
        <v>1760</v>
      </c>
      <c r="Q3121" s="7">
        <f t="shared" si="848"/>
        <v>5108535.8499999996</v>
      </c>
      <c r="R3121" s="44" t="str">
        <f>VLOOKUP(F3121,'Set up'!$A$2:$E$55,5,FALSE)</f>
        <v>Trsf</v>
      </c>
    </row>
    <row r="3122" spans="1:18" ht="15" customHeight="1" x14ac:dyDescent="0.3">
      <c r="A3122" s="4">
        <v>45510</v>
      </c>
      <c r="B3122" s="5">
        <f t="shared" si="842"/>
        <v>8</v>
      </c>
      <c r="C3122" s="5">
        <f t="shared" si="843"/>
        <v>2024</v>
      </c>
      <c r="D3122" s="5" t="s">
        <v>2865</v>
      </c>
      <c r="E3122" s="5" t="str">
        <f>VLOOKUP(F3122,'Set up'!$A$2:$C$55,2,FALSE)</f>
        <v>C00000019</v>
      </c>
      <c r="F3122" s="1" t="s">
        <v>401</v>
      </c>
      <c r="G3122" s="90" t="s">
        <v>2208</v>
      </c>
      <c r="H3122" s="13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44"/>
        <v>45510</v>
      </c>
      <c r="L3122" s="5">
        <f t="shared" si="845"/>
        <v>8</v>
      </c>
      <c r="M3122" s="5">
        <f t="shared" si="846"/>
        <v>2024</v>
      </c>
      <c r="N3122" s="12">
        <v>600</v>
      </c>
      <c r="O3122" s="12"/>
      <c r="P3122" s="12">
        <f t="shared" si="847"/>
        <v>600</v>
      </c>
      <c r="Q3122" s="7">
        <f t="shared" si="848"/>
        <v>5109135.8499999996</v>
      </c>
      <c r="R3122" s="44" t="str">
        <f>VLOOKUP(F3122,'Set up'!$A$2:$E$55,5,FALSE)</f>
        <v>Trsf</v>
      </c>
    </row>
    <row r="3123" spans="1:18" ht="15" customHeight="1" x14ac:dyDescent="0.3">
      <c r="A3123" s="4">
        <v>45510</v>
      </c>
      <c r="B3123" s="5">
        <f t="shared" si="842"/>
        <v>8</v>
      </c>
      <c r="C3123" s="5">
        <f t="shared" si="843"/>
        <v>2024</v>
      </c>
      <c r="D3123" s="5" t="s">
        <v>2865</v>
      </c>
      <c r="E3123" s="5" t="str">
        <f>VLOOKUP(F3123,'Set up'!$A$2:$C$55,2,FALSE)</f>
        <v>C00000019</v>
      </c>
      <c r="F3123" s="1" t="s">
        <v>401</v>
      </c>
      <c r="G3123" s="90" t="s">
        <v>2711</v>
      </c>
      <c r="H3123" s="13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44"/>
        <v>45510</v>
      </c>
      <c r="L3123" s="5">
        <f t="shared" si="845"/>
        <v>8</v>
      </c>
      <c r="M3123" s="5">
        <f t="shared" si="846"/>
        <v>2024</v>
      </c>
      <c r="N3123" s="12">
        <v>187.5</v>
      </c>
      <c r="O3123" s="12"/>
      <c r="P3123" s="12">
        <f t="shared" si="847"/>
        <v>187.5</v>
      </c>
      <c r="Q3123" s="7">
        <f t="shared" si="848"/>
        <v>5109323.3499999996</v>
      </c>
      <c r="R3123" s="44" t="str">
        <f>VLOOKUP(F3123,'Set up'!$A$2:$E$55,5,FALSE)</f>
        <v>Trsf</v>
      </c>
    </row>
    <row r="3124" spans="1:18" ht="15" customHeight="1" x14ac:dyDescent="0.3">
      <c r="A3124" s="4">
        <v>45510</v>
      </c>
      <c r="B3124" s="5">
        <f t="shared" si="842"/>
        <v>8</v>
      </c>
      <c r="C3124" s="5">
        <f t="shared" si="843"/>
        <v>2024</v>
      </c>
      <c r="D3124" s="5" t="s">
        <v>2865</v>
      </c>
      <c r="E3124" s="5" t="str">
        <f>VLOOKUP(F3124,'Set up'!$A$2:$C$55,2,FALSE)</f>
        <v>C00000019</v>
      </c>
      <c r="F3124" s="1" t="s">
        <v>401</v>
      </c>
      <c r="G3124" s="90" t="s">
        <v>293</v>
      </c>
      <c r="H3124" s="13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44"/>
        <v>45510</v>
      </c>
      <c r="L3124" s="5">
        <f t="shared" si="845"/>
        <v>8</v>
      </c>
      <c r="M3124" s="5">
        <f t="shared" si="846"/>
        <v>2024</v>
      </c>
      <c r="N3124" s="12">
        <v>450</v>
      </c>
      <c r="O3124" s="12"/>
      <c r="P3124" s="12">
        <f t="shared" si="847"/>
        <v>450</v>
      </c>
      <c r="Q3124" s="7">
        <f t="shared" si="848"/>
        <v>5109773.3499999996</v>
      </c>
      <c r="R3124" s="44" t="str">
        <f>VLOOKUP(F3124,'Set up'!$A$2:$E$55,5,FALSE)</f>
        <v>Trsf</v>
      </c>
    </row>
    <row r="3125" spans="1:18" ht="15" customHeight="1" x14ac:dyDescent="0.3">
      <c r="A3125" s="4">
        <v>45510</v>
      </c>
      <c r="B3125" s="5">
        <f t="shared" si="842"/>
        <v>8</v>
      </c>
      <c r="C3125" s="5">
        <f t="shared" si="843"/>
        <v>2024</v>
      </c>
      <c r="D3125" s="5" t="s">
        <v>2867</v>
      </c>
      <c r="E3125" s="5" t="str">
        <f>VLOOKUP(F3125,'Set up'!$A$2:$C$55,2,FALSE)</f>
        <v>C00000012</v>
      </c>
      <c r="F3125" s="1" t="s">
        <v>2023</v>
      </c>
      <c r="G3125" s="90" t="s">
        <v>2866</v>
      </c>
      <c r="H3125" s="13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44"/>
        <v>45510</v>
      </c>
      <c r="L3125" s="5">
        <f t="shared" si="845"/>
        <v>8</v>
      </c>
      <c r="M3125" s="5">
        <f t="shared" si="846"/>
        <v>2024</v>
      </c>
      <c r="N3125" s="12">
        <v>675</v>
      </c>
      <c r="O3125" s="12"/>
      <c r="P3125" s="12">
        <f t="shared" si="847"/>
        <v>675</v>
      </c>
      <c r="Q3125" s="7">
        <f t="shared" si="848"/>
        <v>5110448.3499999996</v>
      </c>
      <c r="R3125" s="44" t="str">
        <f>VLOOKUP(F3125,'Set up'!$A$2:$E$55,5,FALSE)</f>
        <v>Cash</v>
      </c>
    </row>
    <row r="3126" spans="1:18" ht="15" customHeight="1" x14ac:dyDescent="0.3">
      <c r="A3126" s="4">
        <v>45510</v>
      </c>
      <c r="B3126" s="5">
        <f t="shared" si="842"/>
        <v>8</v>
      </c>
      <c r="C3126" s="5">
        <f t="shared" si="843"/>
        <v>2024</v>
      </c>
      <c r="D3126" s="5" t="s">
        <v>2867</v>
      </c>
      <c r="E3126" s="5" t="str">
        <f>VLOOKUP(F3126,'Set up'!$A$2:$C$55,2,FALSE)</f>
        <v>C00000012</v>
      </c>
      <c r="F3126" s="1" t="s">
        <v>2023</v>
      </c>
      <c r="G3126" s="11" t="s">
        <v>1199</v>
      </c>
      <c r="H3126" s="13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44"/>
        <v>45510</v>
      </c>
      <c r="L3126" s="5">
        <f t="shared" si="845"/>
        <v>8</v>
      </c>
      <c r="M3126" s="5">
        <f t="shared" si="846"/>
        <v>2024</v>
      </c>
      <c r="N3126" s="12">
        <v>510</v>
      </c>
      <c r="O3126" s="12"/>
      <c r="P3126" s="12">
        <f t="shared" si="847"/>
        <v>510</v>
      </c>
      <c r="Q3126" s="7">
        <f t="shared" si="848"/>
        <v>5110958.3499999996</v>
      </c>
      <c r="R3126" s="44" t="str">
        <f>VLOOKUP(F3126,'Set up'!$A$2:$E$55,5,FALSE)</f>
        <v>Cash</v>
      </c>
    </row>
    <row r="3127" spans="1:18" ht="15" customHeight="1" x14ac:dyDescent="0.3">
      <c r="A3127" s="4">
        <v>45511</v>
      </c>
      <c r="B3127" s="5">
        <f t="shared" si="842"/>
        <v>8</v>
      </c>
      <c r="C3127" s="5">
        <f t="shared" si="843"/>
        <v>2024</v>
      </c>
      <c r="D3127" s="5" t="s">
        <v>2868</v>
      </c>
      <c r="E3127" s="5" t="str">
        <f>VLOOKUP(F3127,'Set up'!$A$2:$C$55,2,FALSE)</f>
        <v>C00000049</v>
      </c>
      <c r="F3127" s="1" t="s">
        <v>2808</v>
      </c>
      <c r="G3127" s="90" t="s">
        <v>95</v>
      </c>
      <c r="H3127" s="13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44"/>
        <v>45511</v>
      </c>
      <c r="L3127" s="5">
        <f t="shared" si="845"/>
        <v>8</v>
      </c>
      <c r="M3127" s="5">
        <f t="shared" si="846"/>
        <v>2024</v>
      </c>
      <c r="N3127" s="12">
        <v>1760</v>
      </c>
      <c r="O3127" s="12"/>
      <c r="P3127" s="12">
        <f t="shared" si="847"/>
        <v>1760</v>
      </c>
      <c r="Q3127" s="7">
        <f t="shared" si="848"/>
        <v>5112718.3499999996</v>
      </c>
      <c r="R3127" s="44" t="str">
        <f>VLOOKUP(F3127,'Set up'!$A$2:$E$55,5,FALSE)</f>
        <v>Cash</v>
      </c>
    </row>
    <row r="3128" spans="1:18" ht="15" customHeight="1" x14ac:dyDescent="0.3">
      <c r="A3128" s="4">
        <v>45511</v>
      </c>
      <c r="B3128" s="5">
        <f t="shared" si="842"/>
        <v>8</v>
      </c>
      <c r="C3128" s="5">
        <f t="shared" si="843"/>
        <v>2024</v>
      </c>
      <c r="D3128" s="5" t="s">
        <v>2868</v>
      </c>
      <c r="E3128" s="5" t="str">
        <f>VLOOKUP(F3128,'Set up'!$A$2:$C$55,2,FALSE)</f>
        <v>C00000049</v>
      </c>
      <c r="F3128" s="1" t="s">
        <v>2808</v>
      </c>
      <c r="G3128" s="123" t="s">
        <v>1998</v>
      </c>
      <c r="H3128" s="13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44"/>
        <v>45511</v>
      </c>
      <c r="L3128" s="5">
        <f t="shared" si="845"/>
        <v>8</v>
      </c>
      <c r="M3128" s="5">
        <f t="shared" si="846"/>
        <v>2024</v>
      </c>
      <c r="N3128" s="12">
        <v>3600</v>
      </c>
      <c r="O3128" s="12"/>
      <c r="P3128" s="12">
        <f t="shared" si="847"/>
        <v>3600</v>
      </c>
      <c r="Q3128" s="7">
        <f t="shared" si="848"/>
        <v>5116318.3499999996</v>
      </c>
      <c r="R3128" s="44" t="str">
        <f>VLOOKUP(F3128,'Set up'!$A$2:$E$55,5,FALSE)</f>
        <v>Cash</v>
      </c>
    </row>
    <row r="3129" spans="1:18" ht="15" customHeight="1" x14ac:dyDescent="0.3">
      <c r="A3129" s="4">
        <v>45511</v>
      </c>
      <c r="B3129" s="5">
        <f t="shared" si="842"/>
        <v>8</v>
      </c>
      <c r="C3129" s="5">
        <f t="shared" si="843"/>
        <v>2024</v>
      </c>
      <c r="D3129" s="5" t="s">
        <v>2868</v>
      </c>
      <c r="E3129" s="5" t="str">
        <f>VLOOKUP(F3129,'Set up'!$A$2:$C$55,2,FALSE)</f>
        <v>C00000049</v>
      </c>
      <c r="F3129" s="1" t="s">
        <v>2808</v>
      </c>
      <c r="G3129" s="123" t="s">
        <v>2596</v>
      </c>
      <c r="H3129" s="13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44"/>
        <v>45511</v>
      </c>
      <c r="L3129" s="5">
        <f t="shared" si="845"/>
        <v>8</v>
      </c>
      <c r="M3129" s="5">
        <f t="shared" si="846"/>
        <v>2024</v>
      </c>
      <c r="N3129" s="12">
        <v>675</v>
      </c>
      <c r="O3129" s="12"/>
      <c r="P3129" s="12">
        <f t="shared" si="847"/>
        <v>675</v>
      </c>
      <c r="Q3129" s="7">
        <f t="shared" si="848"/>
        <v>5116993.3499999996</v>
      </c>
      <c r="R3129" s="44" t="str">
        <f>VLOOKUP(F3129,'Set up'!$A$2:$E$55,5,FALSE)</f>
        <v>Cash</v>
      </c>
    </row>
    <row r="3130" spans="1:18" ht="15" customHeight="1" x14ac:dyDescent="0.3">
      <c r="A3130" s="4">
        <v>45511</v>
      </c>
      <c r="B3130" s="5">
        <f t="shared" si="842"/>
        <v>8</v>
      </c>
      <c r="C3130" s="5">
        <f t="shared" si="843"/>
        <v>2024</v>
      </c>
      <c r="D3130" s="5" t="s">
        <v>2868</v>
      </c>
      <c r="E3130" s="5" t="str">
        <f>VLOOKUP(F3130,'Set up'!$A$2:$C$55,2,FALSE)</f>
        <v>C00000049</v>
      </c>
      <c r="F3130" s="1" t="s">
        <v>2808</v>
      </c>
      <c r="G3130" s="123" t="s">
        <v>895</v>
      </c>
      <c r="H3130" s="13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44"/>
        <v>45511</v>
      </c>
      <c r="L3130" s="5">
        <f t="shared" si="845"/>
        <v>8</v>
      </c>
      <c r="M3130" s="5">
        <f t="shared" si="846"/>
        <v>2024</v>
      </c>
      <c r="N3130" s="12">
        <v>175</v>
      </c>
      <c r="O3130" s="12"/>
      <c r="P3130" s="12">
        <f t="shared" si="847"/>
        <v>175</v>
      </c>
      <c r="Q3130" s="7">
        <f t="shared" si="848"/>
        <v>5117168.3499999996</v>
      </c>
      <c r="R3130" s="44" t="str">
        <f>VLOOKUP(F3130,'Set up'!$A$2:$E$55,5,FALSE)</f>
        <v>Cash</v>
      </c>
    </row>
    <row r="3131" spans="1:18" ht="15" customHeight="1" x14ac:dyDescent="0.3">
      <c r="A3131" s="4">
        <v>45511</v>
      </c>
      <c r="B3131" s="5">
        <f t="shared" si="842"/>
        <v>8</v>
      </c>
      <c r="C3131" s="5">
        <f t="shared" si="843"/>
        <v>2024</v>
      </c>
      <c r="D3131" s="5" t="s">
        <v>2869</v>
      </c>
      <c r="E3131" s="5" t="str">
        <f>VLOOKUP(F3131,'Set up'!$A$2:$C$55,2,FALSE)</f>
        <v>C00000042</v>
      </c>
      <c r="F3131" s="1" t="s">
        <v>2013</v>
      </c>
      <c r="G3131" s="102" t="s">
        <v>2722</v>
      </c>
      <c r="H3131" s="13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44"/>
        <v>45511</v>
      </c>
      <c r="L3131" s="5">
        <f t="shared" si="845"/>
        <v>8</v>
      </c>
      <c r="M3131" s="5">
        <f t="shared" si="846"/>
        <v>2024</v>
      </c>
      <c r="N3131" s="12">
        <v>625</v>
      </c>
      <c r="O3131" s="12"/>
      <c r="P3131" s="12">
        <f t="shared" si="847"/>
        <v>625</v>
      </c>
      <c r="Q3131" s="7">
        <f t="shared" si="848"/>
        <v>5117793.3499999996</v>
      </c>
      <c r="R3131" s="44" t="str">
        <f>VLOOKUP(F3131,'Set up'!$A$2:$E$55,5,FALSE)</f>
        <v>Trsf</v>
      </c>
    </row>
    <row r="3132" spans="1:18" ht="15" customHeight="1" x14ac:dyDescent="0.3">
      <c r="A3132" s="4">
        <v>45511</v>
      </c>
      <c r="B3132" s="5">
        <f t="shared" si="842"/>
        <v>8</v>
      </c>
      <c r="C3132" s="5">
        <f t="shared" si="843"/>
        <v>2024</v>
      </c>
      <c r="D3132" s="5" t="s">
        <v>2870</v>
      </c>
      <c r="E3132" s="5" t="str">
        <f>VLOOKUP(F3132,'Set up'!$A$2:$C$55,2,FALSE)</f>
        <v>C00000042</v>
      </c>
      <c r="F3132" s="1" t="s">
        <v>2013</v>
      </c>
      <c r="G3132" s="124" t="s">
        <v>2625</v>
      </c>
      <c r="H3132" s="13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44"/>
        <v>45511</v>
      </c>
      <c r="L3132" s="5">
        <f t="shared" si="845"/>
        <v>8</v>
      </c>
      <c r="M3132" s="5">
        <f t="shared" si="846"/>
        <v>2024</v>
      </c>
      <c r="N3132" s="12">
        <v>16280</v>
      </c>
      <c r="O3132" s="12"/>
      <c r="P3132" s="12">
        <f t="shared" si="847"/>
        <v>16280</v>
      </c>
      <c r="Q3132" s="7">
        <f t="shared" si="848"/>
        <v>5134073.3499999996</v>
      </c>
      <c r="R3132" s="44" t="str">
        <f>VLOOKUP(F3132,'Set up'!$A$2:$E$55,5,FALSE)</f>
        <v>Trsf</v>
      </c>
    </row>
    <row r="3133" spans="1:18" ht="15" customHeight="1" x14ac:dyDescent="0.3">
      <c r="A3133" s="4">
        <v>45511</v>
      </c>
      <c r="B3133" s="5">
        <f t="shared" si="842"/>
        <v>8</v>
      </c>
      <c r="C3133" s="5">
        <f t="shared" si="843"/>
        <v>2024</v>
      </c>
      <c r="D3133" s="5" t="s">
        <v>2870</v>
      </c>
      <c r="E3133" s="5" t="str">
        <f>VLOOKUP(F3133,'Set up'!$A$2:$C$55,2,FALSE)</f>
        <v>C00000042</v>
      </c>
      <c r="F3133" s="1" t="s">
        <v>2013</v>
      </c>
      <c r="G3133" s="90" t="s">
        <v>1544</v>
      </c>
      <c r="H3133" s="13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44"/>
        <v>45511</v>
      </c>
      <c r="L3133" s="5">
        <f t="shared" si="845"/>
        <v>8</v>
      </c>
      <c r="M3133" s="5">
        <f t="shared" si="846"/>
        <v>2024</v>
      </c>
      <c r="N3133" s="12">
        <v>5490</v>
      </c>
      <c r="O3133" s="12"/>
      <c r="P3133" s="12">
        <f t="shared" si="847"/>
        <v>5490</v>
      </c>
      <c r="Q3133" s="7">
        <f t="shared" si="848"/>
        <v>5139563.3499999996</v>
      </c>
      <c r="R3133" s="44" t="str">
        <f>VLOOKUP(F3133,'Set up'!$A$2:$E$55,5,FALSE)</f>
        <v>Trsf</v>
      </c>
    </row>
    <row r="3134" spans="1:18" ht="15" customHeight="1" x14ac:dyDescent="0.3">
      <c r="A3134" s="4">
        <v>45511</v>
      </c>
      <c r="B3134" s="5">
        <f t="shared" si="842"/>
        <v>8</v>
      </c>
      <c r="C3134" s="5">
        <f t="shared" si="843"/>
        <v>2024</v>
      </c>
      <c r="D3134" s="5" t="s">
        <v>2870</v>
      </c>
      <c r="E3134" s="5" t="str">
        <f>VLOOKUP(F3134,'Set up'!$A$2:$C$55,2,FALSE)</f>
        <v>C00000042</v>
      </c>
      <c r="F3134" s="1" t="s">
        <v>2013</v>
      </c>
      <c r="G3134" s="90" t="s">
        <v>656</v>
      </c>
      <c r="H3134" s="13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44"/>
        <v>45511</v>
      </c>
      <c r="L3134" s="5">
        <f t="shared" si="845"/>
        <v>8</v>
      </c>
      <c r="M3134" s="5">
        <f t="shared" si="846"/>
        <v>2024</v>
      </c>
      <c r="N3134" s="12">
        <v>3600</v>
      </c>
      <c r="O3134" s="12"/>
      <c r="P3134" s="12">
        <f t="shared" si="847"/>
        <v>3600</v>
      </c>
      <c r="Q3134" s="7">
        <f t="shared" si="848"/>
        <v>5143163.3499999996</v>
      </c>
      <c r="R3134" s="44" t="str">
        <f>VLOOKUP(F3134,'Set up'!$A$2:$E$55,5,FALSE)</f>
        <v>Trsf</v>
      </c>
    </row>
    <row r="3135" spans="1:18" ht="15" customHeight="1" x14ac:dyDescent="0.3">
      <c r="A3135" s="4">
        <v>45511</v>
      </c>
      <c r="B3135" s="5">
        <f t="shared" si="842"/>
        <v>8</v>
      </c>
      <c r="C3135" s="5">
        <f t="shared" si="843"/>
        <v>2024</v>
      </c>
      <c r="D3135" s="5" t="s">
        <v>2870</v>
      </c>
      <c r="E3135" s="5" t="str">
        <f>VLOOKUP(F3135,'Set up'!$A$2:$C$55,2,FALSE)</f>
        <v>C00000042</v>
      </c>
      <c r="F3135" s="1" t="s">
        <v>2013</v>
      </c>
      <c r="G3135" s="90" t="s">
        <v>1062</v>
      </c>
      <c r="H3135" s="13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44"/>
        <v>45511</v>
      </c>
      <c r="L3135" s="5">
        <f t="shared" si="845"/>
        <v>8</v>
      </c>
      <c r="M3135" s="5">
        <f t="shared" si="846"/>
        <v>2024</v>
      </c>
      <c r="N3135" s="12">
        <v>380</v>
      </c>
      <c r="O3135" s="12"/>
      <c r="P3135" s="12">
        <f t="shared" si="847"/>
        <v>380</v>
      </c>
      <c r="Q3135" s="7">
        <f t="shared" si="848"/>
        <v>5143543.3499999996</v>
      </c>
      <c r="R3135" s="44" t="str">
        <f>VLOOKUP(F3135,'Set up'!$A$2:$E$55,5,FALSE)</f>
        <v>Trsf</v>
      </c>
    </row>
    <row r="3136" spans="1:18" ht="15" customHeight="1" x14ac:dyDescent="0.3">
      <c r="A3136" s="4">
        <v>45511</v>
      </c>
      <c r="B3136" s="5">
        <f t="shared" si="842"/>
        <v>8</v>
      </c>
      <c r="C3136" s="5">
        <f t="shared" si="843"/>
        <v>2024</v>
      </c>
      <c r="D3136" s="5" t="s">
        <v>2870</v>
      </c>
      <c r="E3136" s="5" t="str">
        <f>VLOOKUP(F3136,'Set up'!$A$2:$C$55,2,FALSE)</f>
        <v>C00000042</v>
      </c>
      <c r="F3136" s="1" t="s">
        <v>2013</v>
      </c>
      <c r="G3136" s="90" t="s">
        <v>2826</v>
      </c>
      <c r="H3136" s="13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44"/>
        <v>45511</v>
      </c>
      <c r="L3136" s="5">
        <f t="shared" si="845"/>
        <v>8</v>
      </c>
      <c r="M3136" s="5">
        <f t="shared" si="846"/>
        <v>2024</v>
      </c>
      <c r="N3136" s="12">
        <v>975</v>
      </c>
      <c r="O3136" s="12"/>
      <c r="P3136" s="12">
        <f t="shared" si="847"/>
        <v>975</v>
      </c>
      <c r="Q3136" s="7">
        <f t="shared" si="848"/>
        <v>5144518.3499999996</v>
      </c>
      <c r="R3136" s="44" t="str">
        <f>VLOOKUP(F3136,'Set up'!$A$2:$E$55,5,FALSE)</f>
        <v>Trsf</v>
      </c>
    </row>
    <row r="3137" spans="1:18" ht="15" customHeight="1" x14ac:dyDescent="0.3">
      <c r="A3137" s="4">
        <v>45511</v>
      </c>
      <c r="B3137" s="5">
        <f t="shared" si="842"/>
        <v>8</v>
      </c>
      <c r="C3137" s="5">
        <f t="shared" si="843"/>
        <v>2024</v>
      </c>
      <c r="D3137" s="5" t="s">
        <v>2871</v>
      </c>
      <c r="E3137" s="5" t="str">
        <f>VLOOKUP(F3137,'Set up'!$A$2:$C$55,2,FALSE)</f>
        <v>C00000026</v>
      </c>
      <c r="F3137" s="1" t="s">
        <v>785</v>
      </c>
      <c r="G3137" s="134" t="s">
        <v>2625</v>
      </c>
      <c r="H3137" s="13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44"/>
        <v>45511</v>
      </c>
      <c r="L3137" s="5">
        <f t="shared" si="845"/>
        <v>8</v>
      </c>
      <c r="M3137" s="5">
        <f t="shared" si="846"/>
        <v>2024</v>
      </c>
      <c r="N3137" s="95">
        <v>1738</v>
      </c>
      <c r="O3137" s="12"/>
      <c r="P3137" s="12">
        <f t="shared" si="847"/>
        <v>1738</v>
      </c>
      <c r="Q3137" s="7">
        <f t="shared" si="848"/>
        <v>5146256.3499999996</v>
      </c>
      <c r="R3137" s="44" t="str">
        <f>VLOOKUP(F3137,'Set up'!$A$2:$E$55,5,FALSE)</f>
        <v>Trsf</v>
      </c>
    </row>
    <row r="3138" spans="1:18" ht="15" customHeight="1" x14ac:dyDescent="0.3">
      <c r="A3138" s="4">
        <v>45511</v>
      </c>
      <c r="B3138" s="5">
        <f t="shared" si="842"/>
        <v>8</v>
      </c>
      <c r="C3138" s="5">
        <f t="shared" si="843"/>
        <v>2024</v>
      </c>
      <c r="D3138" s="5" t="s">
        <v>2871</v>
      </c>
      <c r="E3138" s="5" t="str">
        <f>VLOOKUP(F3138,'Set up'!$A$2:$C$55,2,FALSE)</f>
        <v>C00000026</v>
      </c>
      <c r="F3138" s="1" t="s">
        <v>785</v>
      </c>
      <c r="G3138" s="89" t="s">
        <v>1412</v>
      </c>
      <c r="H3138" s="13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44"/>
        <v>45511</v>
      </c>
      <c r="L3138" s="5">
        <f t="shared" si="845"/>
        <v>8</v>
      </c>
      <c r="M3138" s="5">
        <f t="shared" si="846"/>
        <v>2024</v>
      </c>
      <c r="N3138" s="95">
        <v>405</v>
      </c>
      <c r="O3138" s="12"/>
      <c r="P3138" s="12">
        <f t="shared" si="847"/>
        <v>405</v>
      </c>
      <c r="Q3138" s="7">
        <f t="shared" si="848"/>
        <v>5146661.3499999996</v>
      </c>
      <c r="R3138" s="44" t="str">
        <f>VLOOKUP(F3138,'Set up'!$A$2:$E$55,5,FALSE)</f>
        <v>Trsf</v>
      </c>
    </row>
    <row r="3139" spans="1:18" ht="15" customHeight="1" x14ac:dyDescent="0.3">
      <c r="A3139" s="4">
        <v>45512</v>
      </c>
      <c r="B3139" s="5">
        <f t="shared" si="842"/>
        <v>8</v>
      </c>
      <c r="C3139" s="5">
        <f t="shared" si="843"/>
        <v>2024</v>
      </c>
      <c r="D3139" s="5" t="s">
        <v>2872</v>
      </c>
      <c r="E3139" s="5" t="str">
        <f>VLOOKUP(F3139,'Set up'!$A$2:$C$55,2,FALSE)</f>
        <v>C00000003</v>
      </c>
      <c r="F3139" s="1" t="s">
        <v>20</v>
      </c>
      <c r="G3139" s="132" t="s">
        <v>717</v>
      </c>
      <c r="H3139" s="13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44"/>
        <v>45557</v>
      </c>
      <c r="L3139" s="5">
        <f t="shared" si="845"/>
        <v>9</v>
      </c>
      <c r="M3139" s="5">
        <f t="shared" si="846"/>
        <v>2024</v>
      </c>
      <c r="N3139" s="12">
        <v>1738</v>
      </c>
      <c r="O3139" s="12"/>
      <c r="P3139" s="12">
        <f t="shared" si="847"/>
        <v>1738</v>
      </c>
      <c r="Q3139" s="7">
        <f t="shared" si="848"/>
        <v>5148399.3499999996</v>
      </c>
      <c r="R3139" s="44" t="str">
        <f>VLOOKUP(F3139,'Set up'!$A$2:$E$55,5,FALSE)</f>
        <v>PD Chq</v>
      </c>
    </row>
    <row r="3140" spans="1:18" ht="15" customHeight="1" x14ac:dyDescent="0.3">
      <c r="A3140" s="4">
        <v>45512</v>
      </c>
      <c r="B3140" s="5">
        <f t="shared" si="842"/>
        <v>8</v>
      </c>
      <c r="C3140" s="5">
        <f t="shared" si="843"/>
        <v>2024</v>
      </c>
      <c r="D3140" s="5" t="s">
        <v>2872</v>
      </c>
      <c r="E3140" s="5" t="str">
        <f>VLOOKUP(F3140,'Set up'!$A$2:$C$55,2,FALSE)</f>
        <v>C00000003</v>
      </c>
      <c r="F3140" s="1" t="s">
        <v>20</v>
      </c>
      <c r="G3140" s="98" t="s">
        <v>1199</v>
      </c>
      <c r="H3140" s="13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44"/>
        <v>45557</v>
      </c>
      <c r="L3140" s="5">
        <f t="shared" si="845"/>
        <v>9</v>
      </c>
      <c r="M3140" s="5">
        <f t="shared" si="846"/>
        <v>2024</v>
      </c>
      <c r="N3140" s="12">
        <v>234</v>
      </c>
      <c r="O3140" s="12"/>
      <c r="P3140" s="12">
        <f t="shared" si="847"/>
        <v>234</v>
      </c>
      <c r="Q3140" s="7">
        <f t="shared" si="848"/>
        <v>5148633.3499999996</v>
      </c>
      <c r="R3140" s="44" t="str">
        <f>VLOOKUP(F3140,'Set up'!$A$2:$E$55,5,FALSE)</f>
        <v>PD Chq</v>
      </c>
    </row>
    <row r="3141" spans="1:18" ht="15" customHeight="1" x14ac:dyDescent="0.3">
      <c r="A3141" s="4">
        <v>45512</v>
      </c>
      <c r="B3141" s="5">
        <f t="shared" si="842"/>
        <v>8</v>
      </c>
      <c r="C3141" s="5">
        <f t="shared" si="843"/>
        <v>2024</v>
      </c>
      <c r="D3141" s="5" t="s">
        <v>2872</v>
      </c>
      <c r="E3141" s="5" t="str">
        <f>VLOOKUP(F3141,'Set up'!$A$2:$C$55,2,FALSE)</f>
        <v>C00000003</v>
      </c>
      <c r="F3141" s="1" t="s">
        <v>20</v>
      </c>
      <c r="G3141" s="98" t="s">
        <v>17</v>
      </c>
      <c r="H3141" s="13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44"/>
        <v>45557</v>
      </c>
      <c r="L3141" s="5">
        <f t="shared" si="845"/>
        <v>9</v>
      </c>
      <c r="M3141" s="5">
        <f t="shared" si="846"/>
        <v>2024</v>
      </c>
      <c r="N3141" s="12">
        <v>220</v>
      </c>
      <c r="O3141" s="12"/>
      <c r="P3141" s="12">
        <f t="shared" si="847"/>
        <v>220</v>
      </c>
      <c r="Q3141" s="7">
        <f t="shared" si="848"/>
        <v>5148853.3499999996</v>
      </c>
      <c r="R3141" s="44" t="str">
        <f>VLOOKUP(F3141,'Set up'!$A$2:$E$55,5,FALSE)</f>
        <v>PD Chq</v>
      </c>
    </row>
    <row r="3142" spans="1:18" ht="15" customHeight="1" x14ac:dyDescent="0.3">
      <c r="A3142" s="4">
        <v>45516</v>
      </c>
      <c r="B3142" s="5">
        <f t="shared" si="842"/>
        <v>8</v>
      </c>
      <c r="C3142" s="5">
        <f t="shared" si="843"/>
        <v>2024</v>
      </c>
      <c r="D3142" s="5" t="s">
        <v>2872</v>
      </c>
      <c r="E3142" s="5" t="str">
        <f>VLOOKUP(F3142,'Set up'!$A$2:$C$55,2,FALSE)</f>
        <v>C00000003</v>
      </c>
      <c r="F3142" s="1" t="s">
        <v>20</v>
      </c>
      <c r="G3142" s="98" t="s">
        <v>2711</v>
      </c>
      <c r="H3142" s="13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44"/>
        <v>45561</v>
      </c>
      <c r="L3142" s="5">
        <f t="shared" si="845"/>
        <v>9</v>
      </c>
      <c r="M3142" s="5">
        <f t="shared" si="846"/>
        <v>2024</v>
      </c>
      <c r="N3142" s="12">
        <v>130</v>
      </c>
      <c r="O3142" s="12"/>
      <c r="P3142" s="12">
        <f t="shared" si="847"/>
        <v>130</v>
      </c>
      <c r="Q3142" s="7">
        <f t="shared" si="848"/>
        <v>5148983.3499999996</v>
      </c>
      <c r="R3142" s="44" t="str">
        <f>VLOOKUP(F3142,'Set up'!$A$2:$E$55,5,FALSE)</f>
        <v>PD Chq</v>
      </c>
    </row>
    <row r="3143" spans="1:18" ht="15" customHeight="1" x14ac:dyDescent="0.3">
      <c r="A3143" s="4">
        <v>45516</v>
      </c>
      <c r="B3143" s="5">
        <f t="shared" si="842"/>
        <v>8</v>
      </c>
      <c r="C3143" s="5">
        <f t="shared" si="843"/>
        <v>2024</v>
      </c>
      <c r="D3143" s="5" t="s">
        <v>2873</v>
      </c>
      <c r="E3143" s="5" t="str">
        <f>VLOOKUP(F3143,'Set up'!$A$2:$C$55,2,FALSE)</f>
        <v>C00000049</v>
      </c>
      <c r="F3143" s="1" t="s">
        <v>2808</v>
      </c>
      <c r="G3143" s="90" t="s">
        <v>95</v>
      </c>
      <c r="H3143" s="13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44"/>
        <v>45516</v>
      </c>
      <c r="L3143" s="5">
        <f t="shared" si="845"/>
        <v>8</v>
      </c>
      <c r="M3143" s="5">
        <f t="shared" si="846"/>
        <v>2024</v>
      </c>
      <c r="N3143" s="12">
        <v>3520</v>
      </c>
      <c r="O3143" s="12"/>
      <c r="P3143" s="12">
        <f t="shared" si="847"/>
        <v>3520</v>
      </c>
      <c r="Q3143" s="7">
        <f t="shared" si="848"/>
        <v>5152503.3499999996</v>
      </c>
      <c r="R3143" s="44" t="str">
        <f>VLOOKUP(F3143,'Set up'!$A$2:$E$55,5,FALSE)</f>
        <v>Cash</v>
      </c>
    </row>
    <row r="3144" spans="1:18" ht="15" customHeight="1" x14ac:dyDescent="0.3">
      <c r="A3144" s="4">
        <v>45516</v>
      </c>
      <c r="B3144" s="5">
        <f t="shared" si="842"/>
        <v>8</v>
      </c>
      <c r="C3144" s="5">
        <f t="shared" si="843"/>
        <v>2024</v>
      </c>
      <c r="D3144" s="5" t="s">
        <v>2873</v>
      </c>
      <c r="E3144" s="5" t="str">
        <f>VLOOKUP(F3144,'Set up'!$A$2:$C$55,2,FALSE)</f>
        <v>C00000049</v>
      </c>
      <c r="F3144" s="1" t="s">
        <v>2808</v>
      </c>
      <c r="G3144" s="123" t="s">
        <v>2596</v>
      </c>
      <c r="H3144" s="13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44"/>
        <v>45516</v>
      </c>
      <c r="L3144" s="5">
        <f t="shared" si="845"/>
        <v>8</v>
      </c>
      <c r="M3144" s="5">
        <f t="shared" si="846"/>
        <v>2024</v>
      </c>
      <c r="N3144" s="12">
        <v>675</v>
      </c>
      <c r="O3144" s="12"/>
      <c r="P3144" s="12">
        <f t="shared" si="847"/>
        <v>675</v>
      </c>
      <c r="Q3144" s="7">
        <f t="shared" si="848"/>
        <v>5153178.3499999996</v>
      </c>
      <c r="R3144" s="44" t="str">
        <f>VLOOKUP(F3144,'Set up'!$A$2:$E$55,5,FALSE)</f>
        <v>Cash</v>
      </c>
    </row>
    <row r="3145" spans="1:18" ht="15" customHeight="1" x14ac:dyDescent="0.3">
      <c r="A3145" s="4">
        <v>45517</v>
      </c>
      <c r="B3145" s="5">
        <f t="shared" si="842"/>
        <v>8</v>
      </c>
      <c r="C3145" s="5">
        <f t="shared" si="843"/>
        <v>2024</v>
      </c>
      <c r="D3145" s="5" t="s">
        <v>2874</v>
      </c>
      <c r="E3145" s="5" t="str">
        <f>VLOOKUP(F3145,'Set up'!$A$2:$C$55,2,FALSE)</f>
        <v>C00000049</v>
      </c>
      <c r="F3145" s="1" t="s">
        <v>2808</v>
      </c>
      <c r="G3145" s="90" t="s">
        <v>17</v>
      </c>
      <c r="H3145" s="13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44"/>
        <v>45517</v>
      </c>
      <c r="L3145" s="5">
        <f t="shared" si="845"/>
        <v>8</v>
      </c>
      <c r="M3145" s="5">
        <f t="shared" si="846"/>
        <v>2024</v>
      </c>
      <c r="N3145" s="12">
        <v>110</v>
      </c>
      <c r="O3145" s="12"/>
      <c r="P3145" s="12">
        <f t="shared" si="847"/>
        <v>110</v>
      </c>
      <c r="Q3145" s="7">
        <f t="shared" si="848"/>
        <v>5153288.3499999996</v>
      </c>
      <c r="R3145" s="44" t="str">
        <f>VLOOKUP(F3145,'Set up'!$A$2:$E$55,5,FALSE)</f>
        <v>Cash</v>
      </c>
    </row>
    <row r="3146" spans="1:18" ht="15" customHeight="1" x14ac:dyDescent="0.3">
      <c r="A3146" s="4">
        <v>45516</v>
      </c>
      <c r="B3146" s="5">
        <f t="shared" si="842"/>
        <v>8</v>
      </c>
      <c r="C3146" s="5">
        <f t="shared" si="843"/>
        <v>2024</v>
      </c>
      <c r="D3146" s="5" t="s">
        <v>2875</v>
      </c>
      <c r="E3146" s="5" t="str">
        <f>VLOOKUP(F3146,'Set up'!$A$2:$C$55,2,FALSE)</f>
        <v>C00000042</v>
      </c>
      <c r="F3146" s="1" t="s">
        <v>2013</v>
      </c>
      <c r="G3146" s="124" t="s">
        <v>1074</v>
      </c>
      <c r="H3146" s="13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44"/>
        <v>45516</v>
      </c>
      <c r="L3146" s="5">
        <f t="shared" si="845"/>
        <v>8</v>
      </c>
      <c r="M3146" s="5">
        <f t="shared" si="846"/>
        <v>2024</v>
      </c>
      <c r="N3146" s="12">
        <v>1000</v>
      </c>
      <c r="O3146" s="12"/>
      <c r="P3146" s="12">
        <f t="shared" si="847"/>
        <v>1000</v>
      </c>
      <c r="Q3146" s="7">
        <f t="shared" si="848"/>
        <v>5154288.3499999996</v>
      </c>
      <c r="R3146" s="44" t="str">
        <f>VLOOKUP(F3146,'Set up'!$A$2:$E$55,5,FALSE)</f>
        <v>Trsf</v>
      </c>
    </row>
    <row r="3147" spans="1:18" ht="15.6" customHeight="1" x14ac:dyDescent="0.3">
      <c r="A3147" s="4">
        <v>45519</v>
      </c>
      <c r="B3147" s="5">
        <f t="shared" si="842"/>
        <v>8</v>
      </c>
      <c r="C3147" s="5">
        <f t="shared" si="843"/>
        <v>2024</v>
      </c>
      <c r="D3147" s="5" t="s">
        <v>2877</v>
      </c>
      <c r="E3147" s="5" t="str">
        <f>VLOOKUP(F3147,'Set up'!$A$2:$C$55,2,FALSE)</f>
        <v>C00000049</v>
      </c>
      <c r="F3147" s="1" t="s">
        <v>2808</v>
      </c>
      <c r="G3147" s="123" t="s">
        <v>2876</v>
      </c>
      <c r="H3147" s="13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44"/>
        <v>45519</v>
      </c>
      <c r="L3147" s="5">
        <f t="shared" si="845"/>
        <v>8</v>
      </c>
      <c r="M3147" s="5">
        <f t="shared" si="846"/>
        <v>2024</v>
      </c>
      <c r="N3147" s="12">
        <v>250</v>
      </c>
      <c r="O3147" s="12"/>
      <c r="P3147" s="12">
        <f t="shared" si="847"/>
        <v>250</v>
      </c>
      <c r="Q3147" s="7">
        <f t="shared" si="848"/>
        <v>5154538.3499999996</v>
      </c>
      <c r="R3147" s="44" t="str">
        <f>VLOOKUP(F3147,'Set up'!$A$2:$E$55,5,FALSE)</f>
        <v>Cash</v>
      </c>
    </row>
    <row r="3148" spans="1:18" ht="15.6" customHeight="1" x14ac:dyDescent="0.3">
      <c r="A3148" s="4">
        <v>45520</v>
      </c>
      <c r="B3148" s="5">
        <f t="shared" ref="B3148:B3172" si="849">MONTH(A3148)</f>
        <v>8</v>
      </c>
      <c r="C3148" s="5">
        <f t="shared" ref="C3148:C3172" si="850">YEAR(A3148)</f>
        <v>2024</v>
      </c>
      <c r="D3148" s="5" t="s">
        <v>2878</v>
      </c>
      <c r="E3148" s="5" t="str">
        <f>VLOOKUP(F3148,'Set up'!$A$2:$C$55,2,FALSE)</f>
        <v>C00000019</v>
      </c>
      <c r="F3148" s="1" t="s">
        <v>401</v>
      </c>
      <c r="G3148" s="90" t="s">
        <v>95</v>
      </c>
      <c r="H3148" s="13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ref="K3148:K3172" si="851">A3148+J3148</f>
        <v>45520</v>
      </c>
      <c r="L3148" s="5">
        <f t="shared" ref="L3148:L3172" si="852">MONTH(K3148)</f>
        <v>8</v>
      </c>
      <c r="M3148" s="5">
        <f t="shared" ref="M3148:M3172" si="853">YEAR(K3148)</f>
        <v>2024</v>
      </c>
      <c r="N3148" s="12">
        <v>1760</v>
      </c>
      <c r="O3148" s="12"/>
      <c r="P3148" s="12">
        <f t="shared" ref="P3148:P3172" si="854">SUM(N3148+O3148)</f>
        <v>1760</v>
      </c>
      <c r="Q3148" s="7">
        <f t="shared" ref="Q3148:Q3187" si="855">SUM(Q3147+N3148)</f>
        <v>5156298.3499999996</v>
      </c>
      <c r="R3148" s="44" t="str">
        <f>VLOOKUP(F3148,'Set up'!$A$2:$E$55,5,FALSE)</f>
        <v>Trsf</v>
      </c>
    </row>
    <row r="3149" spans="1:18" ht="15.6" customHeight="1" x14ac:dyDescent="0.3">
      <c r="A3149" s="4">
        <v>45520</v>
      </c>
      <c r="B3149" s="5">
        <f t="shared" si="849"/>
        <v>8</v>
      </c>
      <c r="C3149" s="5">
        <f t="shared" si="850"/>
        <v>2024</v>
      </c>
      <c r="D3149" s="5" t="s">
        <v>2878</v>
      </c>
      <c r="E3149" s="5" t="str">
        <f>VLOOKUP(F3149,'Set up'!$A$2:$C$55,2,FALSE)</f>
        <v>C00000019</v>
      </c>
      <c r="F3149" s="1" t="s">
        <v>401</v>
      </c>
      <c r="G3149" s="90" t="s">
        <v>950</v>
      </c>
      <c r="H3149" s="13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51"/>
        <v>45520</v>
      </c>
      <c r="L3149" s="5">
        <f t="shared" si="852"/>
        <v>8</v>
      </c>
      <c r="M3149" s="5">
        <f t="shared" si="853"/>
        <v>2024</v>
      </c>
      <c r="N3149" s="12">
        <v>120</v>
      </c>
      <c r="O3149" s="12"/>
      <c r="P3149" s="12">
        <f t="shared" si="854"/>
        <v>120</v>
      </c>
      <c r="Q3149" s="7">
        <f t="shared" si="855"/>
        <v>5156418.3499999996</v>
      </c>
      <c r="R3149" s="44" t="str">
        <f>VLOOKUP(F3149,'Set up'!$A$2:$E$55,5,FALSE)</f>
        <v>Trsf</v>
      </c>
    </row>
    <row r="3150" spans="1:18" ht="15.6" customHeight="1" x14ac:dyDescent="0.3">
      <c r="A3150" s="4">
        <v>45520</v>
      </c>
      <c r="B3150" s="5">
        <f t="shared" si="849"/>
        <v>8</v>
      </c>
      <c r="C3150" s="5">
        <f t="shared" si="850"/>
        <v>2024</v>
      </c>
      <c r="D3150" s="5" t="s">
        <v>2879</v>
      </c>
      <c r="E3150" s="5" t="str">
        <f>VLOOKUP(F3150,'Set up'!$A$2:$C$55,2,FALSE)</f>
        <v>C00000049</v>
      </c>
      <c r="F3150" s="1" t="s">
        <v>2808</v>
      </c>
      <c r="G3150" s="123" t="s">
        <v>1716</v>
      </c>
      <c r="H3150" s="13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51"/>
        <v>45520</v>
      </c>
      <c r="L3150" s="5">
        <f t="shared" si="852"/>
        <v>8</v>
      </c>
      <c r="M3150" s="5">
        <f t="shared" si="853"/>
        <v>2024</v>
      </c>
      <c r="N3150" s="12">
        <v>180</v>
      </c>
      <c r="O3150" s="12"/>
      <c r="P3150" s="12">
        <f t="shared" si="854"/>
        <v>180</v>
      </c>
      <c r="Q3150" s="7">
        <f t="shared" si="855"/>
        <v>5156598.3499999996</v>
      </c>
      <c r="R3150" s="44" t="str">
        <f>VLOOKUP(F3150,'Set up'!$A$2:$E$55,5,FALSE)</f>
        <v>Cash</v>
      </c>
    </row>
    <row r="3151" spans="1:18" ht="15.6" customHeight="1" x14ac:dyDescent="0.3">
      <c r="A3151" s="4">
        <v>45521</v>
      </c>
      <c r="B3151" s="5">
        <f t="shared" si="849"/>
        <v>8</v>
      </c>
      <c r="C3151" s="5">
        <f t="shared" si="850"/>
        <v>2024</v>
      </c>
      <c r="D3151" s="5" t="s">
        <v>2880</v>
      </c>
      <c r="E3151" s="5" t="str">
        <f>VLOOKUP(F3151,'Set up'!$A$2:$C$55,2,FALSE)</f>
        <v>C00000042</v>
      </c>
      <c r="F3151" s="1" t="s">
        <v>2013</v>
      </c>
      <c r="G3151" s="102" t="s">
        <v>2722</v>
      </c>
      <c r="H3151" s="13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51"/>
        <v>45521</v>
      </c>
      <c r="L3151" s="5">
        <f t="shared" si="852"/>
        <v>8</v>
      </c>
      <c r="M3151" s="5">
        <f t="shared" si="853"/>
        <v>2024</v>
      </c>
      <c r="N3151" s="12">
        <v>125</v>
      </c>
      <c r="O3151" s="12"/>
      <c r="P3151" s="12">
        <f t="shared" si="854"/>
        <v>125</v>
      </c>
      <c r="Q3151" s="7">
        <f t="shared" si="855"/>
        <v>5156723.3499999996</v>
      </c>
      <c r="R3151" s="44" t="str">
        <f>VLOOKUP(F3151,'Set up'!$A$2:$E$55,5,FALSE)</f>
        <v>Trsf</v>
      </c>
    </row>
    <row r="3152" spans="1:18" ht="15.6" customHeight="1" x14ac:dyDescent="0.3">
      <c r="A3152" s="4">
        <v>45521</v>
      </c>
      <c r="B3152" s="5">
        <f t="shared" si="849"/>
        <v>8</v>
      </c>
      <c r="C3152" s="5">
        <f t="shared" si="850"/>
        <v>2024</v>
      </c>
      <c r="D3152" s="5" t="s">
        <v>2881</v>
      </c>
      <c r="E3152" s="5" t="str">
        <f>VLOOKUP(F3152,'Set up'!$A$2:$C$55,2,FALSE)</f>
        <v>C00000042</v>
      </c>
      <c r="F3152" s="1" t="s">
        <v>2013</v>
      </c>
      <c r="G3152" s="124" t="s">
        <v>2625</v>
      </c>
      <c r="H3152" s="13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51"/>
        <v>45521</v>
      </c>
      <c r="L3152" s="5">
        <f t="shared" si="852"/>
        <v>8</v>
      </c>
      <c r="M3152" s="5">
        <f t="shared" si="853"/>
        <v>2024</v>
      </c>
      <c r="N3152" s="12">
        <v>3256</v>
      </c>
      <c r="O3152" s="12"/>
      <c r="P3152" s="12">
        <f t="shared" si="854"/>
        <v>3256</v>
      </c>
      <c r="Q3152" s="7">
        <f t="shared" si="855"/>
        <v>5159979.3499999996</v>
      </c>
      <c r="R3152" s="44" t="str">
        <f>VLOOKUP(F3152,'Set up'!$A$2:$E$55,5,FALSE)</f>
        <v>Trsf</v>
      </c>
    </row>
    <row r="3153" spans="1:18" ht="15.6" customHeight="1" x14ac:dyDescent="0.3">
      <c r="A3153" s="4">
        <v>45521</v>
      </c>
      <c r="B3153" s="5">
        <f t="shared" si="849"/>
        <v>8</v>
      </c>
      <c r="C3153" s="5">
        <f t="shared" si="850"/>
        <v>2024</v>
      </c>
      <c r="D3153" s="5" t="s">
        <v>2881</v>
      </c>
      <c r="E3153" s="5" t="str">
        <f>VLOOKUP(F3153,'Set up'!$A$2:$C$55,2,FALSE)</f>
        <v>C00000042</v>
      </c>
      <c r="F3153" s="1" t="s">
        <v>2013</v>
      </c>
      <c r="G3153" s="90" t="s">
        <v>1544</v>
      </c>
      <c r="H3153" s="13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51"/>
        <v>45521</v>
      </c>
      <c r="L3153" s="5">
        <f t="shared" si="852"/>
        <v>8</v>
      </c>
      <c r="M3153" s="5">
        <f t="shared" si="853"/>
        <v>2024</v>
      </c>
      <c r="N3153" s="12">
        <v>1098</v>
      </c>
      <c r="O3153" s="12"/>
      <c r="P3153" s="12">
        <f t="shared" si="854"/>
        <v>1098</v>
      </c>
      <c r="Q3153" s="7">
        <f t="shared" si="855"/>
        <v>5161077.3499999996</v>
      </c>
      <c r="R3153" s="44" t="str">
        <f>VLOOKUP(F3153,'Set up'!$A$2:$E$55,5,FALSE)</f>
        <v>Trsf</v>
      </c>
    </row>
    <row r="3154" spans="1:18" ht="15.6" customHeight="1" x14ac:dyDescent="0.3">
      <c r="A3154" s="4">
        <v>45521</v>
      </c>
      <c r="B3154" s="5">
        <f t="shared" si="849"/>
        <v>8</v>
      </c>
      <c r="C3154" s="5">
        <f t="shared" si="850"/>
        <v>2024</v>
      </c>
      <c r="D3154" s="5" t="s">
        <v>2881</v>
      </c>
      <c r="E3154" s="5" t="str">
        <f>VLOOKUP(F3154,'Set up'!$A$2:$C$55,2,FALSE)</f>
        <v>C00000042</v>
      </c>
      <c r="F3154" s="1" t="s">
        <v>2013</v>
      </c>
      <c r="G3154" s="90" t="s">
        <v>1062</v>
      </c>
      <c r="H3154" s="13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51"/>
        <v>45521</v>
      </c>
      <c r="L3154" s="5">
        <f t="shared" si="852"/>
        <v>8</v>
      </c>
      <c r="M3154" s="5">
        <f t="shared" si="853"/>
        <v>2024</v>
      </c>
      <c r="N3154" s="12">
        <v>380</v>
      </c>
      <c r="O3154" s="12"/>
      <c r="P3154" s="12">
        <f t="shared" si="854"/>
        <v>380</v>
      </c>
      <c r="Q3154" s="7">
        <f t="shared" si="855"/>
        <v>5161457.3499999996</v>
      </c>
      <c r="R3154" s="44" t="str">
        <f>VLOOKUP(F3154,'Set up'!$A$2:$E$55,5,FALSE)</f>
        <v>Trsf</v>
      </c>
    </row>
    <row r="3155" spans="1:18" ht="15.6" customHeight="1" x14ac:dyDescent="0.3">
      <c r="A3155" s="4">
        <v>45521</v>
      </c>
      <c r="B3155" s="5">
        <f t="shared" si="849"/>
        <v>8</v>
      </c>
      <c r="C3155" s="5">
        <f t="shared" si="850"/>
        <v>2024</v>
      </c>
      <c r="D3155" s="5" t="s">
        <v>2882</v>
      </c>
      <c r="E3155" s="5" t="str">
        <f>VLOOKUP(F3155,'Set up'!$A$2:$C$55,2,FALSE)</f>
        <v>C00000049</v>
      </c>
      <c r="F3155" s="1" t="s">
        <v>2808</v>
      </c>
      <c r="G3155" s="123" t="s">
        <v>1794</v>
      </c>
      <c r="H3155" s="13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51"/>
        <v>45521</v>
      </c>
      <c r="L3155" s="5">
        <f t="shared" si="852"/>
        <v>8</v>
      </c>
      <c r="M3155" s="5">
        <f t="shared" si="853"/>
        <v>2024</v>
      </c>
      <c r="N3155" s="12">
        <v>175</v>
      </c>
      <c r="O3155" s="12"/>
      <c r="P3155" s="12">
        <f t="shared" si="854"/>
        <v>175</v>
      </c>
      <c r="Q3155" s="7">
        <f t="shared" si="855"/>
        <v>5161632.3499999996</v>
      </c>
      <c r="R3155" s="44" t="str">
        <f>VLOOKUP(F3155,'Set up'!$A$2:$E$55,5,FALSE)</f>
        <v>Cash</v>
      </c>
    </row>
    <row r="3156" spans="1:18" ht="15.6" customHeight="1" x14ac:dyDescent="0.3">
      <c r="A3156" s="4">
        <v>45525</v>
      </c>
      <c r="B3156" s="5">
        <f t="shared" si="849"/>
        <v>8</v>
      </c>
      <c r="C3156" s="5">
        <f t="shared" si="850"/>
        <v>2024</v>
      </c>
      <c r="D3156" s="5" t="s">
        <v>2883</v>
      </c>
      <c r="E3156" s="5" t="str">
        <f>VLOOKUP(F3156,'Set up'!$A$2:$C$55,2,FALSE)</f>
        <v>C00000042</v>
      </c>
      <c r="F3156" s="1" t="s">
        <v>2013</v>
      </c>
      <c r="G3156" s="102" t="s">
        <v>2722</v>
      </c>
      <c r="H3156" s="13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51"/>
        <v>45525</v>
      </c>
      <c r="L3156" s="5">
        <f t="shared" si="852"/>
        <v>8</v>
      </c>
      <c r="M3156" s="5">
        <f t="shared" si="853"/>
        <v>2024</v>
      </c>
      <c r="N3156" s="12">
        <v>187.5</v>
      </c>
      <c r="O3156" s="12"/>
      <c r="P3156" s="12">
        <f t="shared" si="854"/>
        <v>187.5</v>
      </c>
      <c r="Q3156" s="7">
        <f t="shared" si="855"/>
        <v>5161819.8499999996</v>
      </c>
      <c r="R3156" s="44" t="str">
        <f>VLOOKUP(F3156,'Set up'!$A$2:$E$55,5,FALSE)</f>
        <v>Trsf</v>
      </c>
    </row>
    <row r="3157" spans="1:18" ht="15.6" customHeight="1" x14ac:dyDescent="0.3">
      <c r="A3157" s="4">
        <v>45525</v>
      </c>
      <c r="B3157" s="5">
        <f t="shared" si="849"/>
        <v>8</v>
      </c>
      <c r="C3157" s="5">
        <f t="shared" si="850"/>
        <v>2024</v>
      </c>
      <c r="D3157" s="5" t="s">
        <v>2884</v>
      </c>
      <c r="E3157" s="5" t="str">
        <f>VLOOKUP(F3157,'Set up'!$A$2:$C$55,2,FALSE)</f>
        <v>C00000042</v>
      </c>
      <c r="F3157" s="1" t="s">
        <v>2013</v>
      </c>
      <c r="G3157" s="124" t="s">
        <v>2625</v>
      </c>
      <c r="H3157" s="13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si="851"/>
        <v>45525</v>
      </c>
      <c r="L3157" s="5">
        <f t="shared" si="852"/>
        <v>8</v>
      </c>
      <c r="M3157" s="5">
        <f t="shared" si="853"/>
        <v>2024</v>
      </c>
      <c r="N3157" s="12">
        <v>4884</v>
      </c>
      <c r="O3157" s="12"/>
      <c r="P3157" s="12">
        <f t="shared" si="854"/>
        <v>4884</v>
      </c>
      <c r="Q3157" s="7">
        <f t="shared" si="855"/>
        <v>5166703.8499999996</v>
      </c>
      <c r="R3157" s="44" t="str">
        <f>VLOOKUP(F3157,'Set up'!$A$2:$E$55,5,FALSE)</f>
        <v>Trsf</v>
      </c>
    </row>
    <row r="3158" spans="1:18" ht="15.6" customHeight="1" x14ac:dyDescent="0.3">
      <c r="A3158" s="4">
        <v>45525</v>
      </c>
      <c r="B3158" s="5">
        <f t="shared" si="849"/>
        <v>8</v>
      </c>
      <c r="C3158" s="5">
        <f t="shared" si="850"/>
        <v>2024</v>
      </c>
      <c r="D3158" s="5" t="s">
        <v>2884</v>
      </c>
      <c r="E3158" s="5" t="str">
        <f>VLOOKUP(F3158,'Set up'!$A$2:$C$55,2,FALSE)</f>
        <v>C00000042</v>
      </c>
      <c r="F3158" s="1" t="s">
        <v>2013</v>
      </c>
      <c r="G3158" s="90" t="s">
        <v>1544</v>
      </c>
      <c r="H3158" s="13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51"/>
        <v>45525</v>
      </c>
      <c r="L3158" s="5">
        <f t="shared" si="852"/>
        <v>8</v>
      </c>
      <c r="M3158" s="5">
        <f t="shared" si="853"/>
        <v>2024</v>
      </c>
      <c r="N3158" s="12">
        <v>1830</v>
      </c>
      <c r="O3158" s="12"/>
      <c r="P3158" s="12">
        <f t="shared" si="854"/>
        <v>1830</v>
      </c>
      <c r="Q3158" s="7">
        <f t="shared" si="855"/>
        <v>5168533.8499999996</v>
      </c>
      <c r="R3158" s="44" t="str">
        <f>VLOOKUP(F3158,'Set up'!$A$2:$E$55,5,FALSE)</f>
        <v>Trsf</v>
      </c>
    </row>
    <row r="3159" spans="1:18" ht="15.6" customHeight="1" x14ac:dyDescent="0.3">
      <c r="A3159" s="4">
        <v>45525</v>
      </c>
      <c r="B3159" s="5">
        <f t="shared" si="849"/>
        <v>8</v>
      </c>
      <c r="C3159" s="5">
        <f t="shared" si="850"/>
        <v>2024</v>
      </c>
      <c r="D3159" s="5" t="s">
        <v>2884</v>
      </c>
      <c r="E3159" s="5" t="str">
        <f>VLOOKUP(F3159,'Set up'!$A$2:$C$55,2,FALSE)</f>
        <v>C00000042</v>
      </c>
      <c r="F3159" s="1" t="s">
        <v>2013</v>
      </c>
      <c r="G3159" s="90" t="s">
        <v>656</v>
      </c>
      <c r="H3159" s="13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51"/>
        <v>45525</v>
      </c>
      <c r="L3159" s="5">
        <f t="shared" si="852"/>
        <v>8</v>
      </c>
      <c r="M3159" s="5">
        <f t="shared" si="853"/>
        <v>2024</v>
      </c>
      <c r="N3159" s="12">
        <v>1200</v>
      </c>
      <c r="O3159" s="12"/>
      <c r="P3159" s="12">
        <f t="shared" si="854"/>
        <v>1200</v>
      </c>
      <c r="Q3159" s="7">
        <f t="shared" si="855"/>
        <v>5169733.8499999996</v>
      </c>
      <c r="R3159" s="44" t="str">
        <f>VLOOKUP(F3159,'Set up'!$A$2:$E$55,5,FALSE)</f>
        <v>Trsf</v>
      </c>
    </row>
    <row r="3160" spans="1:18" ht="15.6" customHeight="1" x14ac:dyDescent="0.3">
      <c r="A3160" s="4">
        <v>45525</v>
      </c>
      <c r="B3160" s="5">
        <f t="shared" si="849"/>
        <v>8</v>
      </c>
      <c r="C3160" s="5">
        <f t="shared" si="850"/>
        <v>2024</v>
      </c>
      <c r="D3160" s="5" t="s">
        <v>2884</v>
      </c>
      <c r="E3160" s="5" t="str">
        <f>VLOOKUP(F3160,'Set up'!$A$2:$C$55,2,FALSE)</f>
        <v>C00000042</v>
      </c>
      <c r="F3160" s="1" t="s">
        <v>2013</v>
      </c>
      <c r="G3160" s="90" t="s">
        <v>1062</v>
      </c>
      <c r="H3160" s="13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51"/>
        <v>45525</v>
      </c>
      <c r="L3160" s="5">
        <f t="shared" si="852"/>
        <v>8</v>
      </c>
      <c r="M3160" s="5">
        <f t="shared" si="853"/>
        <v>2024</v>
      </c>
      <c r="N3160" s="12">
        <v>380</v>
      </c>
      <c r="O3160" s="12"/>
      <c r="P3160" s="12">
        <f t="shared" si="854"/>
        <v>380</v>
      </c>
      <c r="Q3160" s="7">
        <f t="shared" si="855"/>
        <v>5170113.8499999996</v>
      </c>
      <c r="R3160" s="44" t="str">
        <f>VLOOKUP(F3160,'Set up'!$A$2:$E$55,5,FALSE)</f>
        <v>Trsf</v>
      </c>
    </row>
    <row r="3161" spans="1:18" ht="15.6" customHeight="1" x14ac:dyDescent="0.3">
      <c r="A3161" s="4">
        <v>45525</v>
      </c>
      <c r="B3161" s="5">
        <f t="shared" si="849"/>
        <v>8</v>
      </c>
      <c r="C3161" s="5">
        <f t="shared" si="850"/>
        <v>2024</v>
      </c>
      <c r="D3161" s="5" t="s">
        <v>2884</v>
      </c>
      <c r="E3161" s="5" t="str">
        <f>VLOOKUP(F3161,'Set up'!$A$2:$C$55,2,FALSE)</f>
        <v>C00000042</v>
      </c>
      <c r="F3161" s="1" t="s">
        <v>2013</v>
      </c>
      <c r="G3161" s="90" t="s">
        <v>2826</v>
      </c>
      <c r="H3161" s="13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51"/>
        <v>45525</v>
      </c>
      <c r="L3161" s="5">
        <f t="shared" si="852"/>
        <v>8</v>
      </c>
      <c r="M3161" s="5">
        <f t="shared" si="853"/>
        <v>2024</v>
      </c>
      <c r="N3161" s="12">
        <v>975</v>
      </c>
      <c r="O3161" s="12"/>
      <c r="P3161" s="12">
        <f t="shared" si="854"/>
        <v>975</v>
      </c>
      <c r="Q3161" s="7">
        <f t="shared" si="855"/>
        <v>5171088.8499999996</v>
      </c>
      <c r="R3161" s="44" t="str">
        <f>VLOOKUP(F3161,'Set up'!$A$2:$E$55,5,FALSE)</f>
        <v>Trsf</v>
      </c>
    </row>
    <row r="3162" spans="1:18" ht="15.6" customHeight="1" x14ac:dyDescent="0.3">
      <c r="A3162" s="4">
        <v>45525</v>
      </c>
      <c r="B3162" s="5">
        <f t="shared" si="849"/>
        <v>8</v>
      </c>
      <c r="C3162" s="5">
        <f t="shared" si="850"/>
        <v>2024</v>
      </c>
      <c r="D3162" s="5" t="s">
        <v>2885</v>
      </c>
      <c r="E3162" s="5" t="str">
        <f>VLOOKUP(F3162,'Set up'!$A$2:$C$55,2,FALSE)</f>
        <v>C00000027</v>
      </c>
      <c r="F3162" s="1" t="s">
        <v>860</v>
      </c>
      <c r="G3162" s="90" t="s">
        <v>95</v>
      </c>
      <c r="H3162" s="13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51"/>
        <v>45525</v>
      </c>
      <c r="L3162" s="5">
        <f t="shared" si="852"/>
        <v>8</v>
      </c>
      <c r="M3162" s="5">
        <f t="shared" si="853"/>
        <v>2024</v>
      </c>
      <c r="N3162" s="12">
        <v>3520</v>
      </c>
      <c r="O3162" s="12"/>
      <c r="P3162" s="12">
        <f t="shared" si="854"/>
        <v>3520</v>
      </c>
      <c r="Q3162" s="7">
        <f t="shared" si="855"/>
        <v>5174608.8499999996</v>
      </c>
      <c r="R3162" s="44" t="str">
        <f>VLOOKUP(F3162,'Set up'!$A$2:$E$55,5,FALSE)</f>
        <v>Trsf</v>
      </c>
    </row>
    <row r="3163" spans="1:18" ht="15.6" customHeight="1" x14ac:dyDescent="0.3">
      <c r="A3163" s="4">
        <v>45525</v>
      </c>
      <c r="B3163" s="5">
        <f t="shared" si="849"/>
        <v>8</v>
      </c>
      <c r="C3163" s="5">
        <f t="shared" si="850"/>
        <v>2024</v>
      </c>
      <c r="D3163" s="5" t="s">
        <v>2885</v>
      </c>
      <c r="E3163" s="5" t="str">
        <f>VLOOKUP(F3163,'Set up'!$A$2:$C$55,2,FALSE)</f>
        <v>C00000027</v>
      </c>
      <c r="F3163" s="1" t="s">
        <v>860</v>
      </c>
      <c r="G3163" s="90" t="s">
        <v>1745</v>
      </c>
      <c r="H3163" s="13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51"/>
        <v>45525</v>
      </c>
      <c r="L3163" s="5">
        <f t="shared" si="852"/>
        <v>8</v>
      </c>
      <c r="M3163" s="5">
        <f t="shared" si="853"/>
        <v>2024</v>
      </c>
      <c r="N3163" s="12">
        <v>1108.4000000000001</v>
      </c>
      <c r="O3163" s="12"/>
      <c r="P3163" s="12">
        <f t="shared" si="854"/>
        <v>1108.4000000000001</v>
      </c>
      <c r="Q3163" s="7">
        <f t="shared" si="855"/>
        <v>5175717.25</v>
      </c>
      <c r="R3163" s="44" t="str">
        <f>VLOOKUP(F3163,'Set up'!$A$2:$E$55,5,FALSE)</f>
        <v>Trsf</v>
      </c>
    </row>
    <row r="3164" spans="1:18" ht="15.6" customHeight="1" x14ac:dyDescent="0.3">
      <c r="A3164" s="4">
        <v>45525</v>
      </c>
      <c r="B3164" s="5">
        <f t="shared" si="849"/>
        <v>8</v>
      </c>
      <c r="C3164" s="5">
        <f t="shared" si="850"/>
        <v>2024</v>
      </c>
      <c r="D3164" s="5" t="s">
        <v>2885</v>
      </c>
      <c r="E3164" s="5" t="str">
        <f>VLOOKUP(F3164,'Set up'!$A$2:$C$55,2,FALSE)</f>
        <v>C00000027</v>
      </c>
      <c r="F3164" s="1" t="s">
        <v>860</v>
      </c>
      <c r="G3164" s="90" t="s">
        <v>894</v>
      </c>
      <c r="H3164" s="13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51"/>
        <v>45525</v>
      </c>
      <c r="L3164" s="5">
        <f t="shared" si="852"/>
        <v>8</v>
      </c>
      <c r="M3164" s="5">
        <f t="shared" si="853"/>
        <v>2024</v>
      </c>
      <c r="N3164" s="12">
        <v>1684.8</v>
      </c>
      <c r="O3164" s="12"/>
      <c r="P3164" s="12">
        <f t="shared" si="854"/>
        <v>1684.8</v>
      </c>
      <c r="Q3164" s="7">
        <f t="shared" si="855"/>
        <v>5177402.05</v>
      </c>
      <c r="R3164" s="44" t="str">
        <f>VLOOKUP(F3164,'Set up'!$A$2:$E$55,5,FALSE)</f>
        <v>Trsf</v>
      </c>
    </row>
    <row r="3165" spans="1:18" ht="15.6" customHeight="1" x14ac:dyDescent="0.3">
      <c r="A3165" s="4">
        <v>45525</v>
      </c>
      <c r="B3165" s="5">
        <f t="shared" si="849"/>
        <v>8</v>
      </c>
      <c r="C3165" s="5">
        <f t="shared" si="850"/>
        <v>2024</v>
      </c>
      <c r="D3165" s="5" t="s">
        <v>2885</v>
      </c>
      <c r="E3165" s="5" t="str">
        <f>VLOOKUP(F3165,'Set up'!$A$2:$C$55,2,FALSE)</f>
        <v>C00000027</v>
      </c>
      <c r="F3165" s="1" t="s">
        <v>860</v>
      </c>
      <c r="G3165" s="90" t="s">
        <v>656</v>
      </c>
      <c r="H3165" s="13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51"/>
        <v>45525</v>
      </c>
      <c r="L3165" s="5">
        <f t="shared" si="852"/>
        <v>8</v>
      </c>
      <c r="M3165" s="5">
        <f t="shared" si="853"/>
        <v>2024</v>
      </c>
      <c r="N3165" s="12">
        <v>280</v>
      </c>
      <c r="O3165" s="12"/>
      <c r="P3165" s="12">
        <f t="shared" si="854"/>
        <v>280</v>
      </c>
      <c r="Q3165" s="7">
        <f t="shared" si="855"/>
        <v>5177682.05</v>
      </c>
      <c r="R3165" s="44" t="str">
        <f>VLOOKUP(F3165,'Set up'!$A$2:$E$55,5,FALSE)</f>
        <v>Trsf</v>
      </c>
    </row>
    <row r="3166" spans="1:18" ht="15.6" customHeight="1" x14ac:dyDescent="0.3">
      <c r="A3166" s="4">
        <v>45525</v>
      </c>
      <c r="B3166" s="5">
        <f t="shared" si="849"/>
        <v>8</v>
      </c>
      <c r="C3166" s="5">
        <f t="shared" si="850"/>
        <v>2024</v>
      </c>
      <c r="D3166" s="5" t="s">
        <v>2885</v>
      </c>
      <c r="E3166" s="5" t="str">
        <f>VLOOKUP(F3166,'Set up'!$A$2:$C$55,2,FALSE)</f>
        <v>C00000027</v>
      </c>
      <c r="F3166" s="1" t="s">
        <v>860</v>
      </c>
      <c r="G3166" s="90" t="s">
        <v>2215</v>
      </c>
      <c r="H3166" s="13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51"/>
        <v>45525</v>
      </c>
      <c r="L3166" s="5">
        <f t="shared" si="852"/>
        <v>8</v>
      </c>
      <c r="M3166" s="5">
        <f t="shared" si="853"/>
        <v>2024</v>
      </c>
      <c r="N3166" s="12">
        <v>563.20000000000005</v>
      </c>
      <c r="O3166" s="12"/>
      <c r="P3166" s="12">
        <f t="shared" si="854"/>
        <v>563.20000000000005</v>
      </c>
      <c r="Q3166" s="7">
        <f t="shared" si="855"/>
        <v>5178245.25</v>
      </c>
      <c r="R3166" s="44" t="str">
        <f>VLOOKUP(F3166,'Set up'!$A$2:$E$55,5,FALSE)</f>
        <v>Trsf</v>
      </c>
    </row>
    <row r="3167" spans="1:18" ht="15.6" customHeight="1" x14ac:dyDescent="0.3">
      <c r="A3167" s="4">
        <v>45525</v>
      </c>
      <c r="B3167" s="5">
        <f t="shared" si="849"/>
        <v>8</v>
      </c>
      <c r="C3167" s="5">
        <f t="shared" si="850"/>
        <v>2024</v>
      </c>
      <c r="D3167" s="5" t="s">
        <v>2885</v>
      </c>
      <c r="E3167" s="5" t="str">
        <f>VLOOKUP(F3167,'Set up'!$A$2:$C$55,2,FALSE)</f>
        <v>C00000027</v>
      </c>
      <c r="F3167" s="1" t="s">
        <v>860</v>
      </c>
      <c r="G3167" s="90" t="s">
        <v>1062</v>
      </c>
      <c r="H3167" s="13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51"/>
        <v>45525</v>
      </c>
      <c r="L3167" s="5">
        <f t="shared" si="852"/>
        <v>8</v>
      </c>
      <c r="M3167" s="5">
        <f t="shared" si="853"/>
        <v>2024</v>
      </c>
      <c r="N3167" s="12">
        <v>190</v>
      </c>
      <c r="O3167" s="12"/>
      <c r="P3167" s="12">
        <f t="shared" si="854"/>
        <v>190</v>
      </c>
      <c r="Q3167" s="7">
        <f t="shared" si="855"/>
        <v>5178435.25</v>
      </c>
      <c r="R3167" s="44" t="str">
        <f>VLOOKUP(F3167,'Set up'!$A$2:$E$55,5,FALSE)</f>
        <v>Trsf</v>
      </c>
    </row>
    <row r="3168" spans="1:18" ht="15.6" customHeight="1" x14ac:dyDescent="0.3">
      <c r="A3168" s="4">
        <v>45525</v>
      </c>
      <c r="B3168" s="5">
        <f t="shared" si="849"/>
        <v>8</v>
      </c>
      <c r="C3168" s="5">
        <f t="shared" si="850"/>
        <v>2024</v>
      </c>
      <c r="D3168" s="5" t="s">
        <v>2885</v>
      </c>
      <c r="E3168" s="5" t="str">
        <f>VLOOKUP(F3168,'Set up'!$A$2:$C$55,2,FALSE)</f>
        <v>C00000027</v>
      </c>
      <c r="F3168" s="1" t="s">
        <v>860</v>
      </c>
      <c r="G3168" s="90" t="s">
        <v>1400</v>
      </c>
      <c r="H3168" s="13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51"/>
        <v>45525</v>
      </c>
      <c r="L3168" s="5">
        <f t="shared" si="852"/>
        <v>8</v>
      </c>
      <c r="M3168" s="5">
        <f t="shared" si="853"/>
        <v>2024</v>
      </c>
      <c r="N3168" s="12">
        <v>320</v>
      </c>
      <c r="O3168" s="12"/>
      <c r="P3168" s="12">
        <f t="shared" si="854"/>
        <v>320</v>
      </c>
      <c r="Q3168" s="7">
        <f t="shared" si="855"/>
        <v>5178755.25</v>
      </c>
      <c r="R3168" s="44" t="str">
        <f>VLOOKUP(F3168,'Set up'!$A$2:$E$55,5,FALSE)</f>
        <v>Trsf</v>
      </c>
    </row>
    <row r="3169" spans="1:18" ht="15.6" customHeight="1" x14ac:dyDescent="0.3">
      <c r="A3169" s="4">
        <v>45525</v>
      </c>
      <c r="B3169" s="5">
        <f t="shared" si="849"/>
        <v>8</v>
      </c>
      <c r="C3169" s="5">
        <f t="shared" si="850"/>
        <v>2024</v>
      </c>
      <c r="D3169" s="5" t="s">
        <v>2885</v>
      </c>
      <c r="E3169" s="5" t="str">
        <f>VLOOKUP(F3169,'Set up'!$A$2:$C$55,2,FALSE)</f>
        <v>C00000027</v>
      </c>
      <c r="F3169" s="1" t="s">
        <v>860</v>
      </c>
      <c r="G3169" s="90" t="s">
        <v>950</v>
      </c>
      <c r="H3169" s="13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51"/>
        <v>45525</v>
      </c>
      <c r="L3169" s="5">
        <f t="shared" si="852"/>
        <v>8</v>
      </c>
      <c r="M3169" s="5">
        <f t="shared" si="853"/>
        <v>2024</v>
      </c>
      <c r="N3169" s="12">
        <v>360</v>
      </c>
      <c r="O3169" s="12"/>
      <c r="P3169" s="12">
        <f t="shared" si="854"/>
        <v>360</v>
      </c>
      <c r="Q3169" s="7">
        <f t="shared" si="855"/>
        <v>5179115.25</v>
      </c>
      <c r="R3169" s="44" t="str">
        <f>VLOOKUP(F3169,'Set up'!$A$2:$E$55,5,FALSE)</f>
        <v>Trsf</v>
      </c>
    </row>
    <row r="3170" spans="1:18" ht="15.6" customHeight="1" x14ac:dyDescent="0.3">
      <c r="A3170" s="4">
        <v>45523</v>
      </c>
      <c r="B3170" s="5">
        <f t="shared" si="849"/>
        <v>8</v>
      </c>
      <c r="C3170" s="5">
        <f t="shared" si="850"/>
        <v>2024</v>
      </c>
      <c r="D3170" s="5" t="s">
        <v>2887</v>
      </c>
      <c r="E3170" s="5" t="str">
        <f>VLOOKUP(F3170,'Set up'!$A$2:$C$55,2,FALSE)</f>
        <v>C00000010</v>
      </c>
      <c r="F3170" s="1" t="s">
        <v>62</v>
      </c>
      <c r="G3170" s="134" t="s">
        <v>1655</v>
      </c>
      <c r="H3170" s="13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51"/>
        <v>45643</v>
      </c>
      <c r="L3170" s="5">
        <f t="shared" si="852"/>
        <v>12</v>
      </c>
      <c r="M3170" s="5">
        <f t="shared" si="853"/>
        <v>2024</v>
      </c>
      <c r="N3170" s="12">
        <v>476</v>
      </c>
      <c r="O3170" s="12"/>
      <c r="P3170" s="12">
        <f t="shared" si="854"/>
        <v>476</v>
      </c>
      <c r="Q3170" s="7">
        <f t="shared" si="855"/>
        <v>5179591.25</v>
      </c>
      <c r="R3170" s="44" t="str">
        <f>VLOOKUP(F3170,'Set up'!$A$2:$E$55,5,FALSE)</f>
        <v>Trsf</v>
      </c>
    </row>
    <row r="3171" spans="1:18" ht="15.6" customHeight="1" x14ac:dyDescent="0.3">
      <c r="A3171" s="4">
        <v>45523</v>
      </c>
      <c r="B3171" s="5">
        <f t="shared" si="849"/>
        <v>8</v>
      </c>
      <c r="C3171" s="5">
        <f t="shared" si="850"/>
        <v>2024</v>
      </c>
      <c r="D3171" s="5" t="s">
        <v>2887</v>
      </c>
      <c r="E3171" s="5" t="str">
        <f>VLOOKUP(F3171,'Set up'!$A$2:$C$55,2,FALSE)</f>
        <v>C00000010</v>
      </c>
      <c r="F3171" s="1" t="s">
        <v>62</v>
      </c>
      <c r="G3171" s="90" t="s">
        <v>2886</v>
      </c>
      <c r="H3171" s="13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51"/>
        <v>45643</v>
      </c>
      <c r="L3171" s="5">
        <f t="shared" si="852"/>
        <v>12</v>
      </c>
      <c r="M3171" s="5">
        <f t="shared" si="853"/>
        <v>2024</v>
      </c>
      <c r="N3171" s="12">
        <v>240</v>
      </c>
      <c r="O3171" s="12"/>
      <c r="P3171" s="12">
        <f t="shared" si="854"/>
        <v>240</v>
      </c>
      <c r="Q3171" s="7">
        <f t="shared" si="855"/>
        <v>5179831.25</v>
      </c>
      <c r="R3171" s="44" t="str">
        <f>VLOOKUP(F3171,'Set up'!$A$2:$E$55,5,FALSE)</f>
        <v>Trsf</v>
      </c>
    </row>
    <row r="3172" spans="1:18" ht="15.6" customHeight="1" x14ac:dyDescent="0.3">
      <c r="A3172" s="4">
        <v>45523</v>
      </c>
      <c r="B3172" s="5">
        <f t="shared" si="849"/>
        <v>8</v>
      </c>
      <c r="C3172" s="5">
        <f t="shared" si="850"/>
        <v>2024</v>
      </c>
      <c r="D3172" s="5" t="s">
        <v>2887</v>
      </c>
      <c r="E3172" s="5" t="str">
        <f>VLOOKUP(F3172,'Set up'!$A$2:$C$55,2,FALSE)</f>
        <v>C00000010</v>
      </c>
      <c r="F3172" s="1" t="s">
        <v>62</v>
      </c>
      <c r="G3172" s="90" t="s">
        <v>1662</v>
      </c>
      <c r="H3172" s="13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51"/>
        <v>45643</v>
      </c>
      <c r="L3172" s="5">
        <f t="shared" si="852"/>
        <v>12</v>
      </c>
      <c r="M3172" s="5">
        <f t="shared" si="853"/>
        <v>2024</v>
      </c>
      <c r="N3172" s="12">
        <v>165</v>
      </c>
      <c r="O3172" s="12"/>
      <c r="P3172" s="12">
        <f t="shared" si="854"/>
        <v>165</v>
      </c>
      <c r="Q3172" s="7">
        <f t="shared" si="855"/>
        <v>5179996.25</v>
      </c>
      <c r="R3172" s="44" t="str">
        <f>VLOOKUP(F3172,'Set up'!$A$2:$E$55,5,FALSE)</f>
        <v>Trsf</v>
      </c>
    </row>
    <row r="3173" spans="1:18" ht="15" customHeight="1" x14ac:dyDescent="0.3">
      <c r="A3173" s="4">
        <v>45526</v>
      </c>
      <c r="B3173" s="5">
        <f t="shared" si="842"/>
        <v>8</v>
      </c>
      <c r="C3173" s="5">
        <f t="shared" si="843"/>
        <v>2024</v>
      </c>
      <c r="D3173" s="5" t="s">
        <v>2888</v>
      </c>
      <c r="E3173" s="5" t="str">
        <f>VLOOKUP(F3173,'Set up'!$A$2:$C$55,2,FALSE)</f>
        <v>C00000014</v>
      </c>
      <c r="F3173" s="1" t="s">
        <v>263</v>
      </c>
      <c r="G3173" s="134" t="s">
        <v>1544</v>
      </c>
      <c r="H3173" s="13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44"/>
        <v>45526</v>
      </c>
      <c r="L3173" s="5">
        <f t="shared" si="845"/>
        <v>8</v>
      </c>
      <c r="M3173" s="5">
        <f t="shared" si="846"/>
        <v>2024</v>
      </c>
      <c r="N3173" s="12">
        <v>207</v>
      </c>
      <c r="O3173" s="12"/>
      <c r="P3173" s="12">
        <f t="shared" si="847"/>
        <v>207</v>
      </c>
      <c r="Q3173" s="7">
        <f t="shared" si="855"/>
        <v>5180203.25</v>
      </c>
      <c r="R3173" s="44" t="str">
        <f>VLOOKUP(F3173,'Set up'!$A$2:$E$55,5,FALSE)</f>
        <v>Cash</v>
      </c>
    </row>
    <row r="3174" spans="1:18" s="10" customFormat="1" ht="15" customHeight="1" x14ac:dyDescent="0.3">
      <c r="A3174" s="125">
        <v>45526</v>
      </c>
      <c r="B3174" s="126">
        <f t="shared" ref="B3174:B3187" si="856">MONTH(A3174)</f>
        <v>8</v>
      </c>
      <c r="C3174" s="126">
        <f t="shared" ref="C3174:C3185" si="857">YEAR(A3174)</f>
        <v>2024</v>
      </c>
      <c r="D3174" s="126" t="s">
        <v>2888</v>
      </c>
      <c r="E3174" s="126" t="str">
        <f>VLOOKUP(F3174,'Set up'!$A$2:$C$55,2,FALSE)</f>
        <v>C00000014</v>
      </c>
      <c r="F3174" s="10" t="s">
        <v>263</v>
      </c>
      <c r="G3174" s="127" t="s">
        <v>2889</v>
      </c>
      <c r="H3174" s="144">
        <v>1</v>
      </c>
      <c r="I3174" s="126" t="str">
        <f>VLOOKUP(F3174,'Set up'!$A$2:$C$55,3,FALSE)</f>
        <v>Cash</v>
      </c>
      <c r="J3174" s="126">
        <f>VLOOKUP(F3174,'Set up'!$A$2:$D$55,4,FALSE)</f>
        <v>0</v>
      </c>
      <c r="K3174" s="125">
        <f t="shared" ref="K3174:K3185" si="858">A3174+J3174</f>
        <v>45526</v>
      </c>
      <c r="L3174" s="126">
        <f t="shared" ref="L3174:L3185" si="859">MONTH(K3174)</f>
        <v>8</v>
      </c>
      <c r="M3174" s="126">
        <f t="shared" ref="M3174:M3185" si="860">YEAR(K3174)</f>
        <v>2024</v>
      </c>
      <c r="N3174" s="34">
        <v>0</v>
      </c>
      <c r="O3174" s="34"/>
      <c r="P3174" s="34">
        <f t="shared" ref="P3174:P3185" si="861">SUM(N3174+O3174)</f>
        <v>0</v>
      </c>
      <c r="Q3174" s="7">
        <f>SUM(Q3173+N3174)</f>
        <v>5180203.25</v>
      </c>
      <c r="R3174" s="128" t="str">
        <f>VLOOKUP(F3174,'Set up'!$A$2:$E$55,5,FALSE)</f>
        <v>Cash</v>
      </c>
    </row>
    <row r="3175" spans="1:18" ht="15" customHeight="1" x14ac:dyDescent="0.3">
      <c r="A3175" s="4">
        <v>45531</v>
      </c>
      <c r="B3175" s="5">
        <f t="shared" si="856"/>
        <v>8</v>
      </c>
      <c r="C3175" s="5">
        <f t="shared" si="857"/>
        <v>2024</v>
      </c>
      <c r="D3175" s="5" t="s">
        <v>2890</v>
      </c>
      <c r="E3175" s="5" t="str">
        <f>VLOOKUP(F3175,'Set up'!$A$2:$C$55,2,FALSE)</f>
        <v>C00000019</v>
      </c>
      <c r="F3175" s="1" t="s">
        <v>401</v>
      </c>
      <c r="G3175" s="90" t="s">
        <v>95</v>
      </c>
      <c r="H3175" s="13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58"/>
        <v>45531</v>
      </c>
      <c r="L3175" s="5">
        <f t="shared" si="859"/>
        <v>8</v>
      </c>
      <c r="M3175" s="5">
        <f t="shared" si="860"/>
        <v>2024</v>
      </c>
      <c r="N3175" s="12">
        <v>1760</v>
      </c>
      <c r="O3175" s="12"/>
      <c r="P3175" s="12">
        <f t="shared" si="861"/>
        <v>1760</v>
      </c>
      <c r="Q3175" s="7">
        <f t="shared" si="855"/>
        <v>5181963.25</v>
      </c>
      <c r="R3175" s="44" t="str">
        <f>VLOOKUP(F3175,'Set up'!$A$2:$E$55,5,FALSE)</f>
        <v>Trsf</v>
      </c>
    </row>
    <row r="3176" spans="1:18" ht="15" customHeight="1" x14ac:dyDescent="0.3">
      <c r="A3176" s="4">
        <v>45531</v>
      </c>
      <c r="B3176" s="5">
        <f t="shared" si="856"/>
        <v>8</v>
      </c>
      <c r="C3176" s="5">
        <f t="shared" si="857"/>
        <v>2024</v>
      </c>
      <c r="D3176" s="5" t="s">
        <v>2890</v>
      </c>
      <c r="E3176" s="5" t="str">
        <f>VLOOKUP(F3176,'Set up'!$A$2:$C$55,2,FALSE)</f>
        <v>C00000019</v>
      </c>
      <c r="F3176" s="1" t="s">
        <v>401</v>
      </c>
      <c r="G3176" s="90" t="s">
        <v>1412</v>
      </c>
      <c r="H3176" s="13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58"/>
        <v>45531</v>
      </c>
      <c r="L3176" s="5">
        <f t="shared" si="859"/>
        <v>8</v>
      </c>
      <c r="M3176" s="5">
        <f t="shared" si="860"/>
        <v>2024</v>
      </c>
      <c r="N3176" s="12">
        <v>405</v>
      </c>
      <c r="O3176" s="12"/>
      <c r="P3176" s="12">
        <f t="shared" si="861"/>
        <v>405</v>
      </c>
      <c r="Q3176" s="7">
        <f t="shared" si="855"/>
        <v>5182368.25</v>
      </c>
      <c r="R3176" s="44" t="str">
        <f>VLOOKUP(F3176,'Set up'!$A$2:$E$55,5,FALSE)</f>
        <v>Trsf</v>
      </c>
    </row>
    <row r="3177" spans="1:18" ht="15" customHeight="1" x14ac:dyDescent="0.3">
      <c r="A3177" s="4">
        <v>45531</v>
      </c>
      <c r="B3177" s="5">
        <f t="shared" si="856"/>
        <v>8</v>
      </c>
      <c r="C3177" s="5">
        <f t="shared" si="857"/>
        <v>2024</v>
      </c>
      <c r="D3177" s="5" t="s">
        <v>2890</v>
      </c>
      <c r="E3177" s="5" t="str">
        <f>VLOOKUP(F3177,'Set up'!$A$2:$C$55,2,FALSE)</f>
        <v>C00000019</v>
      </c>
      <c r="F3177" s="1" t="s">
        <v>401</v>
      </c>
      <c r="G3177" s="90" t="s">
        <v>2711</v>
      </c>
      <c r="H3177" s="13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58"/>
        <v>45531</v>
      </c>
      <c r="L3177" s="5">
        <f t="shared" si="859"/>
        <v>8</v>
      </c>
      <c r="M3177" s="5">
        <f t="shared" si="860"/>
        <v>2024</v>
      </c>
      <c r="N3177" s="12">
        <v>187.5</v>
      </c>
      <c r="O3177" s="12"/>
      <c r="P3177" s="12">
        <f t="shared" si="861"/>
        <v>187.5</v>
      </c>
      <c r="Q3177" s="7">
        <f t="shared" si="855"/>
        <v>5182555.75</v>
      </c>
      <c r="R3177" s="44" t="str">
        <f>VLOOKUP(F3177,'Set up'!$A$2:$E$55,5,FALSE)</f>
        <v>Trsf</v>
      </c>
    </row>
    <row r="3178" spans="1:18" ht="15" customHeight="1" x14ac:dyDescent="0.3">
      <c r="A3178" s="4">
        <v>45531</v>
      </c>
      <c r="B3178" s="5">
        <f t="shared" si="856"/>
        <v>8</v>
      </c>
      <c r="C3178" s="5">
        <f t="shared" si="857"/>
        <v>2024</v>
      </c>
      <c r="D3178" s="5" t="s">
        <v>2890</v>
      </c>
      <c r="E3178" s="5" t="str">
        <f>VLOOKUP(F3178,'Set up'!$A$2:$C$55,2,FALSE)</f>
        <v>C00000019</v>
      </c>
      <c r="F3178" s="1" t="s">
        <v>401</v>
      </c>
      <c r="G3178" s="90" t="s">
        <v>2522</v>
      </c>
      <c r="H3178" s="13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58"/>
        <v>45531</v>
      </c>
      <c r="L3178" s="5">
        <f t="shared" si="859"/>
        <v>8</v>
      </c>
      <c r="M3178" s="5">
        <f t="shared" si="860"/>
        <v>2024</v>
      </c>
      <c r="N3178" s="12">
        <v>420</v>
      </c>
      <c r="O3178" s="12"/>
      <c r="P3178" s="12">
        <f t="shared" si="861"/>
        <v>420</v>
      </c>
      <c r="Q3178" s="7">
        <f t="shared" si="855"/>
        <v>5182975.75</v>
      </c>
      <c r="R3178" s="44" t="str">
        <f>VLOOKUP(F3178,'Set up'!$A$2:$E$55,5,FALSE)</f>
        <v>Trsf</v>
      </c>
    </row>
    <row r="3179" spans="1:18" ht="15" customHeight="1" x14ac:dyDescent="0.3">
      <c r="A3179" s="4">
        <v>45532</v>
      </c>
      <c r="B3179" s="5">
        <f t="shared" si="856"/>
        <v>8</v>
      </c>
      <c r="C3179" s="5">
        <f t="shared" si="857"/>
        <v>2024</v>
      </c>
      <c r="D3179" s="5" t="s">
        <v>2891</v>
      </c>
      <c r="E3179" s="5" t="str">
        <f>VLOOKUP(F3179,'Set up'!$A$2:$C$55,2,FALSE)</f>
        <v>C00000042</v>
      </c>
      <c r="F3179" s="1" t="s">
        <v>2013</v>
      </c>
      <c r="G3179" s="102" t="s">
        <v>2722</v>
      </c>
      <c r="H3179" s="13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58"/>
        <v>45532</v>
      </c>
      <c r="L3179" s="5">
        <f t="shared" si="859"/>
        <v>8</v>
      </c>
      <c r="M3179" s="5">
        <f t="shared" si="860"/>
        <v>2024</v>
      </c>
      <c r="N3179" s="12">
        <v>250</v>
      </c>
      <c r="O3179" s="12"/>
      <c r="P3179" s="12">
        <f t="shared" si="861"/>
        <v>250</v>
      </c>
      <c r="Q3179" s="7">
        <f t="shared" si="855"/>
        <v>5183225.75</v>
      </c>
      <c r="R3179" s="44" t="str">
        <f>VLOOKUP(F3179,'Set up'!$A$2:$E$55,5,FALSE)</f>
        <v>Trsf</v>
      </c>
    </row>
    <row r="3180" spans="1:18" ht="15" customHeight="1" x14ac:dyDescent="0.3">
      <c r="A3180" s="4">
        <v>45532</v>
      </c>
      <c r="B3180" s="5">
        <f t="shared" si="856"/>
        <v>8</v>
      </c>
      <c r="C3180" s="5">
        <f t="shared" si="857"/>
        <v>2024</v>
      </c>
      <c r="D3180" s="5" t="s">
        <v>2892</v>
      </c>
      <c r="E3180" s="5" t="str">
        <f>VLOOKUP(F3180,'Set up'!$A$2:$C$55,2,FALSE)</f>
        <v>C00000042</v>
      </c>
      <c r="F3180" s="1" t="s">
        <v>2013</v>
      </c>
      <c r="G3180" s="124" t="s">
        <v>2625</v>
      </c>
      <c r="H3180" s="13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58"/>
        <v>45532</v>
      </c>
      <c r="L3180" s="5">
        <f t="shared" si="859"/>
        <v>8</v>
      </c>
      <c r="M3180" s="5">
        <f t="shared" si="860"/>
        <v>2024</v>
      </c>
      <c r="N3180" s="12">
        <v>6512</v>
      </c>
      <c r="O3180" s="12"/>
      <c r="P3180" s="12">
        <f t="shared" si="861"/>
        <v>6512</v>
      </c>
      <c r="Q3180" s="7">
        <f t="shared" si="855"/>
        <v>5189737.75</v>
      </c>
      <c r="R3180" s="44" t="str">
        <f>VLOOKUP(F3180,'Set up'!$A$2:$E$55,5,FALSE)</f>
        <v>Trsf</v>
      </c>
    </row>
    <row r="3181" spans="1:18" ht="15" customHeight="1" x14ac:dyDescent="0.3">
      <c r="A3181" s="4">
        <v>45532</v>
      </c>
      <c r="B3181" s="5">
        <f t="shared" si="856"/>
        <v>8</v>
      </c>
      <c r="C3181" s="5">
        <f t="shared" si="857"/>
        <v>2024</v>
      </c>
      <c r="D3181" s="5" t="s">
        <v>2892</v>
      </c>
      <c r="E3181" s="5" t="str">
        <f>VLOOKUP(F3181,'Set up'!$A$2:$C$55,2,FALSE)</f>
        <v>C00000042</v>
      </c>
      <c r="F3181" s="1" t="s">
        <v>2013</v>
      </c>
      <c r="G3181" s="90" t="s">
        <v>1544</v>
      </c>
      <c r="H3181" s="13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58"/>
        <v>45532</v>
      </c>
      <c r="L3181" s="5">
        <f t="shared" si="859"/>
        <v>8</v>
      </c>
      <c r="M3181" s="5">
        <f t="shared" si="860"/>
        <v>2024</v>
      </c>
      <c r="N3181" s="12">
        <v>2196</v>
      </c>
      <c r="O3181" s="12"/>
      <c r="P3181" s="12">
        <f t="shared" si="861"/>
        <v>2196</v>
      </c>
      <c r="Q3181" s="7">
        <f t="shared" si="855"/>
        <v>5191933.75</v>
      </c>
      <c r="R3181" s="44" t="str">
        <f>VLOOKUP(F3181,'Set up'!$A$2:$E$55,5,FALSE)</f>
        <v>Trsf</v>
      </c>
    </row>
    <row r="3182" spans="1:18" ht="15" customHeight="1" x14ac:dyDescent="0.3">
      <c r="A3182" s="4">
        <v>45532</v>
      </c>
      <c r="B3182" s="5">
        <f t="shared" si="856"/>
        <v>8</v>
      </c>
      <c r="C3182" s="5">
        <f t="shared" si="857"/>
        <v>2024</v>
      </c>
      <c r="D3182" s="5" t="s">
        <v>2892</v>
      </c>
      <c r="E3182" s="5" t="str">
        <f>VLOOKUP(F3182,'Set up'!$A$2:$C$55,2,FALSE)</f>
        <v>C00000042</v>
      </c>
      <c r="F3182" s="1" t="s">
        <v>2013</v>
      </c>
      <c r="G3182" s="90" t="s">
        <v>656</v>
      </c>
      <c r="H3182" s="13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58"/>
        <v>45532</v>
      </c>
      <c r="L3182" s="5">
        <f t="shared" si="859"/>
        <v>8</v>
      </c>
      <c r="M3182" s="5">
        <f t="shared" si="860"/>
        <v>2024</v>
      </c>
      <c r="N3182" s="12">
        <v>1200</v>
      </c>
      <c r="O3182" s="12"/>
      <c r="P3182" s="12">
        <f t="shared" si="861"/>
        <v>1200</v>
      </c>
      <c r="Q3182" s="7">
        <f t="shared" si="855"/>
        <v>5193133.75</v>
      </c>
      <c r="R3182" s="44" t="str">
        <f>VLOOKUP(F3182,'Set up'!$A$2:$E$55,5,FALSE)</f>
        <v>Trsf</v>
      </c>
    </row>
    <row r="3183" spans="1:18" ht="15" customHeight="1" x14ac:dyDescent="0.3">
      <c r="A3183" s="4">
        <v>45534</v>
      </c>
      <c r="B3183" s="5">
        <f t="shared" si="856"/>
        <v>8</v>
      </c>
      <c r="C3183" s="5">
        <f t="shared" si="857"/>
        <v>2024</v>
      </c>
      <c r="D3183" s="5" t="s">
        <v>2893</v>
      </c>
      <c r="E3183" s="5" t="str">
        <f>VLOOKUP(F3183,'Set up'!$A$2:$C$55,2,FALSE)</f>
        <v>C00000010</v>
      </c>
      <c r="F3183" s="1" t="s">
        <v>62</v>
      </c>
      <c r="G3183" s="134" t="s">
        <v>1655</v>
      </c>
      <c r="H3183" s="13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58"/>
        <v>45654</v>
      </c>
      <c r="L3183" s="5">
        <f t="shared" si="859"/>
        <v>12</v>
      </c>
      <c r="M3183" s="5">
        <f t="shared" si="860"/>
        <v>2024</v>
      </c>
      <c r="N3183" s="12">
        <v>1190</v>
      </c>
      <c r="O3183" s="12"/>
      <c r="P3183" s="12">
        <f t="shared" si="861"/>
        <v>1190</v>
      </c>
      <c r="Q3183" s="7">
        <f t="shared" si="855"/>
        <v>5194323.75</v>
      </c>
      <c r="R3183" s="44" t="str">
        <f>VLOOKUP(F3183,'Set up'!$A$2:$E$55,5,FALSE)</f>
        <v>Trsf</v>
      </c>
    </row>
    <row r="3184" spans="1:18" ht="15" customHeight="1" x14ac:dyDescent="0.3">
      <c r="A3184" s="4">
        <v>45534</v>
      </c>
      <c r="B3184" s="5">
        <f t="shared" si="856"/>
        <v>8</v>
      </c>
      <c r="C3184" s="5">
        <f t="shared" si="857"/>
        <v>2024</v>
      </c>
      <c r="D3184" s="5" t="s">
        <v>2893</v>
      </c>
      <c r="E3184" s="5" t="str">
        <f>VLOOKUP(F3184,'Set up'!$A$2:$C$55,2,FALSE)</f>
        <v>C00000010</v>
      </c>
      <c r="F3184" s="1" t="s">
        <v>62</v>
      </c>
      <c r="G3184" s="90" t="s">
        <v>2894</v>
      </c>
      <c r="H3184" s="13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58"/>
        <v>45654</v>
      </c>
      <c r="L3184" s="5">
        <f t="shared" si="859"/>
        <v>12</v>
      </c>
      <c r="M3184" s="5">
        <f t="shared" si="860"/>
        <v>2024</v>
      </c>
      <c r="N3184" s="12">
        <v>900</v>
      </c>
      <c r="O3184" s="12"/>
      <c r="P3184" s="12">
        <f t="shared" si="861"/>
        <v>900</v>
      </c>
      <c r="Q3184" s="7">
        <f t="shared" si="855"/>
        <v>5195223.75</v>
      </c>
      <c r="R3184" s="44" t="str">
        <f>VLOOKUP(F3184,'Set up'!$A$2:$E$55,5,FALSE)</f>
        <v>Trsf</v>
      </c>
    </row>
    <row r="3185" spans="1:18" s="10" customFormat="1" ht="15" customHeight="1" x14ac:dyDescent="0.3">
      <c r="A3185" s="125">
        <v>45534</v>
      </c>
      <c r="B3185" s="126">
        <f t="shared" si="856"/>
        <v>8</v>
      </c>
      <c r="C3185" s="126">
        <f t="shared" si="857"/>
        <v>2024</v>
      </c>
      <c r="D3185" s="126" t="s">
        <v>2893</v>
      </c>
      <c r="E3185" s="126" t="str">
        <f>VLOOKUP(F3185,'Set up'!$A$2:$C$55,2,FALSE)</f>
        <v>C00000010</v>
      </c>
      <c r="F3185" s="10" t="s">
        <v>62</v>
      </c>
      <c r="G3185" s="127" t="s">
        <v>2596</v>
      </c>
      <c r="H3185" s="144">
        <v>2</v>
      </c>
      <c r="I3185" s="126">
        <f>VLOOKUP(F3185,'Set up'!$A$2:$C$55,3,FALSE)</f>
        <v>120</v>
      </c>
      <c r="J3185" s="126">
        <f>VLOOKUP(F3185,'Set up'!$A$2:$D$55,4,FALSE)</f>
        <v>120</v>
      </c>
      <c r="K3185" s="125">
        <f t="shared" si="858"/>
        <v>45654</v>
      </c>
      <c r="L3185" s="126">
        <f t="shared" si="859"/>
        <v>12</v>
      </c>
      <c r="M3185" s="126">
        <f t="shared" si="860"/>
        <v>2024</v>
      </c>
      <c r="N3185" s="34">
        <v>360</v>
      </c>
      <c r="O3185" s="34"/>
      <c r="P3185" s="34">
        <f t="shared" si="861"/>
        <v>360</v>
      </c>
      <c r="Q3185" s="129">
        <f t="shared" si="855"/>
        <v>5195583.75</v>
      </c>
      <c r="R3185" s="128" t="str">
        <f>VLOOKUP(F3185,'Set up'!$A$2:$E$55,5,FALSE)</f>
        <v>Trsf</v>
      </c>
    </row>
    <row r="3186" spans="1:18" ht="15" customHeight="1" x14ac:dyDescent="0.3">
      <c r="A3186" s="4">
        <v>45537</v>
      </c>
      <c r="B3186" s="5">
        <f t="shared" si="856"/>
        <v>9</v>
      </c>
      <c r="C3186" s="5">
        <f t="shared" ref="C3186:C3187" si="862">YEAR(A3186)</f>
        <v>2024</v>
      </c>
      <c r="D3186" s="5" t="s">
        <v>2895</v>
      </c>
      <c r="E3186" s="5" t="str">
        <f>VLOOKUP(F3186,'Set up'!$A$2:$C$55,2,FALSE)</f>
        <v>C00000042</v>
      </c>
      <c r="F3186" s="1" t="s">
        <v>2013</v>
      </c>
      <c r="G3186" s="102" t="s">
        <v>2722</v>
      </c>
      <c r="H3186" s="135">
        <v>4</v>
      </c>
      <c r="I3186" s="5" t="str">
        <f>VLOOKUP(F3186,'Set up'!$A$2:$C$55,3,FALSE)</f>
        <v>Cash</v>
      </c>
      <c r="J3186" s="5">
        <f>VLOOKUP(F3186,'Set up'!$A$2:$D$55,4,FALSE)</f>
        <v>0</v>
      </c>
      <c r="K3186" s="4">
        <f t="shared" ref="K3186:K3187" si="863">A3186+J3186</f>
        <v>45537</v>
      </c>
      <c r="L3186" s="5">
        <f t="shared" ref="L3186:L3187" si="864">MONTH(K3186)</f>
        <v>9</v>
      </c>
      <c r="M3186" s="5">
        <f t="shared" ref="M3186:M3187" si="865">YEAR(K3186)</f>
        <v>2024</v>
      </c>
      <c r="N3186" s="12">
        <v>250</v>
      </c>
      <c r="O3186" s="12"/>
      <c r="P3186" s="12">
        <f t="shared" ref="P3186:P3187" si="866">SUM(N3186+O3186)</f>
        <v>250</v>
      </c>
      <c r="Q3186" s="7">
        <f t="shared" si="855"/>
        <v>5195833.75</v>
      </c>
      <c r="R3186" s="44" t="str">
        <f>VLOOKUP(F3186,'Set up'!$A$2:$E$55,5,FALSE)</f>
        <v>Trsf</v>
      </c>
    </row>
    <row r="3187" spans="1:18" ht="15" customHeight="1" x14ac:dyDescent="0.3">
      <c r="A3187" s="4">
        <v>45537</v>
      </c>
      <c r="B3187" s="5">
        <f t="shared" si="856"/>
        <v>9</v>
      </c>
      <c r="C3187" s="5">
        <f t="shared" si="862"/>
        <v>2024</v>
      </c>
      <c r="D3187" s="5" t="s">
        <v>2899</v>
      </c>
      <c r="E3187" s="5" t="str">
        <f>VLOOKUP(F3187,'Set up'!$A$2:$C$55,2,FALSE)</f>
        <v>C00000042</v>
      </c>
      <c r="F3187" s="1" t="s">
        <v>2013</v>
      </c>
      <c r="G3187" s="124" t="s">
        <v>2625</v>
      </c>
      <c r="H3187" s="135">
        <v>4</v>
      </c>
      <c r="I3187" s="5" t="str">
        <f>VLOOKUP(F3187,'Set up'!$A$2:$C$55,3,FALSE)</f>
        <v>Cash</v>
      </c>
      <c r="J3187" s="5">
        <f>VLOOKUP(F3187,'Set up'!$A$2:$D$55,4,FALSE)</f>
        <v>0</v>
      </c>
      <c r="K3187" s="4">
        <f t="shared" si="863"/>
        <v>45537</v>
      </c>
      <c r="L3187" s="5">
        <f t="shared" si="864"/>
        <v>9</v>
      </c>
      <c r="M3187" s="5">
        <f t="shared" si="865"/>
        <v>2024</v>
      </c>
      <c r="N3187" s="12">
        <v>6512</v>
      </c>
      <c r="O3187" s="12"/>
      <c r="P3187" s="12">
        <f t="shared" si="866"/>
        <v>6512</v>
      </c>
      <c r="Q3187" s="7">
        <f t="shared" si="855"/>
        <v>5202345.75</v>
      </c>
      <c r="R3187" s="44" t="str">
        <f>VLOOKUP(F3187,'Set up'!$A$2:$E$55,5,FALSE)</f>
        <v>Trsf</v>
      </c>
    </row>
    <row r="3188" spans="1:18" ht="15" customHeight="1" x14ac:dyDescent="0.3">
      <c r="A3188" s="4">
        <v>45537</v>
      </c>
      <c r="B3188" s="5">
        <f t="shared" ref="B3188:B3193" si="867">MONTH(A3188)</f>
        <v>9</v>
      </c>
      <c r="C3188" s="5">
        <f t="shared" ref="C3188:C3193" si="868">YEAR(A3188)</f>
        <v>2024</v>
      </c>
      <c r="D3188" s="5" t="s">
        <v>2899</v>
      </c>
      <c r="E3188" s="5" t="str">
        <f>VLOOKUP(F3188,'Set up'!$A$2:$C$55,2,FALSE)</f>
        <v>C00000042</v>
      </c>
      <c r="F3188" s="1" t="s">
        <v>2013</v>
      </c>
      <c r="G3188" s="90" t="s">
        <v>1544</v>
      </c>
      <c r="H3188" s="135">
        <v>12</v>
      </c>
      <c r="I3188" s="5" t="str">
        <f>VLOOKUP(F3188,'Set up'!$A$2:$C$55,3,FALSE)</f>
        <v>Cash</v>
      </c>
      <c r="J3188" s="5">
        <f>VLOOKUP(F3188,'Set up'!$A$2:$D$55,4,FALSE)</f>
        <v>0</v>
      </c>
      <c r="K3188" s="4">
        <f t="shared" ref="K3188:K3193" si="869">A3188+J3188</f>
        <v>45537</v>
      </c>
      <c r="L3188" s="5">
        <f t="shared" ref="L3188:L3193" si="870">MONTH(K3188)</f>
        <v>9</v>
      </c>
      <c r="M3188" s="5">
        <f t="shared" ref="M3188:M3193" si="871">YEAR(K3188)</f>
        <v>2024</v>
      </c>
      <c r="N3188" s="12">
        <v>2124</v>
      </c>
      <c r="O3188" s="12"/>
      <c r="P3188" s="12">
        <f t="shared" ref="P3188:P3193" si="872">SUM(N3188+O3188)</f>
        <v>2124</v>
      </c>
      <c r="Q3188" s="7">
        <f t="shared" ref="Q3188:Q3193" si="873">SUM(Q3187+N3188)</f>
        <v>5204469.75</v>
      </c>
      <c r="R3188" s="44" t="str">
        <f>VLOOKUP(F3188,'Set up'!$A$2:$E$55,5,FALSE)</f>
        <v>Trsf</v>
      </c>
    </row>
    <row r="3189" spans="1:18" ht="15" customHeight="1" x14ac:dyDescent="0.3">
      <c r="A3189" s="4">
        <v>45537</v>
      </c>
      <c r="B3189" s="5">
        <f t="shared" si="867"/>
        <v>9</v>
      </c>
      <c r="C3189" s="5">
        <f t="shared" si="868"/>
        <v>2024</v>
      </c>
      <c r="D3189" s="5" t="s">
        <v>2899</v>
      </c>
      <c r="E3189" s="5" t="str">
        <f>VLOOKUP(F3189,'Set up'!$A$2:$C$55,2,FALSE)</f>
        <v>C00000042</v>
      </c>
      <c r="F3189" s="1" t="s">
        <v>2013</v>
      </c>
      <c r="G3189" s="90" t="s">
        <v>1923</v>
      </c>
      <c r="H3189" s="135">
        <v>5</v>
      </c>
      <c r="I3189" s="5" t="str">
        <f>VLOOKUP(F3189,'Set up'!$A$2:$C$55,3,FALSE)</f>
        <v>Cash</v>
      </c>
      <c r="J3189" s="5">
        <f>VLOOKUP(F3189,'Set up'!$A$2:$D$55,4,FALSE)</f>
        <v>0</v>
      </c>
      <c r="K3189" s="4">
        <f t="shared" si="869"/>
        <v>45537</v>
      </c>
      <c r="L3189" s="5">
        <f t="shared" si="870"/>
        <v>9</v>
      </c>
      <c r="M3189" s="5">
        <f t="shared" si="871"/>
        <v>2024</v>
      </c>
      <c r="N3189" s="12">
        <v>1192.5</v>
      </c>
      <c r="O3189" s="12"/>
      <c r="P3189" s="12">
        <f t="shared" si="872"/>
        <v>1192.5</v>
      </c>
      <c r="Q3189" s="7">
        <f t="shared" si="873"/>
        <v>5205662.25</v>
      </c>
      <c r="R3189" s="44" t="str">
        <f>VLOOKUP(F3189,'Set up'!$A$2:$E$55,5,FALSE)</f>
        <v>Trsf</v>
      </c>
    </row>
    <row r="3190" spans="1:18" ht="15" customHeight="1" x14ac:dyDescent="0.3">
      <c r="A3190" s="4">
        <v>45537</v>
      </c>
      <c r="B3190" s="5">
        <f t="shared" si="867"/>
        <v>9</v>
      </c>
      <c r="C3190" s="5">
        <f t="shared" si="868"/>
        <v>2024</v>
      </c>
      <c r="D3190" s="5" t="s">
        <v>2899</v>
      </c>
      <c r="E3190" s="5" t="str">
        <f>VLOOKUP(F3190,'Set up'!$A$2:$C$55,2,FALSE)</f>
        <v>C00000042</v>
      </c>
      <c r="F3190" s="1" t="s">
        <v>2013</v>
      </c>
      <c r="G3190" s="90" t="s">
        <v>1074</v>
      </c>
      <c r="H3190" s="135">
        <v>1</v>
      </c>
      <c r="I3190" s="5" t="str">
        <f>VLOOKUP(F3190,'Set up'!$A$2:$C$55,3,FALSE)</f>
        <v>Cash</v>
      </c>
      <c r="J3190" s="5">
        <f>VLOOKUP(F3190,'Set up'!$A$2:$D$55,4,FALSE)</f>
        <v>0</v>
      </c>
      <c r="K3190" s="4">
        <f t="shared" si="869"/>
        <v>45537</v>
      </c>
      <c r="L3190" s="5">
        <f t="shared" si="870"/>
        <v>9</v>
      </c>
      <c r="M3190" s="5">
        <f t="shared" si="871"/>
        <v>2024</v>
      </c>
      <c r="N3190" s="12">
        <v>1000</v>
      </c>
      <c r="O3190" s="12"/>
      <c r="P3190" s="12">
        <f t="shared" si="872"/>
        <v>1000</v>
      </c>
      <c r="Q3190" s="7">
        <f t="shared" si="873"/>
        <v>5206662.25</v>
      </c>
      <c r="R3190" s="44" t="str">
        <f>VLOOKUP(F3190,'Set up'!$A$2:$E$55,5,FALSE)</f>
        <v>Trsf</v>
      </c>
    </row>
    <row r="3191" spans="1:18" ht="15" customHeight="1" x14ac:dyDescent="0.3">
      <c r="A3191" s="4">
        <v>45537</v>
      </c>
      <c r="B3191" s="5">
        <f t="shared" si="867"/>
        <v>9</v>
      </c>
      <c r="C3191" s="5">
        <f t="shared" si="868"/>
        <v>2024</v>
      </c>
      <c r="D3191" s="5" t="s">
        <v>2896</v>
      </c>
      <c r="E3191" s="5" t="str">
        <f>VLOOKUP(F3191,'Set up'!$A$2:$C$55,2,FALSE)</f>
        <v>C00000003</v>
      </c>
      <c r="F3191" s="1" t="s">
        <v>20</v>
      </c>
      <c r="G3191" s="132" t="s">
        <v>717</v>
      </c>
      <c r="H3191" s="135">
        <v>1</v>
      </c>
      <c r="I3191" s="5">
        <f>VLOOKUP(F3191,'Set up'!$A$2:$C$55,3,FALSE)</f>
        <v>45</v>
      </c>
      <c r="J3191" s="5">
        <f>VLOOKUP(F3191,'Set up'!$A$2:$D$55,4,FALSE)</f>
        <v>45</v>
      </c>
      <c r="K3191" s="4">
        <f t="shared" si="869"/>
        <v>45582</v>
      </c>
      <c r="L3191" s="5">
        <f t="shared" si="870"/>
        <v>10</v>
      </c>
      <c r="M3191" s="5">
        <f t="shared" si="871"/>
        <v>2024</v>
      </c>
      <c r="N3191" s="12">
        <v>1738</v>
      </c>
      <c r="O3191" s="12"/>
      <c r="P3191" s="12">
        <f t="shared" si="872"/>
        <v>1738</v>
      </c>
      <c r="Q3191" s="7">
        <f t="shared" si="873"/>
        <v>5208400.25</v>
      </c>
      <c r="R3191" s="44" t="str">
        <f>VLOOKUP(F3191,'Set up'!$A$2:$E$55,5,FALSE)</f>
        <v>PD Chq</v>
      </c>
    </row>
    <row r="3192" spans="1:18" ht="15" customHeight="1" x14ac:dyDescent="0.3">
      <c r="A3192" s="4">
        <v>45537</v>
      </c>
      <c r="B3192" s="5">
        <f t="shared" si="867"/>
        <v>9</v>
      </c>
      <c r="C3192" s="5">
        <f t="shared" si="868"/>
        <v>2024</v>
      </c>
      <c r="D3192" s="5" t="s">
        <v>2896</v>
      </c>
      <c r="E3192" s="5" t="str">
        <f>VLOOKUP(F3192,'Set up'!$A$2:$C$55,2,FALSE)</f>
        <v>C00000003</v>
      </c>
      <c r="F3192" s="1" t="s">
        <v>20</v>
      </c>
      <c r="G3192" s="98" t="s">
        <v>17</v>
      </c>
      <c r="H3192" s="135">
        <v>2</v>
      </c>
      <c r="I3192" s="5">
        <f>VLOOKUP(F3192,'Set up'!$A$2:$C$55,3,FALSE)</f>
        <v>45</v>
      </c>
      <c r="J3192" s="5">
        <f>VLOOKUP(F3192,'Set up'!$A$2:$D$55,4,FALSE)</f>
        <v>45</v>
      </c>
      <c r="K3192" s="4">
        <f t="shared" si="869"/>
        <v>45582</v>
      </c>
      <c r="L3192" s="5">
        <f t="shared" si="870"/>
        <v>10</v>
      </c>
      <c r="M3192" s="5">
        <f t="shared" si="871"/>
        <v>2024</v>
      </c>
      <c r="N3192" s="12">
        <v>220</v>
      </c>
      <c r="O3192" s="12"/>
      <c r="P3192" s="12">
        <f t="shared" si="872"/>
        <v>220</v>
      </c>
      <c r="Q3192" s="7">
        <f t="shared" si="873"/>
        <v>5208620.25</v>
      </c>
      <c r="R3192" s="44" t="str">
        <f>VLOOKUP(F3192,'Set up'!$A$2:$E$55,5,FALSE)</f>
        <v>PD Chq</v>
      </c>
    </row>
    <row r="3193" spans="1:18" ht="15" customHeight="1" x14ac:dyDescent="0.3">
      <c r="A3193" s="4">
        <v>45537</v>
      </c>
      <c r="B3193" s="5">
        <f t="shared" si="867"/>
        <v>9</v>
      </c>
      <c r="C3193" s="5">
        <f t="shared" si="868"/>
        <v>2024</v>
      </c>
      <c r="D3193" s="5" t="s">
        <v>2897</v>
      </c>
      <c r="E3193" s="5" t="str">
        <f>VLOOKUP(F3193,'Set up'!$A$2:$C$56,2,FALSE)</f>
        <v>C00000054</v>
      </c>
      <c r="F3193" s="1" t="s">
        <v>2901</v>
      </c>
      <c r="G3193" s="133" t="s">
        <v>1631</v>
      </c>
      <c r="H3193" s="135">
        <v>1</v>
      </c>
      <c r="I3193" s="5" t="str">
        <f>VLOOKUP(F3193,'Set up'!$A$2:$C$56,3,FALSE)</f>
        <v>Cash</v>
      </c>
      <c r="J3193" s="5">
        <f>VLOOKUP(F3193,'Set up'!$A$2:$D$56,4,FALSE)</f>
        <v>1</v>
      </c>
      <c r="K3193" s="4">
        <f t="shared" si="869"/>
        <v>45538</v>
      </c>
      <c r="L3193" s="5">
        <f t="shared" si="870"/>
        <v>9</v>
      </c>
      <c r="M3193" s="5">
        <f t="shared" si="871"/>
        <v>2024</v>
      </c>
      <c r="N3193" s="12">
        <v>300</v>
      </c>
      <c r="O3193" s="12"/>
      <c r="P3193" s="12">
        <f t="shared" si="872"/>
        <v>300</v>
      </c>
      <c r="Q3193" s="7">
        <f t="shared" si="873"/>
        <v>5208920.25</v>
      </c>
      <c r="R3193" s="44" t="str">
        <f>VLOOKUP(F3193,'Set up'!$A$2:$E$56,5,FALSE)</f>
        <v>Cash</v>
      </c>
    </row>
    <row r="3194" spans="1:18" ht="15" customHeight="1" x14ac:dyDescent="0.3">
      <c r="A3194" s="4">
        <v>45537</v>
      </c>
      <c r="B3194" s="5">
        <f t="shared" ref="B3194:B3229" si="874">MONTH(A3194)</f>
        <v>9</v>
      </c>
      <c r="C3194" s="5">
        <f t="shared" ref="C3194:C3229" si="875">YEAR(A3194)</f>
        <v>2024</v>
      </c>
      <c r="D3194" s="5" t="s">
        <v>2897</v>
      </c>
      <c r="E3194" s="5" t="str">
        <f>VLOOKUP(F3194,'Set up'!$A$2:$C$56,2,FALSE)</f>
        <v>C00000054</v>
      </c>
      <c r="F3194" s="1" t="s">
        <v>2901</v>
      </c>
      <c r="G3194" s="116" t="s">
        <v>2643</v>
      </c>
      <c r="H3194" s="135">
        <v>1</v>
      </c>
      <c r="I3194" s="5" t="str">
        <f>VLOOKUP(F3194,'Set up'!$A$2:$C$56,3,FALSE)</f>
        <v>Cash</v>
      </c>
      <c r="J3194" s="5">
        <f>VLOOKUP(F3194,'Set up'!$A$2:$D$56,4,FALSE)</f>
        <v>1</v>
      </c>
      <c r="K3194" s="4">
        <f t="shared" ref="K3194:K3229" si="876">A3194+J3194</f>
        <v>45538</v>
      </c>
      <c r="L3194" s="5">
        <f t="shared" ref="L3194:L3229" si="877">MONTH(K3194)</f>
        <v>9</v>
      </c>
      <c r="M3194" s="5">
        <f t="shared" ref="M3194:M3229" si="878">YEAR(K3194)</f>
        <v>2024</v>
      </c>
      <c r="N3194" s="12">
        <v>225</v>
      </c>
      <c r="O3194" s="12"/>
      <c r="P3194" s="12">
        <f t="shared" ref="P3194:P3229" si="879">SUM(N3194+O3194)</f>
        <v>225</v>
      </c>
      <c r="Q3194" s="7">
        <f t="shared" ref="Q3194:Q3229" si="880">SUM(Q3193+N3194)</f>
        <v>5209145.25</v>
      </c>
      <c r="R3194" s="44" t="str">
        <f>VLOOKUP(F3194,'Set up'!$A$2:$E$56,5,FALSE)</f>
        <v>Cash</v>
      </c>
    </row>
    <row r="3195" spans="1:18" ht="15" customHeight="1" x14ac:dyDescent="0.3">
      <c r="A3195" s="4">
        <v>45538</v>
      </c>
      <c r="B3195" s="5">
        <f t="shared" si="874"/>
        <v>9</v>
      </c>
      <c r="C3195" s="5">
        <f t="shared" si="875"/>
        <v>2024</v>
      </c>
      <c r="D3195" s="5" t="s">
        <v>2898</v>
      </c>
      <c r="E3195" s="5" t="str">
        <f>VLOOKUP(F3195,'Set up'!$A$2:$C$56,2,FALSE)</f>
        <v>C00000050</v>
      </c>
      <c r="F3195" s="1" t="s">
        <v>2732</v>
      </c>
      <c r="G3195" s="132" t="s">
        <v>2628</v>
      </c>
      <c r="H3195" s="13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76"/>
        <v>45538</v>
      </c>
      <c r="L3195" s="5">
        <f t="shared" si="877"/>
        <v>9</v>
      </c>
      <c r="M3195" s="5">
        <f t="shared" si="878"/>
        <v>2024</v>
      </c>
      <c r="N3195" s="12">
        <v>1760</v>
      </c>
      <c r="O3195" s="12"/>
      <c r="P3195" s="12">
        <f t="shared" si="879"/>
        <v>1760</v>
      </c>
      <c r="Q3195" s="7">
        <f t="shared" si="880"/>
        <v>5210905.25</v>
      </c>
      <c r="R3195" s="44" t="str">
        <f>VLOOKUP(F3195,'Set up'!$A$2:$E$56,5,FALSE)</f>
        <v>Cash</v>
      </c>
    </row>
    <row r="3196" spans="1:18" ht="15" customHeight="1" x14ac:dyDescent="0.3">
      <c r="A3196" s="4">
        <v>45538</v>
      </c>
      <c r="B3196" s="5">
        <f t="shared" si="874"/>
        <v>9</v>
      </c>
      <c r="C3196" s="5">
        <f t="shared" si="875"/>
        <v>2024</v>
      </c>
      <c r="D3196" s="5" t="s">
        <v>2898</v>
      </c>
      <c r="E3196" s="5" t="str">
        <f>VLOOKUP(F3196,'Set up'!$A$2:$C$56,2,FALSE)</f>
        <v>C00000050</v>
      </c>
      <c r="F3196" s="1" t="s">
        <v>2732</v>
      </c>
      <c r="G3196" s="98" t="s">
        <v>2199</v>
      </c>
      <c r="H3196" s="13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76"/>
        <v>45538</v>
      </c>
      <c r="L3196" s="5">
        <f t="shared" si="877"/>
        <v>9</v>
      </c>
      <c r="M3196" s="5">
        <f t="shared" si="878"/>
        <v>2024</v>
      </c>
      <c r="N3196" s="12">
        <v>555</v>
      </c>
      <c r="O3196" s="12"/>
      <c r="P3196" s="12">
        <f t="shared" si="879"/>
        <v>555</v>
      </c>
      <c r="Q3196" s="7">
        <f t="shared" si="880"/>
        <v>5211460.25</v>
      </c>
      <c r="R3196" s="44" t="str">
        <f>VLOOKUP(F3196,'Set up'!$A$2:$E$56,5,FALSE)</f>
        <v>Cash</v>
      </c>
    </row>
    <row r="3197" spans="1:18" ht="15" customHeight="1" x14ac:dyDescent="0.3">
      <c r="A3197" s="4">
        <v>45538</v>
      </c>
      <c r="B3197" s="5">
        <f t="shared" si="874"/>
        <v>9</v>
      </c>
      <c r="C3197" s="5">
        <f t="shared" si="875"/>
        <v>2024</v>
      </c>
      <c r="D3197" s="5" t="s">
        <v>2898</v>
      </c>
      <c r="E3197" s="5" t="str">
        <f>VLOOKUP(F3197,'Set up'!$A$2:$C$56,2,FALSE)</f>
        <v>C00000050</v>
      </c>
      <c r="F3197" s="1" t="s">
        <v>2732</v>
      </c>
      <c r="G3197" s="98" t="s">
        <v>1062</v>
      </c>
      <c r="H3197" s="13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76"/>
        <v>45538</v>
      </c>
      <c r="L3197" s="5">
        <f t="shared" si="877"/>
        <v>9</v>
      </c>
      <c r="M3197" s="5">
        <f t="shared" si="878"/>
        <v>2024</v>
      </c>
      <c r="N3197" s="12">
        <v>95</v>
      </c>
      <c r="O3197" s="12"/>
      <c r="P3197" s="12">
        <f t="shared" si="879"/>
        <v>95</v>
      </c>
      <c r="Q3197" s="7">
        <f t="shared" si="880"/>
        <v>5211555.25</v>
      </c>
      <c r="R3197" s="44" t="str">
        <f>VLOOKUP(F3197,'Set up'!$A$2:$E$56,5,FALSE)</f>
        <v>Cash</v>
      </c>
    </row>
    <row r="3198" spans="1:18" ht="15" customHeight="1" x14ac:dyDescent="0.3">
      <c r="A3198" s="4">
        <v>45541</v>
      </c>
      <c r="B3198" s="5">
        <f t="shared" si="874"/>
        <v>9</v>
      </c>
      <c r="C3198" s="5">
        <f t="shared" si="875"/>
        <v>2024</v>
      </c>
      <c r="D3198" s="5" t="s">
        <v>2902</v>
      </c>
      <c r="E3198" s="5" t="str">
        <f>VLOOKUP(F3198,'Set up'!$A$2:$C$56,2,FALSE)</f>
        <v>C00000042</v>
      </c>
      <c r="F3198" s="1" t="s">
        <v>2013</v>
      </c>
      <c r="G3198" s="102" t="s">
        <v>2722</v>
      </c>
      <c r="H3198" s="13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76"/>
        <v>45541</v>
      </c>
      <c r="L3198" s="5">
        <f t="shared" si="877"/>
        <v>9</v>
      </c>
      <c r="M3198" s="5">
        <f t="shared" si="878"/>
        <v>2024</v>
      </c>
      <c r="N3198" s="12">
        <v>625</v>
      </c>
      <c r="O3198" s="12"/>
      <c r="P3198" s="12">
        <f t="shared" si="879"/>
        <v>625</v>
      </c>
      <c r="Q3198" s="7">
        <f t="shared" si="880"/>
        <v>5212180.25</v>
      </c>
      <c r="R3198" s="44" t="str">
        <f>VLOOKUP(F3198,'Set up'!$A$2:$E$56,5,FALSE)</f>
        <v>Trsf</v>
      </c>
    </row>
    <row r="3199" spans="1:18" ht="15" customHeight="1" x14ac:dyDescent="0.3">
      <c r="A3199" s="4">
        <v>45541</v>
      </c>
      <c r="B3199" s="5">
        <f t="shared" si="874"/>
        <v>9</v>
      </c>
      <c r="C3199" s="5">
        <f t="shared" si="875"/>
        <v>2024</v>
      </c>
      <c r="D3199" s="5" t="s">
        <v>2903</v>
      </c>
      <c r="E3199" s="5" t="str">
        <f>VLOOKUP(F3199,'Set up'!$A$2:$C$56,2,FALSE)</f>
        <v>C00000042</v>
      </c>
      <c r="F3199" s="1" t="s">
        <v>2013</v>
      </c>
      <c r="G3199" s="124" t="s">
        <v>2625</v>
      </c>
      <c r="H3199" s="13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76"/>
        <v>45541</v>
      </c>
      <c r="L3199" s="5">
        <f t="shared" si="877"/>
        <v>9</v>
      </c>
      <c r="M3199" s="5">
        <f t="shared" si="878"/>
        <v>2024</v>
      </c>
      <c r="N3199" s="12">
        <v>16280</v>
      </c>
      <c r="O3199" s="12"/>
      <c r="P3199" s="12">
        <f t="shared" si="879"/>
        <v>16280</v>
      </c>
      <c r="Q3199" s="7">
        <f t="shared" si="880"/>
        <v>5228460.25</v>
      </c>
      <c r="R3199" s="44" t="str">
        <f>VLOOKUP(F3199,'Set up'!$A$2:$E$56,5,FALSE)</f>
        <v>Trsf</v>
      </c>
    </row>
    <row r="3200" spans="1:18" ht="15" customHeight="1" x14ac:dyDescent="0.3">
      <c r="A3200" s="4">
        <v>45541</v>
      </c>
      <c r="B3200" s="5">
        <f t="shared" si="874"/>
        <v>9</v>
      </c>
      <c r="C3200" s="5">
        <f t="shared" si="875"/>
        <v>2024</v>
      </c>
      <c r="D3200" s="5" t="s">
        <v>2903</v>
      </c>
      <c r="E3200" s="5" t="str">
        <f>VLOOKUP(F3200,'Set up'!$A$2:$C$56,2,FALSE)</f>
        <v>C00000042</v>
      </c>
      <c r="F3200" s="1" t="s">
        <v>2013</v>
      </c>
      <c r="G3200" s="90" t="s">
        <v>1544</v>
      </c>
      <c r="H3200" s="13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76"/>
        <v>45541</v>
      </c>
      <c r="L3200" s="5">
        <f t="shared" si="877"/>
        <v>9</v>
      </c>
      <c r="M3200" s="5">
        <f t="shared" si="878"/>
        <v>2024</v>
      </c>
      <c r="N3200" s="12">
        <v>6372</v>
      </c>
      <c r="O3200" s="12"/>
      <c r="P3200" s="12">
        <f t="shared" si="879"/>
        <v>6372</v>
      </c>
      <c r="Q3200" s="7">
        <f t="shared" si="880"/>
        <v>5234832.25</v>
      </c>
      <c r="R3200" s="44" t="str">
        <f>VLOOKUP(F3200,'Set up'!$A$2:$E$56,5,FALSE)</f>
        <v>Trsf</v>
      </c>
    </row>
    <row r="3201" spans="1:18" ht="15" customHeight="1" x14ac:dyDescent="0.3">
      <c r="A3201" s="4">
        <v>45541</v>
      </c>
      <c r="B3201" s="5">
        <f t="shared" si="874"/>
        <v>9</v>
      </c>
      <c r="C3201" s="5">
        <f t="shared" si="875"/>
        <v>2024</v>
      </c>
      <c r="D3201" s="5" t="s">
        <v>2903</v>
      </c>
      <c r="E3201" s="5" t="str">
        <f>VLOOKUP(F3201,'Set up'!$A$2:$C$56,2,FALSE)</f>
        <v>C00000042</v>
      </c>
      <c r="F3201" s="1" t="s">
        <v>2013</v>
      </c>
      <c r="G3201" s="90" t="s">
        <v>1923</v>
      </c>
      <c r="H3201" s="13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76"/>
        <v>45541</v>
      </c>
      <c r="L3201" s="5">
        <f t="shared" si="877"/>
        <v>9</v>
      </c>
      <c r="M3201" s="5">
        <f t="shared" si="878"/>
        <v>2024</v>
      </c>
      <c r="N3201" s="12">
        <v>4054.5</v>
      </c>
      <c r="O3201" s="12"/>
      <c r="P3201" s="12">
        <f t="shared" si="879"/>
        <v>4054.5</v>
      </c>
      <c r="Q3201" s="7">
        <f t="shared" si="880"/>
        <v>5238886.75</v>
      </c>
      <c r="R3201" s="44" t="str">
        <f>VLOOKUP(F3201,'Set up'!$A$2:$E$56,5,FALSE)</f>
        <v>Trsf</v>
      </c>
    </row>
    <row r="3202" spans="1:18" ht="15" customHeight="1" x14ac:dyDescent="0.3">
      <c r="A3202" s="4">
        <v>45541</v>
      </c>
      <c r="B3202" s="5">
        <f t="shared" si="874"/>
        <v>9</v>
      </c>
      <c r="C3202" s="5">
        <f t="shared" si="875"/>
        <v>2024</v>
      </c>
      <c r="D3202" s="5" t="s">
        <v>2903</v>
      </c>
      <c r="E3202" s="5" t="str">
        <f>VLOOKUP(F3202,'Set up'!$A$2:$C$56,2,FALSE)</f>
        <v>C00000042</v>
      </c>
      <c r="F3202" s="1" t="s">
        <v>2013</v>
      </c>
      <c r="G3202" s="90" t="s">
        <v>1074</v>
      </c>
      <c r="H3202" s="13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76"/>
        <v>45541</v>
      </c>
      <c r="L3202" s="5">
        <f t="shared" si="877"/>
        <v>9</v>
      </c>
      <c r="M3202" s="5">
        <f t="shared" si="878"/>
        <v>2024</v>
      </c>
      <c r="N3202" s="12">
        <v>1000</v>
      </c>
      <c r="O3202" s="12"/>
      <c r="P3202" s="12">
        <f t="shared" si="879"/>
        <v>1000</v>
      </c>
      <c r="Q3202" s="7">
        <f t="shared" si="880"/>
        <v>5239886.75</v>
      </c>
      <c r="R3202" s="44" t="str">
        <f>VLOOKUP(F3202,'Set up'!$A$2:$E$56,5,FALSE)</f>
        <v>Trsf</v>
      </c>
    </row>
    <row r="3203" spans="1:18" ht="15" customHeight="1" x14ac:dyDescent="0.3">
      <c r="A3203" s="4">
        <v>45541</v>
      </c>
      <c r="B3203" s="5">
        <f t="shared" si="874"/>
        <v>9</v>
      </c>
      <c r="C3203" s="5">
        <f t="shared" si="875"/>
        <v>2024</v>
      </c>
      <c r="D3203" s="5" t="s">
        <v>2903</v>
      </c>
      <c r="E3203" s="5" t="str">
        <f>VLOOKUP(F3203,'Set up'!$A$2:$C$56,2,FALSE)</f>
        <v>C00000042</v>
      </c>
      <c r="F3203" s="1" t="s">
        <v>2013</v>
      </c>
      <c r="G3203" s="90" t="s">
        <v>1062</v>
      </c>
      <c r="H3203" s="13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si="876"/>
        <v>45541</v>
      </c>
      <c r="L3203" s="5">
        <f t="shared" si="877"/>
        <v>9</v>
      </c>
      <c r="M3203" s="5">
        <f t="shared" si="878"/>
        <v>2024</v>
      </c>
      <c r="N3203" s="12">
        <v>380</v>
      </c>
      <c r="O3203" s="12"/>
      <c r="P3203" s="12">
        <f t="shared" si="879"/>
        <v>380</v>
      </c>
      <c r="Q3203" s="7">
        <f t="shared" si="880"/>
        <v>5240266.75</v>
      </c>
      <c r="R3203" s="44" t="str">
        <f>VLOOKUP(F3203,'Set up'!$A$2:$E$56,5,FALSE)</f>
        <v>Trsf</v>
      </c>
    </row>
    <row r="3204" spans="1:18" ht="15" customHeight="1" x14ac:dyDescent="0.3">
      <c r="A3204" s="4">
        <v>45542</v>
      </c>
      <c r="B3204" s="5">
        <f t="shared" si="874"/>
        <v>9</v>
      </c>
      <c r="C3204" s="5">
        <f t="shared" si="875"/>
        <v>2024</v>
      </c>
      <c r="D3204" s="5" t="s">
        <v>2904</v>
      </c>
      <c r="E3204" s="5" t="str">
        <f>VLOOKUP(F3204,'Set up'!$A$2:$C$56,2,FALSE)</f>
        <v>C00000044</v>
      </c>
      <c r="F3204" s="1" t="s">
        <v>2959</v>
      </c>
      <c r="G3204" s="133" t="s">
        <v>1179</v>
      </c>
      <c r="H3204" s="13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876"/>
        <v>45542</v>
      </c>
      <c r="L3204" s="5">
        <f t="shared" si="877"/>
        <v>9</v>
      </c>
      <c r="M3204" s="5">
        <f t="shared" si="878"/>
        <v>2024</v>
      </c>
      <c r="N3204" s="12">
        <v>1672</v>
      </c>
      <c r="O3204" s="12"/>
      <c r="P3204" s="12">
        <f t="shared" si="879"/>
        <v>1672</v>
      </c>
      <c r="Q3204" s="7">
        <f t="shared" si="880"/>
        <v>5241938.75</v>
      </c>
      <c r="R3204" s="44" t="str">
        <f>VLOOKUP(F3204,'Set up'!$A$2:$E$56,5,FALSE)</f>
        <v>Cash</v>
      </c>
    </row>
    <row r="3205" spans="1:18" ht="15" customHeight="1" x14ac:dyDescent="0.3">
      <c r="A3205" s="4">
        <v>45542</v>
      </c>
      <c r="B3205" s="5">
        <f t="shared" si="874"/>
        <v>9</v>
      </c>
      <c r="C3205" s="5">
        <f t="shared" si="875"/>
        <v>2024</v>
      </c>
      <c r="D3205" s="5" t="s">
        <v>2904</v>
      </c>
      <c r="E3205" s="5" t="str">
        <f>VLOOKUP(F3205,'Set up'!$A$2:$C$56,2,FALSE)</f>
        <v>C00000044</v>
      </c>
      <c r="F3205" s="1" t="s">
        <v>2959</v>
      </c>
      <c r="G3205" s="116" t="s">
        <v>2643</v>
      </c>
      <c r="H3205" s="13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876"/>
        <v>45542</v>
      </c>
      <c r="L3205" s="5">
        <f t="shared" si="877"/>
        <v>9</v>
      </c>
      <c r="M3205" s="5">
        <f t="shared" si="878"/>
        <v>2024</v>
      </c>
      <c r="N3205" s="12">
        <v>420</v>
      </c>
      <c r="O3205" s="12"/>
      <c r="P3205" s="12">
        <f t="shared" si="879"/>
        <v>420</v>
      </c>
      <c r="Q3205" s="7">
        <f t="shared" si="880"/>
        <v>5242358.75</v>
      </c>
      <c r="R3205" s="44" t="str">
        <f>VLOOKUP(F3205,'Set up'!$A$2:$E$56,5,FALSE)</f>
        <v>Cash</v>
      </c>
    </row>
    <row r="3206" spans="1:18" ht="15" customHeight="1" x14ac:dyDescent="0.3">
      <c r="A3206" s="4">
        <v>45542</v>
      </c>
      <c r="B3206" s="5">
        <f t="shared" si="874"/>
        <v>9</v>
      </c>
      <c r="C3206" s="5">
        <f t="shared" si="875"/>
        <v>2024</v>
      </c>
      <c r="D3206" s="5" t="s">
        <v>2904</v>
      </c>
      <c r="E3206" s="5" t="str">
        <f>VLOOKUP(F3206,'Set up'!$A$2:$C$56,2,FALSE)</f>
        <v>C00000044</v>
      </c>
      <c r="F3206" s="1" t="s">
        <v>2959</v>
      </c>
      <c r="G3206" s="116" t="s">
        <v>46</v>
      </c>
      <c r="H3206" s="13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876"/>
        <v>45542</v>
      </c>
      <c r="L3206" s="5">
        <f t="shared" si="877"/>
        <v>9</v>
      </c>
      <c r="M3206" s="5">
        <f t="shared" si="878"/>
        <v>2024</v>
      </c>
      <c r="N3206" s="12">
        <v>110</v>
      </c>
      <c r="O3206" s="12"/>
      <c r="P3206" s="12">
        <f t="shared" si="879"/>
        <v>110</v>
      </c>
      <c r="Q3206" s="7">
        <f t="shared" si="880"/>
        <v>5242468.75</v>
      </c>
      <c r="R3206" s="44" t="str">
        <f>VLOOKUP(F3206,'Set up'!$A$2:$E$56,5,FALSE)</f>
        <v>Cash</v>
      </c>
    </row>
    <row r="3207" spans="1:18" ht="15" customHeight="1" x14ac:dyDescent="0.3">
      <c r="A3207" s="4">
        <v>45542</v>
      </c>
      <c r="B3207" s="5">
        <f t="shared" si="874"/>
        <v>9</v>
      </c>
      <c r="C3207" s="5">
        <f t="shared" si="875"/>
        <v>2024</v>
      </c>
      <c r="D3207" s="5" t="s">
        <v>2904</v>
      </c>
      <c r="E3207" s="5" t="str">
        <f>VLOOKUP(F3207,'Set up'!$A$2:$C$56,2,FALSE)</f>
        <v>C00000044</v>
      </c>
      <c r="F3207" s="1" t="s">
        <v>2959</v>
      </c>
      <c r="G3207" s="116" t="s">
        <v>2722</v>
      </c>
      <c r="H3207" s="13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876"/>
        <v>45542</v>
      </c>
      <c r="L3207" s="5">
        <f t="shared" si="877"/>
        <v>9</v>
      </c>
      <c r="M3207" s="5">
        <f t="shared" si="878"/>
        <v>2024</v>
      </c>
      <c r="N3207" s="12">
        <v>62.5</v>
      </c>
      <c r="O3207" s="12"/>
      <c r="P3207" s="12">
        <f t="shared" si="879"/>
        <v>62.5</v>
      </c>
      <c r="Q3207" s="7">
        <f t="shared" si="880"/>
        <v>5242531.25</v>
      </c>
      <c r="R3207" s="44" t="str">
        <f>VLOOKUP(F3207,'Set up'!$A$2:$E$56,5,FALSE)</f>
        <v>Cash</v>
      </c>
    </row>
    <row r="3208" spans="1:18" ht="15" customHeight="1" x14ac:dyDescent="0.3">
      <c r="A3208" s="4">
        <v>45543</v>
      </c>
      <c r="B3208" s="5">
        <f t="shared" si="874"/>
        <v>9</v>
      </c>
      <c r="C3208" s="5">
        <f t="shared" si="875"/>
        <v>2024</v>
      </c>
      <c r="D3208" s="5" t="s">
        <v>2905</v>
      </c>
      <c r="E3208" s="5" t="str">
        <f>VLOOKUP(F3208,'Set up'!$A$2:$C$56,2,FALSE)</f>
        <v>C00000019</v>
      </c>
      <c r="F3208" s="1" t="s">
        <v>401</v>
      </c>
      <c r="G3208" s="90" t="s">
        <v>1412</v>
      </c>
      <c r="H3208" s="13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876"/>
        <v>45543</v>
      </c>
      <c r="L3208" s="5">
        <f t="shared" si="877"/>
        <v>9</v>
      </c>
      <c r="M3208" s="5">
        <f t="shared" si="878"/>
        <v>2024</v>
      </c>
      <c r="N3208" s="12">
        <v>405</v>
      </c>
      <c r="O3208" s="12"/>
      <c r="P3208" s="12">
        <f t="shared" si="879"/>
        <v>405</v>
      </c>
      <c r="Q3208" s="7">
        <f t="shared" si="880"/>
        <v>5242936.25</v>
      </c>
      <c r="R3208" s="44" t="str">
        <f>VLOOKUP(F3208,'Set up'!$A$2:$E$56,5,FALSE)</f>
        <v>Trsf</v>
      </c>
    </row>
    <row r="3209" spans="1:18" ht="15" customHeight="1" x14ac:dyDescent="0.3">
      <c r="A3209" s="4">
        <v>45543</v>
      </c>
      <c r="B3209" s="5">
        <f t="shared" si="874"/>
        <v>9</v>
      </c>
      <c r="C3209" s="5">
        <f t="shared" si="875"/>
        <v>2024</v>
      </c>
      <c r="D3209" s="5" t="s">
        <v>2905</v>
      </c>
      <c r="E3209" s="5" t="str">
        <f>VLOOKUP(F3209,'Set up'!$A$2:$C$56,2,FALSE)</f>
        <v>C00000019</v>
      </c>
      <c r="F3209" s="1" t="s">
        <v>401</v>
      </c>
      <c r="G3209" s="90" t="s">
        <v>46</v>
      </c>
      <c r="H3209" s="13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876"/>
        <v>45543</v>
      </c>
      <c r="L3209" s="5">
        <f t="shared" si="877"/>
        <v>9</v>
      </c>
      <c r="M3209" s="5">
        <f t="shared" si="878"/>
        <v>2024</v>
      </c>
      <c r="N3209" s="12">
        <v>110</v>
      </c>
      <c r="O3209" s="12"/>
      <c r="P3209" s="12">
        <f t="shared" si="879"/>
        <v>110</v>
      </c>
      <c r="Q3209" s="7">
        <f t="shared" si="880"/>
        <v>5243046.25</v>
      </c>
      <c r="R3209" s="44" t="str">
        <f>VLOOKUP(F3209,'Set up'!$A$2:$E$56,5,FALSE)</f>
        <v>Trsf</v>
      </c>
    </row>
    <row r="3210" spans="1:18" ht="15" customHeight="1" x14ac:dyDescent="0.3">
      <c r="A3210" s="4">
        <v>45545</v>
      </c>
      <c r="B3210" s="5">
        <f t="shared" si="874"/>
        <v>9</v>
      </c>
      <c r="C3210" s="5">
        <f t="shared" si="875"/>
        <v>2024</v>
      </c>
      <c r="D3210" s="5" t="s">
        <v>2906</v>
      </c>
      <c r="E3210" s="5" t="str">
        <f>VLOOKUP(F3210,'Set up'!$A$2:$C$56,2,FALSE)</f>
        <v>C00000010</v>
      </c>
      <c r="F3210" s="1" t="s">
        <v>62</v>
      </c>
      <c r="G3210" s="134" t="s">
        <v>1179</v>
      </c>
      <c r="H3210" s="13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876"/>
        <v>45665</v>
      </c>
      <c r="L3210" s="5">
        <f t="shared" si="877"/>
        <v>1</v>
      </c>
      <c r="M3210" s="5">
        <f t="shared" si="878"/>
        <v>2025</v>
      </c>
      <c r="N3210" s="12">
        <v>16060</v>
      </c>
      <c r="O3210" s="12"/>
      <c r="P3210" s="12">
        <f t="shared" si="879"/>
        <v>16060</v>
      </c>
      <c r="Q3210" s="7">
        <f t="shared" si="880"/>
        <v>5259106.25</v>
      </c>
      <c r="R3210" s="44" t="str">
        <f>VLOOKUP(F3210,'Set up'!$A$2:$E$56,5,FALSE)</f>
        <v>Trsf</v>
      </c>
    </row>
    <row r="3211" spans="1:18" ht="15" customHeight="1" x14ac:dyDescent="0.3">
      <c r="A3211" s="4">
        <v>45545</v>
      </c>
      <c r="B3211" s="5">
        <f t="shared" si="874"/>
        <v>9</v>
      </c>
      <c r="C3211" s="5">
        <f t="shared" si="875"/>
        <v>2024</v>
      </c>
      <c r="D3211" s="5" t="s">
        <v>2906</v>
      </c>
      <c r="E3211" s="5" t="str">
        <f>VLOOKUP(F3211,'Set up'!$A$2:$C$56,2,FALSE)</f>
        <v>C00000010</v>
      </c>
      <c r="F3211" s="1" t="s">
        <v>62</v>
      </c>
      <c r="G3211" s="90" t="s">
        <v>1544</v>
      </c>
      <c r="H3211" s="13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876"/>
        <v>45665</v>
      </c>
      <c r="L3211" s="5">
        <f t="shared" si="877"/>
        <v>1</v>
      </c>
      <c r="M3211" s="5">
        <f t="shared" si="878"/>
        <v>2025</v>
      </c>
      <c r="N3211" s="12">
        <v>1740</v>
      </c>
      <c r="O3211" s="12"/>
      <c r="P3211" s="12">
        <f t="shared" si="879"/>
        <v>1740</v>
      </c>
      <c r="Q3211" s="7">
        <f t="shared" si="880"/>
        <v>5260846.25</v>
      </c>
      <c r="R3211" s="44" t="str">
        <f>VLOOKUP(F3211,'Set up'!$A$2:$E$56,5,FALSE)</f>
        <v>Trsf</v>
      </c>
    </row>
    <row r="3212" spans="1:18" ht="15" customHeight="1" x14ac:dyDescent="0.3">
      <c r="A3212" s="4">
        <v>45545</v>
      </c>
      <c r="B3212" s="5">
        <f t="shared" si="874"/>
        <v>9</v>
      </c>
      <c r="C3212" s="5">
        <f t="shared" si="875"/>
        <v>2024</v>
      </c>
      <c r="D3212" s="5" t="s">
        <v>2906</v>
      </c>
      <c r="E3212" s="5" t="str">
        <f>VLOOKUP(F3212,'Set up'!$A$2:$C$56,2,FALSE)</f>
        <v>C00000010</v>
      </c>
      <c r="F3212" s="1" t="s">
        <v>62</v>
      </c>
      <c r="G3212" s="90" t="s">
        <v>2711</v>
      </c>
      <c r="H3212" s="13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876"/>
        <v>45665</v>
      </c>
      <c r="L3212" s="5">
        <f t="shared" si="877"/>
        <v>1</v>
      </c>
      <c r="M3212" s="5">
        <f t="shared" si="878"/>
        <v>2025</v>
      </c>
      <c r="N3212" s="12">
        <v>575</v>
      </c>
      <c r="O3212" s="12"/>
      <c r="P3212" s="12">
        <f t="shared" si="879"/>
        <v>575</v>
      </c>
      <c r="Q3212" s="7">
        <f t="shared" si="880"/>
        <v>5261421.25</v>
      </c>
      <c r="R3212" s="44" t="str">
        <f>VLOOKUP(F3212,'Set up'!$A$2:$E$56,5,FALSE)</f>
        <v>Trsf</v>
      </c>
    </row>
    <row r="3213" spans="1:18" ht="15" customHeight="1" x14ac:dyDescent="0.3">
      <c r="A3213" s="4">
        <v>45545</v>
      </c>
      <c r="B3213" s="5">
        <f t="shared" si="874"/>
        <v>9</v>
      </c>
      <c r="C3213" s="5">
        <f t="shared" si="875"/>
        <v>2024</v>
      </c>
      <c r="D3213" s="5" t="s">
        <v>2906</v>
      </c>
      <c r="E3213" s="5" t="str">
        <f>VLOOKUP(F3213,'Set up'!$A$2:$C$56,2,FALSE)</f>
        <v>C00000010</v>
      </c>
      <c r="F3213" s="1" t="s">
        <v>62</v>
      </c>
      <c r="G3213" s="11" t="s">
        <v>46</v>
      </c>
      <c r="H3213" s="13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876"/>
        <v>45665</v>
      </c>
      <c r="L3213" s="5">
        <f t="shared" si="877"/>
        <v>1</v>
      </c>
      <c r="M3213" s="5">
        <f t="shared" si="878"/>
        <v>2025</v>
      </c>
      <c r="N3213" s="12">
        <v>440</v>
      </c>
      <c r="O3213" s="12"/>
      <c r="P3213" s="12">
        <f t="shared" si="879"/>
        <v>440</v>
      </c>
      <c r="Q3213" s="7">
        <f t="shared" si="880"/>
        <v>5261861.25</v>
      </c>
      <c r="R3213" s="44" t="str">
        <f>VLOOKUP(F3213,'Set up'!$A$2:$E$56,5,FALSE)</f>
        <v>Trsf</v>
      </c>
    </row>
    <row r="3214" spans="1:18" ht="15" customHeight="1" x14ac:dyDescent="0.3">
      <c r="A3214" s="4">
        <v>45545</v>
      </c>
      <c r="B3214" s="5">
        <f t="shared" si="874"/>
        <v>9</v>
      </c>
      <c r="C3214" s="5">
        <f t="shared" si="875"/>
        <v>2024</v>
      </c>
      <c r="D3214" s="5" t="s">
        <v>2906</v>
      </c>
      <c r="E3214" s="5" t="str">
        <f>VLOOKUP(F3214,'Set up'!$A$2:$C$56,2,FALSE)</f>
        <v>C00000010</v>
      </c>
      <c r="F3214" s="1" t="s">
        <v>62</v>
      </c>
      <c r="G3214" s="134" t="s">
        <v>947</v>
      </c>
      <c r="H3214" s="13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876"/>
        <v>45665</v>
      </c>
      <c r="L3214" s="5">
        <f t="shared" si="877"/>
        <v>1</v>
      </c>
      <c r="M3214" s="5">
        <f t="shared" si="878"/>
        <v>2025</v>
      </c>
      <c r="N3214" s="12">
        <v>460.8</v>
      </c>
      <c r="O3214" s="12"/>
      <c r="P3214" s="12">
        <f t="shared" si="879"/>
        <v>460.8</v>
      </c>
      <c r="Q3214" s="7">
        <f t="shared" si="880"/>
        <v>5262322.05</v>
      </c>
      <c r="R3214" s="44" t="str">
        <f>VLOOKUP(F3214,'Set up'!$A$2:$E$56,5,FALSE)</f>
        <v>Trsf</v>
      </c>
    </row>
    <row r="3215" spans="1:18" ht="15" customHeight="1" x14ac:dyDescent="0.3">
      <c r="A3215" s="4">
        <v>45545</v>
      </c>
      <c r="B3215" s="5">
        <f t="shared" si="874"/>
        <v>9</v>
      </c>
      <c r="C3215" s="5">
        <f t="shared" si="875"/>
        <v>2024</v>
      </c>
      <c r="D3215" s="5" t="s">
        <v>2906</v>
      </c>
      <c r="E3215" s="5" t="str">
        <f>VLOOKUP(F3215,'Set up'!$A$2:$C$56,2,FALSE)</f>
        <v>C00000010</v>
      </c>
      <c r="F3215" s="1" t="s">
        <v>62</v>
      </c>
      <c r="G3215" s="98" t="s">
        <v>615</v>
      </c>
      <c r="H3215" s="13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876"/>
        <v>45665</v>
      </c>
      <c r="L3215" s="5">
        <f t="shared" si="877"/>
        <v>1</v>
      </c>
      <c r="M3215" s="5">
        <f t="shared" si="878"/>
        <v>2025</v>
      </c>
      <c r="N3215" s="12">
        <v>395</v>
      </c>
      <c r="O3215" s="12"/>
      <c r="P3215" s="12">
        <f t="shared" si="879"/>
        <v>395</v>
      </c>
      <c r="Q3215" s="7">
        <f t="shared" si="880"/>
        <v>5262717.05</v>
      </c>
      <c r="R3215" s="44" t="str">
        <f>VLOOKUP(F3215,'Set up'!$A$2:$E$56,5,FALSE)</f>
        <v>Trsf</v>
      </c>
    </row>
    <row r="3216" spans="1:18" ht="15" customHeight="1" x14ac:dyDescent="0.3">
      <c r="A3216" s="4">
        <v>45545</v>
      </c>
      <c r="B3216" s="5">
        <f t="shared" si="874"/>
        <v>9</v>
      </c>
      <c r="C3216" s="5">
        <f t="shared" si="875"/>
        <v>2024</v>
      </c>
      <c r="D3216" s="5" t="s">
        <v>2906</v>
      </c>
      <c r="E3216" s="5" t="str">
        <f>VLOOKUP(F3216,'Set up'!$A$2:$C$56,2,FALSE)</f>
        <v>C00000010</v>
      </c>
      <c r="F3216" s="1" t="s">
        <v>62</v>
      </c>
      <c r="G3216" s="90" t="s">
        <v>1662</v>
      </c>
      <c r="H3216" s="13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876"/>
        <v>45665</v>
      </c>
      <c r="L3216" s="5">
        <f t="shared" si="877"/>
        <v>1</v>
      </c>
      <c r="M3216" s="5">
        <f t="shared" si="878"/>
        <v>2025</v>
      </c>
      <c r="N3216" s="12">
        <v>165</v>
      </c>
      <c r="O3216" s="12"/>
      <c r="P3216" s="12">
        <f t="shared" si="879"/>
        <v>165</v>
      </c>
      <c r="Q3216" s="7">
        <f t="shared" si="880"/>
        <v>5262882.05</v>
      </c>
      <c r="R3216" s="44" t="str">
        <f>VLOOKUP(F3216,'Set up'!$A$2:$E$56,5,FALSE)</f>
        <v>Trsf</v>
      </c>
    </row>
    <row r="3217" spans="1:18" ht="15" customHeight="1" x14ac:dyDescent="0.3">
      <c r="A3217" s="4">
        <v>45545</v>
      </c>
      <c r="B3217" s="5">
        <f t="shared" si="874"/>
        <v>9</v>
      </c>
      <c r="C3217" s="5">
        <f t="shared" si="875"/>
        <v>2024</v>
      </c>
      <c r="D3217" s="5" t="s">
        <v>2906</v>
      </c>
      <c r="E3217" s="5" t="str">
        <f>VLOOKUP(F3217,'Set up'!$A$2:$C$56,2,FALSE)</f>
        <v>C00000010</v>
      </c>
      <c r="F3217" s="1" t="s">
        <v>62</v>
      </c>
      <c r="G3217" s="90" t="s">
        <v>1655</v>
      </c>
      <c r="H3217" s="13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876"/>
        <v>45665</v>
      </c>
      <c r="L3217" s="5">
        <f t="shared" si="877"/>
        <v>1</v>
      </c>
      <c r="M3217" s="5">
        <f t="shared" si="878"/>
        <v>2025</v>
      </c>
      <c r="N3217" s="12">
        <v>1190</v>
      </c>
      <c r="O3217" s="12"/>
      <c r="P3217" s="12">
        <f t="shared" si="879"/>
        <v>1190</v>
      </c>
      <c r="Q3217" s="7">
        <f t="shared" si="880"/>
        <v>5264072.05</v>
      </c>
      <c r="R3217" s="44" t="str">
        <f>VLOOKUP(F3217,'Set up'!$A$2:$E$56,5,FALSE)</f>
        <v>Trsf</v>
      </c>
    </row>
    <row r="3218" spans="1:18" ht="15" customHeight="1" x14ac:dyDescent="0.3">
      <c r="A3218" s="4">
        <v>45546</v>
      </c>
      <c r="B3218" s="5">
        <f t="shared" si="874"/>
        <v>9</v>
      </c>
      <c r="C3218" s="5">
        <f t="shared" si="875"/>
        <v>2024</v>
      </c>
      <c r="D3218" s="5" t="s">
        <v>2907</v>
      </c>
      <c r="E3218" s="5" t="str">
        <f>VLOOKUP(F3218,'Set up'!$A$2:$C$56,2,FALSE)</f>
        <v>C00000019</v>
      </c>
      <c r="F3218" s="1" t="s">
        <v>401</v>
      </c>
      <c r="G3218" s="90" t="s">
        <v>95</v>
      </c>
      <c r="H3218" s="13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876"/>
        <v>45546</v>
      </c>
      <c r="L3218" s="5">
        <f t="shared" si="877"/>
        <v>9</v>
      </c>
      <c r="M3218" s="5">
        <f t="shared" si="878"/>
        <v>2024</v>
      </c>
      <c r="N3218" s="12">
        <v>1760</v>
      </c>
      <c r="O3218" s="12"/>
      <c r="P3218" s="12">
        <f t="shared" si="879"/>
        <v>1760</v>
      </c>
      <c r="Q3218" s="7">
        <f t="shared" si="880"/>
        <v>5265832.05</v>
      </c>
      <c r="R3218" s="44" t="str">
        <f>VLOOKUP(F3218,'Set up'!$A$2:$E$56,5,FALSE)</f>
        <v>Trsf</v>
      </c>
    </row>
    <row r="3219" spans="1:18" ht="15" customHeight="1" x14ac:dyDescent="0.3">
      <c r="A3219" s="4">
        <v>45546</v>
      </c>
      <c r="B3219" s="5">
        <f t="shared" si="874"/>
        <v>9</v>
      </c>
      <c r="C3219" s="5">
        <f t="shared" si="875"/>
        <v>2024</v>
      </c>
      <c r="D3219" s="5" t="s">
        <v>2907</v>
      </c>
      <c r="E3219" s="5" t="str">
        <f>VLOOKUP(F3219,'Set up'!$A$2:$C$56,2,FALSE)</f>
        <v>C00000019</v>
      </c>
      <c r="F3219" s="1" t="s">
        <v>401</v>
      </c>
      <c r="G3219" s="90" t="s">
        <v>2711</v>
      </c>
      <c r="H3219" s="13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876"/>
        <v>45546</v>
      </c>
      <c r="L3219" s="5">
        <f t="shared" si="877"/>
        <v>9</v>
      </c>
      <c r="M3219" s="5">
        <f t="shared" si="878"/>
        <v>2024</v>
      </c>
      <c r="N3219" s="12">
        <v>187.5</v>
      </c>
      <c r="O3219" s="12"/>
      <c r="P3219" s="12">
        <f t="shared" si="879"/>
        <v>187.5</v>
      </c>
      <c r="Q3219" s="7">
        <f t="shared" si="880"/>
        <v>5266019.55</v>
      </c>
      <c r="R3219" s="44" t="str">
        <f>VLOOKUP(F3219,'Set up'!$A$2:$E$56,5,FALSE)</f>
        <v>Trsf</v>
      </c>
    </row>
    <row r="3220" spans="1:18" ht="15" customHeight="1" x14ac:dyDescent="0.3">
      <c r="A3220" s="4">
        <v>45546</v>
      </c>
      <c r="B3220" s="5">
        <f t="shared" si="874"/>
        <v>9</v>
      </c>
      <c r="C3220" s="5">
        <f t="shared" si="875"/>
        <v>2024</v>
      </c>
      <c r="D3220" s="5" t="s">
        <v>2907</v>
      </c>
      <c r="E3220" s="5" t="str">
        <f>VLOOKUP(F3220,'Set up'!$A$2:$C$56,2,FALSE)</f>
        <v>C00000019</v>
      </c>
      <c r="F3220" s="1" t="s">
        <v>401</v>
      </c>
      <c r="G3220" s="90" t="s">
        <v>293</v>
      </c>
      <c r="H3220" s="13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876"/>
        <v>45546</v>
      </c>
      <c r="L3220" s="5">
        <f t="shared" si="877"/>
        <v>9</v>
      </c>
      <c r="M3220" s="5">
        <f t="shared" si="878"/>
        <v>2024</v>
      </c>
      <c r="N3220" s="12">
        <v>450</v>
      </c>
      <c r="O3220" s="12"/>
      <c r="P3220" s="12">
        <f t="shared" si="879"/>
        <v>450</v>
      </c>
      <c r="Q3220" s="7">
        <f t="shared" si="880"/>
        <v>5266469.55</v>
      </c>
      <c r="R3220" s="44" t="str">
        <f>VLOOKUP(F3220,'Set up'!$A$2:$E$56,5,FALSE)</f>
        <v>Trsf</v>
      </c>
    </row>
    <row r="3221" spans="1:18" ht="15" customHeight="1" x14ac:dyDescent="0.3">
      <c r="A3221" s="4">
        <v>45549</v>
      </c>
      <c r="B3221" s="5">
        <f t="shared" si="874"/>
        <v>9</v>
      </c>
      <c r="C3221" s="5">
        <f t="shared" si="875"/>
        <v>2024</v>
      </c>
      <c r="D3221" s="5" t="s">
        <v>2908</v>
      </c>
      <c r="E3221" s="5" t="str">
        <f>VLOOKUP(F3221,'Set up'!$A$2:$C$56,2,FALSE)</f>
        <v>C00000042</v>
      </c>
      <c r="F3221" s="1" t="s">
        <v>2013</v>
      </c>
      <c r="G3221" s="102" t="s">
        <v>2722</v>
      </c>
      <c r="H3221" s="13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876"/>
        <v>45549</v>
      </c>
      <c r="L3221" s="5">
        <f t="shared" si="877"/>
        <v>9</v>
      </c>
      <c r="M3221" s="5">
        <f t="shared" si="878"/>
        <v>2024</v>
      </c>
      <c r="N3221" s="12">
        <v>312.5</v>
      </c>
      <c r="O3221" s="12"/>
      <c r="P3221" s="12">
        <f t="shared" si="879"/>
        <v>312.5</v>
      </c>
      <c r="Q3221" s="7">
        <f t="shared" si="880"/>
        <v>5266782.05</v>
      </c>
      <c r="R3221" s="44" t="str">
        <f>VLOOKUP(F3221,'Set up'!$A$2:$E$56,5,FALSE)</f>
        <v>Trsf</v>
      </c>
    </row>
    <row r="3222" spans="1:18" ht="15" customHeight="1" x14ac:dyDescent="0.3">
      <c r="A3222" s="4">
        <v>45549</v>
      </c>
      <c r="B3222" s="5">
        <f t="shared" si="874"/>
        <v>9</v>
      </c>
      <c r="C3222" s="5">
        <f t="shared" si="875"/>
        <v>2024</v>
      </c>
      <c r="D3222" s="5" t="s">
        <v>2909</v>
      </c>
      <c r="E3222" s="5" t="str">
        <f>VLOOKUP(F3222,'Set up'!$A$2:$C$56,2,FALSE)</f>
        <v>C00000042</v>
      </c>
      <c r="F3222" s="1" t="s">
        <v>2013</v>
      </c>
      <c r="G3222" s="124" t="s">
        <v>2625</v>
      </c>
      <c r="H3222" s="13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876"/>
        <v>45549</v>
      </c>
      <c r="L3222" s="5">
        <f t="shared" si="877"/>
        <v>9</v>
      </c>
      <c r="M3222" s="5">
        <f t="shared" si="878"/>
        <v>2024</v>
      </c>
      <c r="N3222" s="12">
        <v>8140</v>
      </c>
      <c r="O3222" s="12"/>
      <c r="P3222" s="12">
        <f t="shared" si="879"/>
        <v>8140</v>
      </c>
      <c r="Q3222" s="7">
        <f t="shared" si="880"/>
        <v>5274922.05</v>
      </c>
      <c r="R3222" s="44" t="str">
        <f>VLOOKUP(F3222,'Set up'!$A$2:$E$56,5,FALSE)</f>
        <v>Trsf</v>
      </c>
    </row>
    <row r="3223" spans="1:18" ht="15" customHeight="1" x14ac:dyDescent="0.3">
      <c r="A3223" s="4">
        <v>45549</v>
      </c>
      <c r="B3223" s="5">
        <f t="shared" si="874"/>
        <v>9</v>
      </c>
      <c r="C3223" s="5">
        <f t="shared" si="875"/>
        <v>2024</v>
      </c>
      <c r="D3223" s="5" t="s">
        <v>2909</v>
      </c>
      <c r="E3223" s="5" t="str">
        <f>VLOOKUP(F3223,'Set up'!$A$2:$C$56,2,FALSE)</f>
        <v>C00000042</v>
      </c>
      <c r="F3223" s="1" t="s">
        <v>2013</v>
      </c>
      <c r="G3223" s="90" t="s">
        <v>1544</v>
      </c>
      <c r="H3223" s="13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876"/>
        <v>45549</v>
      </c>
      <c r="L3223" s="5">
        <f t="shared" si="877"/>
        <v>9</v>
      </c>
      <c r="M3223" s="5">
        <f t="shared" si="878"/>
        <v>2024</v>
      </c>
      <c r="N3223" s="12">
        <v>2124</v>
      </c>
      <c r="O3223" s="12"/>
      <c r="P3223" s="12">
        <f t="shared" si="879"/>
        <v>2124</v>
      </c>
      <c r="Q3223" s="7">
        <f t="shared" si="880"/>
        <v>5277046.05</v>
      </c>
      <c r="R3223" s="44" t="str">
        <f>VLOOKUP(F3223,'Set up'!$A$2:$E$56,5,FALSE)</f>
        <v>Trsf</v>
      </c>
    </row>
    <row r="3224" spans="1:18" ht="15" customHeight="1" x14ac:dyDescent="0.3">
      <c r="A3224" s="4">
        <v>45549</v>
      </c>
      <c r="B3224" s="5">
        <f t="shared" si="874"/>
        <v>9</v>
      </c>
      <c r="C3224" s="5">
        <f t="shared" si="875"/>
        <v>2024</v>
      </c>
      <c r="D3224" s="5" t="s">
        <v>2909</v>
      </c>
      <c r="E3224" s="5" t="str">
        <f>VLOOKUP(F3224,'Set up'!$A$2:$C$56,2,FALSE)</f>
        <v>C00000042</v>
      </c>
      <c r="F3224" s="1" t="s">
        <v>2013</v>
      </c>
      <c r="G3224" s="90" t="s">
        <v>1923</v>
      </c>
      <c r="H3224" s="13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876"/>
        <v>45549</v>
      </c>
      <c r="L3224" s="5">
        <f t="shared" si="877"/>
        <v>9</v>
      </c>
      <c r="M3224" s="5">
        <f t="shared" si="878"/>
        <v>2024</v>
      </c>
      <c r="N3224" s="12">
        <v>954</v>
      </c>
      <c r="O3224" s="12"/>
      <c r="P3224" s="12">
        <f t="shared" si="879"/>
        <v>954</v>
      </c>
      <c r="Q3224" s="7">
        <f t="shared" si="880"/>
        <v>5278000.05</v>
      </c>
      <c r="R3224" s="44" t="str">
        <f>VLOOKUP(F3224,'Set up'!$A$2:$E$56,5,FALSE)</f>
        <v>Trsf</v>
      </c>
    </row>
    <row r="3225" spans="1:18" ht="15" customHeight="1" x14ac:dyDescent="0.3">
      <c r="A3225" s="4">
        <v>45549</v>
      </c>
      <c r="B3225" s="5">
        <f t="shared" si="874"/>
        <v>9</v>
      </c>
      <c r="C3225" s="5">
        <f t="shared" si="875"/>
        <v>2024</v>
      </c>
      <c r="D3225" s="5" t="s">
        <v>2909</v>
      </c>
      <c r="E3225" s="5" t="str">
        <f>VLOOKUP(F3225,'Set up'!$A$2:$C$56,2,FALSE)</f>
        <v>C00000042</v>
      </c>
      <c r="F3225" s="1" t="s">
        <v>2013</v>
      </c>
      <c r="G3225" s="90" t="s">
        <v>1074</v>
      </c>
      <c r="H3225" s="13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876"/>
        <v>45549</v>
      </c>
      <c r="L3225" s="5">
        <f t="shared" si="877"/>
        <v>9</v>
      </c>
      <c r="M3225" s="5">
        <f t="shared" si="878"/>
        <v>2024</v>
      </c>
      <c r="N3225" s="12">
        <v>1000</v>
      </c>
      <c r="O3225" s="12"/>
      <c r="P3225" s="12">
        <f t="shared" si="879"/>
        <v>1000</v>
      </c>
      <c r="Q3225" s="7">
        <f t="shared" si="880"/>
        <v>5279000.05</v>
      </c>
      <c r="R3225" s="44" t="str">
        <f>VLOOKUP(F3225,'Set up'!$A$2:$E$56,5,FALSE)</f>
        <v>Trsf</v>
      </c>
    </row>
    <row r="3226" spans="1:18" ht="15" customHeight="1" x14ac:dyDescent="0.3">
      <c r="A3226" s="4">
        <v>45556</v>
      </c>
      <c r="B3226" s="5">
        <f t="shared" si="874"/>
        <v>9</v>
      </c>
      <c r="C3226" s="5">
        <f t="shared" si="875"/>
        <v>2024</v>
      </c>
      <c r="D3226" s="5" t="s">
        <v>2910</v>
      </c>
      <c r="E3226" s="5" t="str">
        <f>VLOOKUP(F3226,'Set up'!$A$2:$C$56,2,FALSE)</f>
        <v>C00000042</v>
      </c>
      <c r="F3226" s="1" t="s">
        <v>2013</v>
      </c>
      <c r="G3226" s="102" t="s">
        <v>2722</v>
      </c>
      <c r="H3226" s="13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876"/>
        <v>45556</v>
      </c>
      <c r="L3226" s="5">
        <f t="shared" si="877"/>
        <v>9</v>
      </c>
      <c r="M3226" s="5">
        <f t="shared" si="878"/>
        <v>2024</v>
      </c>
      <c r="N3226" s="12">
        <v>187.5</v>
      </c>
      <c r="O3226" s="12"/>
      <c r="P3226" s="12">
        <f t="shared" si="879"/>
        <v>187.5</v>
      </c>
      <c r="Q3226" s="7">
        <f t="shared" si="880"/>
        <v>5279187.55</v>
      </c>
      <c r="R3226" s="44" t="str">
        <f>VLOOKUP(F3226,'Set up'!$A$2:$E$56,5,FALSE)</f>
        <v>Trsf</v>
      </c>
    </row>
    <row r="3227" spans="1:18" ht="15" customHeight="1" x14ac:dyDescent="0.3">
      <c r="A3227" s="4">
        <v>45556</v>
      </c>
      <c r="B3227" s="5">
        <f t="shared" si="874"/>
        <v>9</v>
      </c>
      <c r="C3227" s="5">
        <f t="shared" si="875"/>
        <v>2024</v>
      </c>
      <c r="D3227" s="5" t="s">
        <v>2911</v>
      </c>
      <c r="E3227" s="5" t="str">
        <f>VLOOKUP(F3227,'Set up'!$A$2:$C$56,2,FALSE)</f>
        <v>C00000042</v>
      </c>
      <c r="F3227" s="1" t="s">
        <v>2013</v>
      </c>
      <c r="G3227" s="124" t="s">
        <v>2912</v>
      </c>
      <c r="H3227" s="13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876"/>
        <v>45556</v>
      </c>
      <c r="L3227" s="5">
        <f t="shared" si="877"/>
        <v>9</v>
      </c>
      <c r="M3227" s="5">
        <f t="shared" si="878"/>
        <v>2024</v>
      </c>
      <c r="N3227" s="12">
        <v>1642.5</v>
      </c>
      <c r="O3227" s="12"/>
      <c r="P3227" s="12">
        <f t="shared" si="879"/>
        <v>1642.5</v>
      </c>
      <c r="Q3227" s="7">
        <f t="shared" si="880"/>
        <v>5280830.05</v>
      </c>
      <c r="R3227" s="44" t="str">
        <f>VLOOKUP(F3227,'Set up'!$A$2:$E$56,5,FALSE)</f>
        <v>Trsf</v>
      </c>
    </row>
    <row r="3228" spans="1:18" ht="15" customHeight="1" x14ac:dyDescent="0.3">
      <c r="A3228" s="4">
        <v>45556</v>
      </c>
      <c r="B3228" s="5">
        <f t="shared" si="874"/>
        <v>9</v>
      </c>
      <c r="C3228" s="5">
        <f t="shared" si="875"/>
        <v>2024</v>
      </c>
      <c r="D3228" s="5" t="s">
        <v>2911</v>
      </c>
      <c r="E3228" s="5" t="str">
        <f>VLOOKUP(F3228,'Set up'!$A$2:$C$56,2,FALSE)</f>
        <v>C00000042</v>
      </c>
      <c r="F3228" s="1" t="s">
        <v>2013</v>
      </c>
      <c r="G3228" s="90" t="s">
        <v>2625</v>
      </c>
      <c r="H3228" s="13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876"/>
        <v>45556</v>
      </c>
      <c r="L3228" s="5">
        <f t="shared" si="877"/>
        <v>9</v>
      </c>
      <c r="M3228" s="5">
        <f t="shared" si="878"/>
        <v>2024</v>
      </c>
      <c r="N3228" s="12">
        <v>3256</v>
      </c>
      <c r="O3228" s="12"/>
      <c r="P3228" s="12">
        <f t="shared" si="879"/>
        <v>3256</v>
      </c>
      <c r="Q3228" s="7">
        <f t="shared" si="880"/>
        <v>5284086.05</v>
      </c>
      <c r="R3228" s="44" t="str">
        <f>VLOOKUP(F3228,'Set up'!$A$2:$E$56,5,FALSE)</f>
        <v>Trsf</v>
      </c>
    </row>
    <row r="3229" spans="1:18" ht="15" customHeight="1" x14ac:dyDescent="0.3">
      <c r="A3229" s="4">
        <v>45556</v>
      </c>
      <c r="B3229" s="5">
        <f t="shared" si="874"/>
        <v>9</v>
      </c>
      <c r="C3229" s="5">
        <f t="shared" si="875"/>
        <v>2024</v>
      </c>
      <c r="D3229" s="5" t="s">
        <v>2911</v>
      </c>
      <c r="E3229" s="5" t="str">
        <f>VLOOKUP(F3229,'Set up'!$A$2:$C$56,2,FALSE)</f>
        <v>C00000042</v>
      </c>
      <c r="F3229" s="1" t="s">
        <v>2013</v>
      </c>
      <c r="G3229" s="90" t="s">
        <v>1544</v>
      </c>
      <c r="H3229" s="13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876"/>
        <v>45556</v>
      </c>
      <c r="L3229" s="5">
        <f t="shared" si="877"/>
        <v>9</v>
      </c>
      <c r="M3229" s="5">
        <f t="shared" si="878"/>
        <v>2024</v>
      </c>
      <c r="N3229" s="12">
        <v>1062</v>
      </c>
      <c r="O3229" s="12"/>
      <c r="P3229" s="12">
        <f t="shared" si="879"/>
        <v>1062</v>
      </c>
      <c r="Q3229" s="7">
        <f t="shared" si="880"/>
        <v>5285148.05</v>
      </c>
      <c r="R3229" s="44" t="str">
        <f>VLOOKUP(F3229,'Set up'!$A$2:$E$56,5,FALSE)</f>
        <v>Trsf</v>
      </c>
    </row>
    <row r="3230" spans="1:18" ht="15" customHeight="1" x14ac:dyDescent="0.3">
      <c r="A3230" s="4">
        <v>45556</v>
      </c>
      <c r="B3230" s="5">
        <f t="shared" ref="B3230:B3255" si="881">MONTH(A3230)</f>
        <v>9</v>
      </c>
      <c r="C3230" s="5">
        <f t="shared" ref="C3230:C3255" si="882">YEAR(A3230)</f>
        <v>2024</v>
      </c>
      <c r="D3230" s="5" t="s">
        <v>2911</v>
      </c>
      <c r="E3230" s="5" t="str">
        <f>VLOOKUP(F3230,'Set up'!$A$2:$C$56,2,FALSE)</f>
        <v>C00000042</v>
      </c>
      <c r="F3230" s="1" t="s">
        <v>2013</v>
      </c>
      <c r="G3230" s="90" t="s">
        <v>1923</v>
      </c>
      <c r="H3230" s="13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ref="K3230:K3255" si="883">A3230+J3230</f>
        <v>45556</v>
      </c>
      <c r="L3230" s="5">
        <f t="shared" ref="L3230:L3255" si="884">MONTH(K3230)</f>
        <v>9</v>
      </c>
      <c r="M3230" s="5">
        <f t="shared" ref="M3230:M3255" si="885">YEAR(K3230)</f>
        <v>2024</v>
      </c>
      <c r="N3230" s="12">
        <v>238.5</v>
      </c>
      <c r="O3230" s="12"/>
      <c r="P3230" s="12">
        <f t="shared" ref="P3230:P3255" si="886">SUM(N3230+O3230)</f>
        <v>238.5</v>
      </c>
      <c r="Q3230" s="7">
        <f t="shared" ref="Q3230:Q3293" si="887">SUM(Q3229+N3230)</f>
        <v>5285386.55</v>
      </c>
      <c r="R3230" s="44" t="str">
        <f>VLOOKUP(F3230,'Set up'!$A$2:$E$56,5,FALSE)</f>
        <v>Trsf</v>
      </c>
    </row>
    <row r="3231" spans="1:18" ht="15" customHeight="1" x14ac:dyDescent="0.3">
      <c r="A3231" s="4">
        <v>45556</v>
      </c>
      <c r="B3231" s="5">
        <f t="shared" si="881"/>
        <v>9</v>
      </c>
      <c r="C3231" s="5">
        <f t="shared" si="882"/>
        <v>2024</v>
      </c>
      <c r="D3231" s="5" t="s">
        <v>2911</v>
      </c>
      <c r="E3231" s="5" t="str">
        <f>VLOOKUP(F3231,'Set up'!$A$2:$C$56,2,FALSE)</f>
        <v>C00000042</v>
      </c>
      <c r="F3231" s="1" t="s">
        <v>2013</v>
      </c>
      <c r="G3231" s="90" t="s">
        <v>1062</v>
      </c>
      <c r="H3231" s="13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883"/>
        <v>45556</v>
      </c>
      <c r="L3231" s="5">
        <f t="shared" si="884"/>
        <v>9</v>
      </c>
      <c r="M3231" s="5">
        <f t="shared" si="885"/>
        <v>2024</v>
      </c>
      <c r="N3231" s="12">
        <v>380</v>
      </c>
      <c r="O3231" s="12"/>
      <c r="P3231" s="12">
        <f t="shared" si="886"/>
        <v>380</v>
      </c>
      <c r="Q3231" s="7">
        <f t="shared" si="887"/>
        <v>5285766.55</v>
      </c>
      <c r="R3231" s="44" t="str">
        <f>VLOOKUP(F3231,'Set up'!$A$2:$E$56,5,FALSE)</f>
        <v>Trsf</v>
      </c>
    </row>
    <row r="3232" spans="1:18" ht="15" customHeight="1" x14ac:dyDescent="0.3">
      <c r="A3232" s="4">
        <v>45558</v>
      </c>
      <c r="B3232" s="5">
        <f t="shared" si="881"/>
        <v>9</v>
      </c>
      <c r="C3232" s="5">
        <f t="shared" si="882"/>
        <v>2024</v>
      </c>
      <c r="D3232" s="5" t="s">
        <v>2913</v>
      </c>
      <c r="E3232" s="5" t="str">
        <f>VLOOKUP(F3232,'Set up'!$A$2:$C$56,2,FALSE)</f>
        <v>C00000042</v>
      </c>
      <c r="F3232" s="1" t="s">
        <v>2013</v>
      </c>
      <c r="G3232" s="102" t="s">
        <v>2722</v>
      </c>
      <c r="H3232" s="13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883"/>
        <v>45558</v>
      </c>
      <c r="L3232" s="5">
        <f t="shared" si="884"/>
        <v>9</v>
      </c>
      <c r="M3232" s="5">
        <f t="shared" si="885"/>
        <v>2024</v>
      </c>
      <c r="N3232" s="12">
        <v>250</v>
      </c>
      <c r="O3232" s="12"/>
      <c r="P3232" s="12">
        <f t="shared" si="886"/>
        <v>250</v>
      </c>
      <c r="Q3232" s="7">
        <f t="shared" si="887"/>
        <v>5286016.55</v>
      </c>
      <c r="R3232" s="44" t="str">
        <f>VLOOKUP(F3232,'Set up'!$A$2:$E$56,5,FALSE)</f>
        <v>Trsf</v>
      </c>
    </row>
    <row r="3233" spans="1:18" ht="15" customHeight="1" x14ac:dyDescent="0.3">
      <c r="A3233" s="4">
        <v>45558</v>
      </c>
      <c r="B3233" s="5">
        <f t="shared" si="881"/>
        <v>9</v>
      </c>
      <c r="C3233" s="5">
        <f t="shared" si="882"/>
        <v>2024</v>
      </c>
      <c r="D3233" s="5" t="s">
        <v>2914</v>
      </c>
      <c r="E3233" s="5" t="str">
        <f>VLOOKUP(F3233,'Set up'!$A$2:$C$56,2,FALSE)</f>
        <v>C00000042</v>
      </c>
      <c r="F3233" s="1" t="s">
        <v>2013</v>
      </c>
      <c r="G3233" s="124" t="s">
        <v>2625</v>
      </c>
      <c r="H3233" s="13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883"/>
        <v>45558</v>
      </c>
      <c r="L3233" s="5">
        <f t="shared" si="884"/>
        <v>9</v>
      </c>
      <c r="M3233" s="5">
        <f t="shared" si="885"/>
        <v>2024</v>
      </c>
      <c r="N3233" s="12">
        <v>6512</v>
      </c>
      <c r="O3233" s="12"/>
      <c r="P3233" s="12">
        <f t="shared" si="886"/>
        <v>6512</v>
      </c>
      <c r="Q3233" s="7">
        <f t="shared" si="887"/>
        <v>5292528.55</v>
      </c>
      <c r="R3233" s="44" t="str">
        <f>VLOOKUP(F3233,'Set up'!$A$2:$E$56,5,FALSE)</f>
        <v>Trsf</v>
      </c>
    </row>
    <row r="3234" spans="1:18" ht="15" customHeight="1" x14ac:dyDescent="0.3">
      <c r="A3234" s="4">
        <v>45558</v>
      </c>
      <c r="B3234" s="5">
        <f t="shared" si="881"/>
        <v>9</v>
      </c>
      <c r="C3234" s="5">
        <f t="shared" si="882"/>
        <v>2024</v>
      </c>
      <c r="D3234" s="5" t="s">
        <v>2914</v>
      </c>
      <c r="E3234" s="5" t="str">
        <f>VLOOKUP(F3234,'Set up'!$A$2:$C$56,2,FALSE)</f>
        <v>C00000042</v>
      </c>
      <c r="F3234" s="1" t="s">
        <v>2013</v>
      </c>
      <c r="G3234" s="90" t="s">
        <v>1544</v>
      </c>
      <c r="H3234" s="13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883"/>
        <v>45558</v>
      </c>
      <c r="L3234" s="5">
        <f t="shared" si="884"/>
        <v>9</v>
      </c>
      <c r="M3234" s="5">
        <f t="shared" si="885"/>
        <v>2024</v>
      </c>
      <c r="N3234" s="12">
        <v>2124</v>
      </c>
      <c r="O3234" s="12"/>
      <c r="P3234" s="12">
        <f t="shared" si="886"/>
        <v>2124</v>
      </c>
      <c r="Q3234" s="7">
        <f t="shared" si="887"/>
        <v>5294652.55</v>
      </c>
      <c r="R3234" s="44" t="str">
        <f>VLOOKUP(F3234,'Set up'!$A$2:$E$56,5,FALSE)</f>
        <v>Trsf</v>
      </c>
    </row>
    <row r="3235" spans="1:18" ht="15" customHeight="1" x14ac:dyDescent="0.3">
      <c r="A3235" s="4">
        <v>45558</v>
      </c>
      <c r="B3235" s="5">
        <f t="shared" si="881"/>
        <v>9</v>
      </c>
      <c r="C3235" s="5">
        <f t="shared" si="882"/>
        <v>2024</v>
      </c>
      <c r="D3235" s="5" t="s">
        <v>2914</v>
      </c>
      <c r="E3235" s="5" t="str">
        <f>VLOOKUP(F3235,'Set up'!$A$2:$C$56,2,FALSE)</f>
        <v>C00000042</v>
      </c>
      <c r="F3235" s="1" t="s">
        <v>2013</v>
      </c>
      <c r="G3235" s="90" t="s">
        <v>1923</v>
      </c>
      <c r="H3235" s="13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883"/>
        <v>45558</v>
      </c>
      <c r="L3235" s="5">
        <f t="shared" si="884"/>
        <v>9</v>
      </c>
      <c r="M3235" s="5">
        <f t="shared" si="885"/>
        <v>2024</v>
      </c>
      <c r="N3235" s="12">
        <v>1431</v>
      </c>
      <c r="O3235" s="12"/>
      <c r="P3235" s="12">
        <f t="shared" si="886"/>
        <v>1431</v>
      </c>
      <c r="Q3235" s="7">
        <f t="shared" si="887"/>
        <v>5296083.55</v>
      </c>
      <c r="R3235" s="44" t="str">
        <f>VLOOKUP(F3235,'Set up'!$A$2:$E$56,5,FALSE)</f>
        <v>Trsf</v>
      </c>
    </row>
    <row r="3236" spans="1:18" ht="15" customHeight="1" x14ac:dyDescent="0.3">
      <c r="A3236" s="4">
        <v>45558</v>
      </c>
      <c r="B3236" s="5">
        <f t="shared" si="881"/>
        <v>9</v>
      </c>
      <c r="C3236" s="5">
        <f t="shared" si="882"/>
        <v>2024</v>
      </c>
      <c r="D3236" s="5" t="s">
        <v>2914</v>
      </c>
      <c r="E3236" s="5" t="str">
        <f>VLOOKUP(F3236,'Set up'!$A$2:$C$56,2,FALSE)</f>
        <v>C00000042</v>
      </c>
      <c r="F3236" s="1" t="s">
        <v>2013</v>
      </c>
      <c r="G3236" s="90" t="s">
        <v>2826</v>
      </c>
      <c r="H3236" s="13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883"/>
        <v>45558</v>
      </c>
      <c r="L3236" s="5">
        <f t="shared" si="884"/>
        <v>9</v>
      </c>
      <c r="M3236" s="5">
        <f t="shared" si="885"/>
        <v>2024</v>
      </c>
      <c r="N3236" s="12">
        <v>975</v>
      </c>
      <c r="O3236" s="12"/>
      <c r="P3236" s="12">
        <f t="shared" si="886"/>
        <v>975</v>
      </c>
      <c r="Q3236" s="7">
        <f t="shared" si="887"/>
        <v>5297058.55</v>
      </c>
      <c r="R3236" s="44" t="str">
        <f>VLOOKUP(F3236,'Set up'!$A$2:$E$56,5,FALSE)</f>
        <v>Trsf</v>
      </c>
    </row>
    <row r="3237" spans="1:18" ht="15" customHeight="1" x14ac:dyDescent="0.3">
      <c r="A3237" s="4">
        <v>45560</v>
      </c>
      <c r="B3237" s="5">
        <f t="shared" si="881"/>
        <v>9</v>
      </c>
      <c r="C3237" s="5">
        <f t="shared" si="882"/>
        <v>2024</v>
      </c>
      <c r="D3237" s="5" t="s">
        <v>2915</v>
      </c>
      <c r="E3237" s="5" t="str">
        <f>VLOOKUP(F3237,'Set up'!$A$2:$C$56,2,FALSE)</f>
        <v>C00000044</v>
      </c>
      <c r="F3237" s="1" t="s">
        <v>2959</v>
      </c>
      <c r="G3237" s="133" t="s">
        <v>2643</v>
      </c>
      <c r="H3237" s="13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883"/>
        <v>45560</v>
      </c>
      <c r="L3237" s="5">
        <f t="shared" si="884"/>
        <v>9</v>
      </c>
      <c r="M3237" s="5">
        <f t="shared" si="885"/>
        <v>2024</v>
      </c>
      <c r="N3237" s="12">
        <v>420</v>
      </c>
      <c r="O3237" s="12"/>
      <c r="P3237" s="12">
        <f t="shared" si="886"/>
        <v>420</v>
      </c>
      <c r="Q3237" s="7">
        <f t="shared" si="887"/>
        <v>5297478.55</v>
      </c>
      <c r="R3237" s="44" t="str">
        <f>VLOOKUP(F3237,'Set up'!$A$2:$E$56,5,FALSE)</f>
        <v>Cash</v>
      </c>
    </row>
    <row r="3238" spans="1:18" ht="15" customHeight="1" x14ac:dyDescent="0.3">
      <c r="A3238" s="4">
        <v>45561</v>
      </c>
      <c r="B3238" s="5">
        <f t="shared" si="881"/>
        <v>9</v>
      </c>
      <c r="C3238" s="5">
        <f t="shared" si="882"/>
        <v>2024</v>
      </c>
      <c r="D3238" s="5" t="s">
        <v>2916</v>
      </c>
      <c r="E3238" s="5" t="str">
        <f>VLOOKUP(F3238,'Set up'!$A$2:$C$56,2,FALSE)</f>
        <v>C00000019</v>
      </c>
      <c r="F3238" s="1" t="s">
        <v>401</v>
      </c>
      <c r="G3238" s="90" t="s">
        <v>95</v>
      </c>
      <c r="H3238" s="13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883"/>
        <v>45561</v>
      </c>
      <c r="L3238" s="5">
        <f t="shared" si="884"/>
        <v>9</v>
      </c>
      <c r="M3238" s="5">
        <f t="shared" si="885"/>
        <v>2024</v>
      </c>
      <c r="N3238" s="97">
        <v>1760</v>
      </c>
      <c r="O3238" s="12"/>
      <c r="P3238" s="12">
        <f t="shared" si="886"/>
        <v>1760</v>
      </c>
      <c r="Q3238" s="7">
        <f t="shared" si="887"/>
        <v>5299238.55</v>
      </c>
      <c r="R3238" s="44" t="str">
        <f>VLOOKUP(F3238,'Set up'!$A$2:$E$56,5,FALSE)</f>
        <v>Trsf</v>
      </c>
    </row>
    <row r="3239" spans="1:18" ht="15" customHeight="1" x14ac:dyDescent="0.3">
      <c r="A3239" s="4">
        <v>45561</v>
      </c>
      <c r="B3239" s="5">
        <f t="shared" si="881"/>
        <v>9</v>
      </c>
      <c r="C3239" s="5">
        <f t="shared" si="882"/>
        <v>2024</v>
      </c>
      <c r="D3239" s="5" t="s">
        <v>2916</v>
      </c>
      <c r="E3239" s="5" t="str">
        <f>VLOOKUP(F3239,'Set up'!$A$2:$C$56,2,FALSE)</f>
        <v>C00000019</v>
      </c>
      <c r="F3239" s="1" t="s">
        <v>401</v>
      </c>
      <c r="G3239" s="90" t="s">
        <v>1412</v>
      </c>
      <c r="H3239" s="13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883"/>
        <v>45561</v>
      </c>
      <c r="L3239" s="5">
        <f t="shared" si="884"/>
        <v>9</v>
      </c>
      <c r="M3239" s="5">
        <f t="shared" si="885"/>
        <v>2024</v>
      </c>
      <c r="N3239" s="97">
        <v>405</v>
      </c>
      <c r="O3239" s="12"/>
      <c r="P3239" s="12">
        <f t="shared" si="886"/>
        <v>405</v>
      </c>
      <c r="Q3239" s="7">
        <f t="shared" si="887"/>
        <v>5299643.55</v>
      </c>
      <c r="R3239" s="44" t="str">
        <f>VLOOKUP(F3239,'Set up'!$A$2:$E$56,5,FALSE)</f>
        <v>Trsf</v>
      </c>
    </row>
    <row r="3240" spans="1:18" ht="15" customHeight="1" x14ac:dyDescent="0.3">
      <c r="A3240" s="4">
        <v>45561</v>
      </c>
      <c r="B3240" s="5">
        <f t="shared" si="881"/>
        <v>9</v>
      </c>
      <c r="C3240" s="5">
        <f t="shared" si="882"/>
        <v>2024</v>
      </c>
      <c r="D3240" s="5" t="s">
        <v>2916</v>
      </c>
      <c r="E3240" s="5" t="str">
        <f>VLOOKUP(F3240,'Set up'!$A$2:$C$56,2,FALSE)</f>
        <v>C00000019</v>
      </c>
      <c r="F3240" s="1" t="s">
        <v>401</v>
      </c>
      <c r="G3240" s="90" t="s">
        <v>46</v>
      </c>
      <c r="H3240" s="13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883"/>
        <v>45561</v>
      </c>
      <c r="L3240" s="5">
        <f t="shared" si="884"/>
        <v>9</v>
      </c>
      <c r="M3240" s="5">
        <f t="shared" si="885"/>
        <v>2024</v>
      </c>
      <c r="N3240" s="97">
        <v>110</v>
      </c>
      <c r="O3240" s="12"/>
      <c r="P3240" s="12">
        <f t="shared" si="886"/>
        <v>110</v>
      </c>
      <c r="Q3240" s="7">
        <f t="shared" si="887"/>
        <v>5299753.55</v>
      </c>
      <c r="R3240" s="44" t="str">
        <f>VLOOKUP(F3240,'Set up'!$A$2:$E$56,5,FALSE)</f>
        <v>Trsf</v>
      </c>
    </row>
    <row r="3241" spans="1:18" ht="15" customHeight="1" x14ac:dyDescent="0.3">
      <c r="A3241" s="4">
        <v>45561</v>
      </c>
      <c r="B3241" s="5">
        <f t="shared" si="881"/>
        <v>9</v>
      </c>
      <c r="C3241" s="5">
        <f t="shared" si="882"/>
        <v>2024</v>
      </c>
      <c r="D3241" s="5" t="s">
        <v>2916</v>
      </c>
      <c r="E3241" s="5" t="str">
        <f>VLOOKUP(F3241,'Set up'!$A$2:$C$56,2,FALSE)</f>
        <v>C00000019</v>
      </c>
      <c r="F3241" s="1" t="s">
        <v>401</v>
      </c>
      <c r="G3241" s="90" t="s">
        <v>1470</v>
      </c>
      <c r="H3241" s="13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883"/>
        <v>45561</v>
      </c>
      <c r="L3241" s="5">
        <f t="shared" si="884"/>
        <v>9</v>
      </c>
      <c r="M3241" s="5">
        <f t="shared" si="885"/>
        <v>2024</v>
      </c>
      <c r="N3241" s="97">
        <v>390</v>
      </c>
      <c r="O3241" s="12"/>
      <c r="P3241" s="12">
        <f t="shared" si="886"/>
        <v>390</v>
      </c>
      <c r="Q3241" s="7">
        <f t="shared" si="887"/>
        <v>5300143.55</v>
      </c>
      <c r="R3241" s="44" t="str">
        <f>VLOOKUP(F3241,'Set up'!$A$2:$E$56,5,FALSE)</f>
        <v>Trsf</v>
      </c>
    </row>
    <row r="3242" spans="1:18" ht="15" customHeight="1" x14ac:dyDescent="0.3">
      <c r="A3242" s="4">
        <v>45561</v>
      </c>
      <c r="B3242" s="5">
        <f t="shared" si="881"/>
        <v>9</v>
      </c>
      <c r="C3242" s="5">
        <f t="shared" si="882"/>
        <v>2024</v>
      </c>
      <c r="D3242" s="5" t="s">
        <v>2916</v>
      </c>
      <c r="E3242" s="5" t="str">
        <f>VLOOKUP(F3242,'Set up'!$A$2:$C$56,2,FALSE)</f>
        <v>C00000019</v>
      </c>
      <c r="F3242" s="1" t="s">
        <v>401</v>
      </c>
      <c r="G3242" s="90" t="s">
        <v>2128</v>
      </c>
      <c r="H3242" s="13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883"/>
        <v>45561</v>
      </c>
      <c r="L3242" s="5">
        <f t="shared" si="884"/>
        <v>9</v>
      </c>
      <c r="M3242" s="5">
        <f t="shared" si="885"/>
        <v>2024</v>
      </c>
      <c r="N3242" s="97">
        <v>283.8</v>
      </c>
      <c r="O3242" s="12"/>
      <c r="P3242" s="12">
        <f t="shared" si="886"/>
        <v>283.8</v>
      </c>
      <c r="Q3242" s="7">
        <f t="shared" si="887"/>
        <v>5300427.3499999996</v>
      </c>
      <c r="R3242" s="44" t="str">
        <f>VLOOKUP(F3242,'Set up'!$A$2:$E$56,5,FALSE)</f>
        <v>Trsf</v>
      </c>
    </row>
    <row r="3243" spans="1:18" ht="15" customHeight="1" x14ac:dyDescent="0.3">
      <c r="A3243" s="4">
        <v>45561</v>
      </c>
      <c r="B3243" s="5">
        <f t="shared" si="881"/>
        <v>9</v>
      </c>
      <c r="C3243" s="5">
        <f t="shared" si="882"/>
        <v>2024</v>
      </c>
      <c r="D3243" s="5" t="s">
        <v>2916</v>
      </c>
      <c r="E3243" s="5" t="str">
        <f>VLOOKUP(F3243,'Set up'!$A$2:$C$56,2,FALSE)</f>
        <v>C00000019</v>
      </c>
      <c r="F3243" s="1" t="s">
        <v>401</v>
      </c>
      <c r="G3243" s="89" t="s">
        <v>895</v>
      </c>
      <c r="H3243" s="13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883"/>
        <v>45561</v>
      </c>
      <c r="L3243" s="5">
        <f t="shared" si="884"/>
        <v>9</v>
      </c>
      <c r="M3243" s="5">
        <f t="shared" si="885"/>
        <v>2024</v>
      </c>
      <c r="N3243" s="97">
        <v>150</v>
      </c>
      <c r="O3243" s="12"/>
      <c r="P3243" s="12">
        <f t="shared" si="886"/>
        <v>150</v>
      </c>
      <c r="Q3243" s="7">
        <f t="shared" si="887"/>
        <v>5300577.3499999996</v>
      </c>
      <c r="R3243" s="44" t="str">
        <f>VLOOKUP(F3243,'Set up'!$A$2:$E$56,5,FALSE)</f>
        <v>Trsf</v>
      </c>
    </row>
    <row r="3244" spans="1:18" ht="15" customHeight="1" x14ac:dyDescent="0.3">
      <c r="A3244" s="4">
        <v>45561</v>
      </c>
      <c r="B3244" s="5">
        <f t="shared" si="881"/>
        <v>9</v>
      </c>
      <c r="C3244" s="5">
        <f t="shared" si="882"/>
        <v>2024</v>
      </c>
      <c r="D3244" s="5" t="s">
        <v>2916</v>
      </c>
      <c r="E3244" s="5" t="str">
        <f>VLOOKUP(F3244,'Set up'!$A$2:$C$56,2,FALSE)</f>
        <v>C00000019</v>
      </c>
      <c r="F3244" s="1" t="s">
        <v>401</v>
      </c>
      <c r="G3244" s="90" t="s">
        <v>2886</v>
      </c>
      <c r="H3244" s="13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883"/>
        <v>45561</v>
      </c>
      <c r="L3244" s="5">
        <f t="shared" si="884"/>
        <v>9</v>
      </c>
      <c r="M3244" s="5">
        <f t="shared" si="885"/>
        <v>2024</v>
      </c>
      <c r="N3244" s="97">
        <v>260</v>
      </c>
      <c r="O3244" s="12"/>
      <c r="P3244" s="12">
        <f t="shared" si="886"/>
        <v>260</v>
      </c>
      <c r="Q3244" s="7">
        <f t="shared" si="887"/>
        <v>5300837.3499999996</v>
      </c>
      <c r="R3244" s="44" t="str">
        <f>VLOOKUP(F3244,'Set up'!$A$2:$E$56,5,FALSE)</f>
        <v>Trsf</v>
      </c>
    </row>
    <row r="3245" spans="1:18" ht="15" customHeight="1" x14ac:dyDescent="0.3">
      <c r="A3245" s="4">
        <v>45561</v>
      </c>
      <c r="B3245" s="5">
        <f t="shared" si="881"/>
        <v>9</v>
      </c>
      <c r="C3245" s="5">
        <f t="shared" si="882"/>
        <v>2024</v>
      </c>
      <c r="D3245" s="5" t="s">
        <v>2917</v>
      </c>
      <c r="E3245" s="5" t="str">
        <f>VLOOKUP(F3245,'Set up'!$A$2:$C$56,2,FALSE)</f>
        <v>C00000003</v>
      </c>
      <c r="F3245" s="1" t="s">
        <v>20</v>
      </c>
      <c r="G3245" s="132" t="s">
        <v>717</v>
      </c>
      <c r="H3245" s="13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883"/>
        <v>45606</v>
      </c>
      <c r="L3245" s="5">
        <f t="shared" si="884"/>
        <v>11</v>
      </c>
      <c r="M3245" s="5">
        <f t="shared" si="885"/>
        <v>2024</v>
      </c>
      <c r="N3245" s="12">
        <v>1738</v>
      </c>
      <c r="O3245" s="12"/>
      <c r="P3245" s="12">
        <f t="shared" si="886"/>
        <v>1738</v>
      </c>
      <c r="Q3245" s="7">
        <f t="shared" si="887"/>
        <v>5302575.3499999996</v>
      </c>
      <c r="R3245" s="44" t="str">
        <f>VLOOKUP(F3245,'Set up'!$A$2:$E$56,5,FALSE)</f>
        <v>PD Chq</v>
      </c>
    </row>
    <row r="3246" spans="1:18" ht="15" customHeight="1" x14ac:dyDescent="0.3">
      <c r="A3246" s="4">
        <v>45561</v>
      </c>
      <c r="B3246" s="5">
        <f t="shared" si="881"/>
        <v>9</v>
      </c>
      <c r="C3246" s="5">
        <f t="shared" si="882"/>
        <v>2024</v>
      </c>
      <c r="D3246" s="5" t="s">
        <v>2917</v>
      </c>
      <c r="E3246" s="5" t="str">
        <f>VLOOKUP(F3246,'Set up'!$A$2:$C$56,2,FALSE)</f>
        <v>C00000003</v>
      </c>
      <c r="F3246" s="1" t="s">
        <v>20</v>
      </c>
      <c r="G3246" s="98" t="s">
        <v>17</v>
      </c>
      <c r="H3246" s="13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883"/>
        <v>45606</v>
      </c>
      <c r="L3246" s="5">
        <f t="shared" si="884"/>
        <v>11</v>
      </c>
      <c r="M3246" s="5">
        <f t="shared" si="885"/>
        <v>2024</v>
      </c>
      <c r="N3246" s="12">
        <v>220</v>
      </c>
      <c r="O3246" s="12"/>
      <c r="P3246" s="12">
        <f t="shared" si="886"/>
        <v>220</v>
      </c>
      <c r="Q3246" s="7">
        <f t="shared" si="887"/>
        <v>5302795.3499999996</v>
      </c>
      <c r="R3246" s="44" t="str">
        <f>VLOOKUP(F3246,'Set up'!$A$2:$E$56,5,FALSE)</f>
        <v>PD Chq</v>
      </c>
    </row>
    <row r="3247" spans="1:18" ht="15" customHeight="1" x14ac:dyDescent="0.3">
      <c r="A3247" s="4">
        <v>45561</v>
      </c>
      <c r="B3247" s="5">
        <f t="shared" si="881"/>
        <v>9</v>
      </c>
      <c r="C3247" s="5">
        <f t="shared" si="882"/>
        <v>2024</v>
      </c>
      <c r="D3247" s="5" t="s">
        <v>2917</v>
      </c>
      <c r="E3247" s="5" t="str">
        <f>VLOOKUP(F3247,'Set up'!$A$2:$C$56,2,FALSE)</f>
        <v>C00000003</v>
      </c>
      <c r="F3247" s="1" t="s">
        <v>20</v>
      </c>
      <c r="G3247" s="98" t="s">
        <v>2711</v>
      </c>
      <c r="H3247" s="13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883"/>
        <v>45606</v>
      </c>
      <c r="L3247" s="5">
        <f t="shared" si="884"/>
        <v>11</v>
      </c>
      <c r="M3247" s="5">
        <f t="shared" si="885"/>
        <v>2024</v>
      </c>
      <c r="N3247" s="12">
        <v>195</v>
      </c>
      <c r="O3247" s="12"/>
      <c r="P3247" s="12">
        <f t="shared" si="886"/>
        <v>195</v>
      </c>
      <c r="Q3247" s="7">
        <f t="shared" si="887"/>
        <v>5302990.3499999996</v>
      </c>
      <c r="R3247" s="44" t="str">
        <f>VLOOKUP(F3247,'Set up'!$A$2:$E$56,5,FALSE)</f>
        <v>PD Chq</v>
      </c>
    </row>
    <row r="3248" spans="1:18" ht="15" customHeight="1" x14ac:dyDescent="0.3">
      <c r="A3248" s="4">
        <v>45563</v>
      </c>
      <c r="B3248" s="5">
        <f t="shared" si="881"/>
        <v>9</v>
      </c>
      <c r="C3248" s="5">
        <f t="shared" si="882"/>
        <v>2024</v>
      </c>
      <c r="D3248" s="5" t="s">
        <v>2918</v>
      </c>
      <c r="E3248" s="5" t="str">
        <f>VLOOKUP(F3248,'Set up'!$A$2:$C$56,2,FALSE)</f>
        <v>C00000042</v>
      </c>
      <c r="F3248" s="1" t="s">
        <v>2013</v>
      </c>
      <c r="G3248" s="102" t="s">
        <v>2722</v>
      </c>
      <c r="H3248" s="13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883"/>
        <v>45563</v>
      </c>
      <c r="L3248" s="5">
        <f t="shared" si="884"/>
        <v>9</v>
      </c>
      <c r="M3248" s="5">
        <f t="shared" si="885"/>
        <v>2024</v>
      </c>
      <c r="N3248" s="12">
        <v>812.5</v>
      </c>
      <c r="O3248" s="12"/>
      <c r="P3248" s="12">
        <f t="shared" si="886"/>
        <v>812.5</v>
      </c>
      <c r="Q3248" s="7">
        <f t="shared" si="887"/>
        <v>5303802.8499999996</v>
      </c>
      <c r="R3248" s="44" t="str">
        <f>VLOOKUP(F3248,'Set up'!$A$2:$E$56,5,FALSE)</f>
        <v>Trsf</v>
      </c>
    </row>
    <row r="3249" spans="1:18" ht="15" customHeight="1" x14ac:dyDescent="0.3">
      <c r="A3249" s="4">
        <v>45563</v>
      </c>
      <c r="B3249" s="5">
        <f t="shared" si="881"/>
        <v>9</v>
      </c>
      <c r="C3249" s="5">
        <f t="shared" si="882"/>
        <v>2024</v>
      </c>
      <c r="D3249" s="5" t="s">
        <v>2919</v>
      </c>
      <c r="E3249" s="5" t="str">
        <f>VLOOKUP(F3249,'Set up'!$A$2:$C$56,2,FALSE)</f>
        <v>C00000042</v>
      </c>
      <c r="F3249" s="1" t="s">
        <v>2013</v>
      </c>
      <c r="G3249" s="124" t="s">
        <v>2625</v>
      </c>
      <c r="H3249" s="13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883"/>
        <v>45563</v>
      </c>
      <c r="L3249" s="5">
        <f t="shared" si="884"/>
        <v>9</v>
      </c>
      <c r="M3249" s="5">
        <f t="shared" si="885"/>
        <v>2024</v>
      </c>
      <c r="N3249" s="12">
        <v>20878</v>
      </c>
      <c r="O3249" s="12"/>
      <c r="P3249" s="12">
        <f t="shared" si="886"/>
        <v>20878</v>
      </c>
      <c r="Q3249" s="7">
        <f t="shared" si="887"/>
        <v>5324680.8499999996</v>
      </c>
      <c r="R3249" s="44" t="str">
        <f>VLOOKUP(F3249,'Set up'!$A$2:$E$56,5,FALSE)</f>
        <v>Trsf</v>
      </c>
    </row>
    <row r="3250" spans="1:18" ht="15" customHeight="1" x14ac:dyDescent="0.3">
      <c r="A3250" s="4">
        <v>45563</v>
      </c>
      <c r="B3250" s="5">
        <f t="shared" si="881"/>
        <v>9</v>
      </c>
      <c r="C3250" s="5">
        <f t="shared" si="882"/>
        <v>2024</v>
      </c>
      <c r="D3250" s="5" t="s">
        <v>2919</v>
      </c>
      <c r="E3250" s="5" t="str">
        <f>VLOOKUP(F3250,'Set up'!$A$2:$C$56,2,FALSE)</f>
        <v>C00000042</v>
      </c>
      <c r="F3250" s="1" t="s">
        <v>2013</v>
      </c>
      <c r="G3250" s="90" t="s">
        <v>1544</v>
      </c>
      <c r="H3250" s="13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883"/>
        <v>45563</v>
      </c>
      <c r="L3250" s="5">
        <f t="shared" si="884"/>
        <v>9</v>
      </c>
      <c r="M3250" s="5">
        <f t="shared" si="885"/>
        <v>2024</v>
      </c>
      <c r="N3250" s="12">
        <v>6726</v>
      </c>
      <c r="O3250" s="12"/>
      <c r="P3250" s="12">
        <f t="shared" si="886"/>
        <v>6726</v>
      </c>
      <c r="Q3250" s="7">
        <f t="shared" si="887"/>
        <v>5331406.8499999996</v>
      </c>
      <c r="R3250" s="44" t="str">
        <f>VLOOKUP(F3250,'Set up'!$A$2:$E$56,5,FALSE)</f>
        <v>Trsf</v>
      </c>
    </row>
    <row r="3251" spans="1:18" ht="15" customHeight="1" x14ac:dyDescent="0.3">
      <c r="A3251" s="4">
        <v>45563</v>
      </c>
      <c r="B3251" s="5">
        <f t="shared" si="881"/>
        <v>9</v>
      </c>
      <c r="C3251" s="5">
        <f t="shared" si="882"/>
        <v>2024</v>
      </c>
      <c r="D3251" s="5" t="s">
        <v>2919</v>
      </c>
      <c r="E3251" s="5" t="str">
        <f>VLOOKUP(F3251,'Set up'!$A$2:$C$56,2,FALSE)</f>
        <v>C00000042</v>
      </c>
      <c r="F3251" s="1" t="s">
        <v>2013</v>
      </c>
      <c r="G3251" s="90" t="s">
        <v>1923</v>
      </c>
      <c r="H3251" s="13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883"/>
        <v>45563</v>
      </c>
      <c r="L3251" s="5">
        <f t="shared" si="884"/>
        <v>9</v>
      </c>
      <c r="M3251" s="5">
        <f t="shared" si="885"/>
        <v>2024</v>
      </c>
      <c r="N3251" s="12">
        <v>4770</v>
      </c>
      <c r="O3251" s="12"/>
      <c r="P3251" s="12">
        <f t="shared" si="886"/>
        <v>4770</v>
      </c>
      <c r="Q3251" s="7">
        <f t="shared" si="887"/>
        <v>5336176.8499999996</v>
      </c>
      <c r="R3251" s="44" t="str">
        <f>VLOOKUP(F3251,'Set up'!$A$2:$E$56,5,FALSE)</f>
        <v>Trsf</v>
      </c>
    </row>
    <row r="3252" spans="1:18" ht="15" customHeight="1" x14ac:dyDescent="0.3">
      <c r="A3252" s="4">
        <v>45563</v>
      </c>
      <c r="B3252" s="5">
        <f t="shared" si="881"/>
        <v>9</v>
      </c>
      <c r="C3252" s="5">
        <f t="shared" si="882"/>
        <v>2024</v>
      </c>
      <c r="D3252" s="5" t="s">
        <v>2919</v>
      </c>
      <c r="E3252" s="5" t="str">
        <f>VLOOKUP(F3252,'Set up'!$A$2:$C$56,2,FALSE)</f>
        <v>C00000042</v>
      </c>
      <c r="F3252" s="1" t="s">
        <v>2013</v>
      </c>
      <c r="G3252" s="90" t="s">
        <v>1062</v>
      </c>
      <c r="H3252" s="13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883"/>
        <v>45563</v>
      </c>
      <c r="L3252" s="5">
        <f t="shared" si="884"/>
        <v>9</v>
      </c>
      <c r="M3252" s="5">
        <f t="shared" si="885"/>
        <v>2024</v>
      </c>
      <c r="N3252" s="12">
        <v>380</v>
      </c>
      <c r="O3252" s="12"/>
      <c r="P3252" s="12">
        <f t="shared" si="886"/>
        <v>380</v>
      </c>
      <c r="Q3252" s="7">
        <f t="shared" si="887"/>
        <v>5336556.8499999996</v>
      </c>
      <c r="R3252" s="44" t="str">
        <f>VLOOKUP(F3252,'Set up'!$A$2:$E$56,5,FALSE)</f>
        <v>Trsf</v>
      </c>
    </row>
    <row r="3253" spans="1:18" ht="15" customHeight="1" x14ac:dyDescent="0.3">
      <c r="A3253" s="4">
        <v>45563</v>
      </c>
      <c r="B3253" s="5">
        <f t="shared" si="881"/>
        <v>9</v>
      </c>
      <c r="C3253" s="5">
        <f t="shared" si="882"/>
        <v>2024</v>
      </c>
      <c r="D3253" s="5" t="s">
        <v>2919</v>
      </c>
      <c r="E3253" s="5" t="str">
        <f>VLOOKUP(F3253,'Set up'!$A$2:$C$56,2,FALSE)</f>
        <v>C00000042</v>
      </c>
      <c r="F3253" s="1" t="s">
        <v>2013</v>
      </c>
      <c r="G3253" s="90" t="s">
        <v>1074</v>
      </c>
      <c r="H3253" s="13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883"/>
        <v>45563</v>
      </c>
      <c r="L3253" s="5">
        <f t="shared" si="884"/>
        <v>9</v>
      </c>
      <c r="M3253" s="5">
        <f t="shared" si="885"/>
        <v>2024</v>
      </c>
      <c r="N3253" s="12">
        <v>2000</v>
      </c>
      <c r="O3253" s="12"/>
      <c r="P3253" s="12">
        <f t="shared" si="886"/>
        <v>2000</v>
      </c>
      <c r="Q3253" s="7">
        <f t="shared" si="887"/>
        <v>5338556.8499999996</v>
      </c>
      <c r="R3253" s="44" t="str">
        <f>VLOOKUP(F3253,'Set up'!$A$2:$E$56,5,FALSE)</f>
        <v>Trsf</v>
      </c>
    </row>
    <row r="3254" spans="1:18" ht="15" customHeight="1" x14ac:dyDescent="0.3">
      <c r="A3254" s="4">
        <v>45565</v>
      </c>
      <c r="B3254" s="5">
        <f t="shared" si="881"/>
        <v>9</v>
      </c>
      <c r="C3254" s="5">
        <f t="shared" si="882"/>
        <v>2024</v>
      </c>
      <c r="D3254" s="5" t="s">
        <v>2920</v>
      </c>
      <c r="E3254" s="5" t="str">
        <f>VLOOKUP(F3254,'Set up'!$A$2:$C$56,2,FALSE)</f>
        <v>C00000044</v>
      </c>
      <c r="F3254" s="1" t="s">
        <v>2959</v>
      </c>
      <c r="G3254" s="133" t="s">
        <v>1179</v>
      </c>
      <c r="H3254" s="13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883"/>
        <v>45565</v>
      </c>
      <c r="L3254" s="5">
        <f t="shared" si="884"/>
        <v>9</v>
      </c>
      <c r="M3254" s="5">
        <f t="shared" si="885"/>
        <v>2024</v>
      </c>
      <c r="N3254" s="12">
        <v>1672</v>
      </c>
      <c r="O3254" s="12"/>
      <c r="P3254" s="12">
        <f t="shared" si="886"/>
        <v>1672</v>
      </c>
      <c r="Q3254" s="7">
        <f t="shared" si="887"/>
        <v>5340228.8499999996</v>
      </c>
      <c r="R3254" s="44" t="str">
        <f>VLOOKUP(F3254,'Set up'!$A$2:$E$56,5,FALSE)</f>
        <v>Cash</v>
      </c>
    </row>
    <row r="3255" spans="1:18" s="10" customFormat="1" ht="15" customHeight="1" x14ac:dyDescent="0.3">
      <c r="A3255" s="125">
        <v>45565</v>
      </c>
      <c r="B3255" s="126">
        <f t="shared" si="881"/>
        <v>9</v>
      </c>
      <c r="C3255" s="126">
        <f t="shared" si="882"/>
        <v>2024</v>
      </c>
      <c r="D3255" s="126" t="s">
        <v>2920</v>
      </c>
      <c r="E3255" s="126" t="str">
        <f>VLOOKUP(F3255,'Set up'!$A$2:$C$56,2,FALSE)</f>
        <v>C00000044</v>
      </c>
      <c r="F3255" s="10" t="s">
        <v>2959</v>
      </c>
      <c r="G3255" s="130" t="s">
        <v>2643</v>
      </c>
      <c r="H3255" s="144">
        <v>2</v>
      </c>
      <c r="I3255" s="126" t="str">
        <f>VLOOKUP(F3255,'Set up'!$A$2:$C$56,3,FALSE)</f>
        <v>Cash</v>
      </c>
      <c r="J3255" s="126">
        <f>VLOOKUP(F3255,'Set up'!$A$2:$D$56,4,FALSE)</f>
        <v>0</v>
      </c>
      <c r="K3255" s="125">
        <f t="shared" si="883"/>
        <v>45565</v>
      </c>
      <c r="L3255" s="126">
        <f t="shared" si="884"/>
        <v>9</v>
      </c>
      <c r="M3255" s="126">
        <f t="shared" si="885"/>
        <v>2024</v>
      </c>
      <c r="N3255" s="34">
        <v>420</v>
      </c>
      <c r="O3255" s="34"/>
      <c r="P3255" s="34">
        <f t="shared" si="886"/>
        <v>420</v>
      </c>
      <c r="Q3255" s="7">
        <f t="shared" si="887"/>
        <v>5340648.8499999996</v>
      </c>
      <c r="R3255" s="128" t="str">
        <f>VLOOKUP(F3255,'Set up'!$A$2:$E$56,5,FALSE)</f>
        <v>Cash</v>
      </c>
    </row>
    <row r="3256" spans="1:18" ht="15" customHeight="1" x14ac:dyDescent="0.3">
      <c r="A3256" s="4">
        <v>45569</v>
      </c>
      <c r="B3256" s="5">
        <f t="shared" ref="B3256" si="888">MONTH(A3256)</f>
        <v>10</v>
      </c>
      <c r="C3256" s="5">
        <f t="shared" ref="C3256" si="889">YEAR(A3256)</f>
        <v>2024</v>
      </c>
      <c r="D3256" s="5" t="s">
        <v>2921</v>
      </c>
      <c r="E3256" s="5" t="str">
        <f>VLOOKUP(F3256,'Set up'!$A$2:$C$56,2,FALSE)</f>
        <v>C00000042</v>
      </c>
      <c r="F3256" s="1" t="s">
        <v>2013</v>
      </c>
      <c r="G3256" s="90" t="s">
        <v>1074</v>
      </c>
      <c r="H3256" s="135">
        <v>1</v>
      </c>
      <c r="I3256" s="5" t="str">
        <f>VLOOKUP(F3256,'Set up'!$A$2:$C$56,3,FALSE)</f>
        <v>Cash</v>
      </c>
      <c r="J3256" s="5">
        <f>VLOOKUP(F3256,'Set up'!$A$2:$D$56,4,FALSE)</f>
        <v>0</v>
      </c>
      <c r="K3256" s="4">
        <f t="shared" ref="K3256" si="890">A3256+J3256</f>
        <v>45569</v>
      </c>
      <c r="L3256" s="5">
        <f t="shared" ref="L3256" si="891">MONTH(K3256)</f>
        <v>10</v>
      </c>
      <c r="M3256" s="5">
        <f t="shared" ref="M3256" si="892">YEAR(K3256)</f>
        <v>2024</v>
      </c>
      <c r="N3256" s="12">
        <v>1000</v>
      </c>
      <c r="O3256" s="12"/>
      <c r="P3256" s="12">
        <f t="shared" ref="P3256" si="893">SUM(N3256+O3256)</f>
        <v>1000</v>
      </c>
      <c r="Q3256" s="7">
        <f t="shared" si="887"/>
        <v>5341648.8499999996</v>
      </c>
      <c r="R3256" s="44" t="str">
        <f>VLOOKUP(F3256,'Set up'!$A$2:$E$56,5,FALSE)</f>
        <v>Trsf</v>
      </c>
    </row>
    <row r="3257" spans="1:18" ht="15" customHeight="1" x14ac:dyDescent="0.3">
      <c r="A3257" s="4">
        <v>45573</v>
      </c>
      <c r="B3257" s="5">
        <f t="shared" ref="B3257:B3271" si="894">MONTH(A3257)</f>
        <v>10</v>
      </c>
      <c r="C3257" s="5">
        <f t="shared" ref="C3257:C3271" si="895">YEAR(A3257)</f>
        <v>2024</v>
      </c>
      <c r="D3257" s="5" t="s">
        <v>2922</v>
      </c>
      <c r="E3257" s="5" t="str">
        <f>VLOOKUP(F3257,'Set up'!$A$2:$C$56,2,FALSE)</f>
        <v>C00000050</v>
      </c>
      <c r="F3257" s="1" t="s">
        <v>2732</v>
      </c>
      <c r="G3257" s="132" t="s">
        <v>2628</v>
      </c>
      <c r="H3257" s="135">
        <v>1</v>
      </c>
      <c r="I3257" s="5" t="str">
        <f>VLOOKUP(F3257,'Set up'!$A$2:$C$56,3,FALSE)</f>
        <v>Cash</v>
      </c>
      <c r="J3257" s="5">
        <f>VLOOKUP(F3257,'Set up'!$A$2:$D$56,4,FALSE)</f>
        <v>0</v>
      </c>
      <c r="K3257" s="4">
        <f t="shared" ref="K3257:K3278" si="896">A3257+J3257</f>
        <v>45573</v>
      </c>
      <c r="L3257" s="5">
        <f t="shared" ref="L3257:L3271" si="897">MONTH(K3257)</f>
        <v>10</v>
      </c>
      <c r="M3257" s="5">
        <f t="shared" ref="M3257:M3271" si="898">YEAR(K3257)</f>
        <v>2024</v>
      </c>
      <c r="N3257" s="12">
        <v>1738</v>
      </c>
      <c r="O3257" s="12"/>
      <c r="P3257" s="12">
        <f t="shared" ref="P3257:P3271" si="899">SUM(N3257+O3257)</f>
        <v>1738</v>
      </c>
      <c r="Q3257" s="7">
        <f t="shared" si="887"/>
        <v>5343386.8499999996</v>
      </c>
      <c r="R3257" s="44" t="str">
        <f>VLOOKUP(F3257,'Set up'!$A$2:$E$56,5,FALSE)</f>
        <v>Cash</v>
      </c>
    </row>
    <row r="3258" spans="1:18" ht="15" customHeight="1" x14ac:dyDescent="0.3">
      <c r="A3258" s="4">
        <v>45573</v>
      </c>
      <c r="B3258" s="5">
        <f t="shared" si="894"/>
        <v>10</v>
      </c>
      <c r="C3258" s="5">
        <f t="shared" si="895"/>
        <v>2024</v>
      </c>
      <c r="D3258" s="5" t="s">
        <v>2922</v>
      </c>
      <c r="E3258" s="5" t="str">
        <f>VLOOKUP(F3258,'Set up'!$A$2:$C$56,2,FALSE)</f>
        <v>C00000050</v>
      </c>
      <c r="F3258" s="1" t="s">
        <v>2732</v>
      </c>
      <c r="G3258" s="98" t="s">
        <v>2199</v>
      </c>
      <c r="H3258" s="135">
        <v>2</v>
      </c>
      <c r="I3258" s="5" t="str">
        <f>VLOOKUP(F3258,'Set up'!$A$2:$C$56,3,FALSE)</f>
        <v>Cash</v>
      </c>
      <c r="J3258" s="5">
        <f>VLOOKUP(F3258,'Set up'!$A$2:$D$56,4,FALSE)</f>
        <v>0</v>
      </c>
      <c r="K3258" s="4">
        <f t="shared" si="896"/>
        <v>45573</v>
      </c>
      <c r="L3258" s="5">
        <f t="shared" si="897"/>
        <v>10</v>
      </c>
      <c r="M3258" s="5">
        <f t="shared" si="898"/>
        <v>2024</v>
      </c>
      <c r="N3258" s="12">
        <v>555</v>
      </c>
      <c r="O3258" s="12"/>
      <c r="P3258" s="12">
        <f t="shared" si="899"/>
        <v>555</v>
      </c>
      <c r="Q3258" s="7">
        <f t="shared" si="887"/>
        <v>5343941.8499999996</v>
      </c>
      <c r="R3258" s="44" t="str">
        <f>VLOOKUP(F3258,'Set up'!$A$2:$E$56,5,FALSE)</f>
        <v>Cash</v>
      </c>
    </row>
    <row r="3259" spans="1:18" ht="15" customHeight="1" x14ac:dyDescent="0.3">
      <c r="A3259" s="4">
        <v>45573</v>
      </c>
      <c r="B3259" s="5">
        <f t="shared" si="894"/>
        <v>10</v>
      </c>
      <c r="C3259" s="5">
        <f t="shared" si="895"/>
        <v>2024</v>
      </c>
      <c r="D3259" s="5" t="s">
        <v>2922</v>
      </c>
      <c r="E3259" s="5" t="str">
        <f>VLOOKUP(F3259,'Set up'!$A$2:$C$56,2,FALSE)</f>
        <v>C00000050</v>
      </c>
      <c r="F3259" s="1" t="s">
        <v>2732</v>
      </c>
      <c r="G3259" s="98" t="s">
        <v>1062</v>
      </c>
      <c r="H3259" s="135">
        <v>1</v>
      </c>
      <c r="I3259" s="5" t="str">
        <f>VLOOKUP(F3259,'Set up'!$A$2:$C$56,3,FALSE)</f>
        <v>Cash</v>
      </c>
      <c r="J3259" s="5">
        <f>VLOOKUP(F3259,'Set up'!$A$2:$D$56,4,FALSE)</f>
        <v>0</v>
      </c>
      <c r="K3259" s="4">
        <f t="shared" si="896"/>
        <v>45573</v>
      </c>
      <c r="L3259" s="5">
        <f t="shared" si="897"/>
        <v>10</v>
      </c>
      <c r="M3259" s="5">
        <f t="shared" si="898"/>
        <v>2024</v>
      </c>
      <c r="N3259" s="12">
        <v>95</v>
      </c>
      <c r="O3259" s="12"/>
      <c r="P3259" s="12">
        <f t="shared" si="899"/>
        <v>95</v>
      </c>
      <c r="Q3259" s="7">
        <f t="shared" si="887"/>
        <v>5344036.8499999996</v>
      </c>
      <c r="R3259" s="44" t="str">
        <f>VLOOKUP(F3259,'Set up'!$A$2:$E$56,5,FALSE)</f>
        <v>Cash</v>
      </c>
    </row>
    <row r="3260" spans="1:18" ht="15" customHeight="1" x14ac:dyDescent="0.3">
      <c r="A3260" s="4">
        <v>45574</v>
      </c>
      <c r="B3260" s="5">
        <f t="shared" si="894"/>
        <v>10</v>
      </c>
      <c r="C3260" s="5">
        <f t="shared" si="895"/>
        <v>2024</v>
      </c>
      <c r="D3260" s="5" t="s">
        <v>2923</v>
      </c>
      <c r="E3260" s="5" t="str">
        <f>VLOOKUP(F3260,'Set up'!$A$2:$C$56,2,FALSE)</f>
        <v>C00000042</v>
      </c>
      <c r="F3260" s="1" t="s">
        <v>2013</v>
      </c>
      <c r="G3260" s="102" t="s">
        <v>2722</v>
      </c>
      <c r="H3260" s="135">
        <v>1</v>
      </c>
      <c r="I3260" s="5" t="str">
        <f>VLOOKUP(F3260,'Set up'!$A$2:$C$56,3,FALSE)</f>
        <v>Cash</v>
      </c>
      <c r="J3260" s="5">
        <f>VLOOKUP(F3260,'Set up'!$A$2:$D$56,4,FALSE)</f>
        <v>0</v>
      </c>
      <c r="K3260" s="4">
        <f t="shared" si="896"/>
        <v>45574</v>
      </c>
      <c r="L3260" s="5">
        <f t="shared" si="897"/>
        <v>10</v>
      </c>
      <c r="M3260" s="5">
        <f t="shared" si="898"/>
        <v>2024</v>
      </c>
      <c r="N3260" s="12">
        <v>62.5</v>
      </c>
      <c r="O3260" s="12"/>
      <c r="P3260" s="12">
        <f t="shared" si="899"/>
        <v>62.5</v>
      </c>
      <c r="Q3260" s="7">
        <f t="shared" si="887"/>
        <v>5344099.3499999996</v>
      </c>
      <c r="R3260" s="44" t="str">
        <f>VLOOKUP(F3260,'Set up'!$A$2:$E$56,5,FALSE)</f>
        <v>Trsf</v>
      </c>
    </row>
    <row r="3261" spans="1:18" ht="15" customHeight="1" x14ac:dyDescent="0.3">
      <c r="A3261" s="4">
        <v>45574</v>
      </c>
      <c r="B3261" s="5">
        <f t="shared" si="894"/>
        <v>10</v>
      </c>
      <c r="C3261" s="5">
        <f t="shared" si="895"/>
        <v>2024</v>
      </c>
      <c r="D3261" s="5" t="s">
        <v>2924</v>
      </c>
      <c r="E3261" s="5" t="str">
        <f>VLOOKUP(F3261,'Set up'!$A$2:$C$56,2,FALSE)</f>
        <v>C00000042</v>
      </c>
      <c r="F3261" s="1" t="s">
        <v>2013</v>
      </c>
      <c r="G3261" s="124" t="s">
        <v>2625</v>
      </c>
      <c r="H3261" s="135">
        <v>5</v>
      </c>
      <c r="I3261" s="5" t="str">
        <f>VLOOKUP(F3261,'Set up'!$A$2:$C$56,3,FALSE)</f>
        <v>Cash</v>
      </c>
      <c r="J3261" s="5">
        <f>VLOOKUP(F3261,'Set up'!$A$2:$D$56,4,FALSE)</f>
        <v>0</v>
      </c>
      <c r="K3261" s="4">
        <f t="shared" si="896"/>
        <v>45574</v>
      </c>
      <c r="L3261" s="5">
        <f t="shared" si="897"/>
        <v>10</v>
      </c>
      <c r="M3261" s="5">
        <f t="shared" si="898"/>
        <v>2024</v>
      </c>
      <c r="N3261" s="12">
        <v>8030</v>
      </c>
      <c r="O3261" s="12"/>
      <c r="P3261" s="12">
        <f t="shared" si="899"/>
        <v>8030</v>
      </c>
      <c r="Q3261" s="7">
        <f t="shared" si="887"/>
        <v>5352129.3499999996</v>
      </c>
      <c r="R3261" s="44" t="str">
        <f>VLOOKUP(F3261,'Set up'!$A$2:$E$56,5,FALSE)</f>
        <v>Trsf</v>
      </c>
    </row>
    <row r="3262" spans="1:18" ht="15" customHeight="1" x14ac:dyDescent="0.3">
      <c r="A3262" s="4">
        <v>45574</v>
      </c>
      <c r="B3262" s="5">
        <f t="shared" si="894"/>
        <v>10</v>
      </c>
      <c r="C3262" s="5">
        <f t="shared" si="895"/>
        <v>2024</v>
      </c>
      <c r="D3262" s="5" t="s">
        <v>2924</v>
      </c>
      <c r="E3262" s="5" t="str">
        <f>VLOOKUP(F3262,'Set up'!$A$2:$C$56,2,FALSE)</f>
        <v>C00000042</v>
      </c>
      <c r="F3262" s="1" t="s">
        <v>2013</v>
      </c>
      <c r="G3262" s="90" t="s">
        <v>2199</v>
      </c>
      <c r="H3262" s="135">
        <v>15</v>
      </c>
      <c r="I3262" s="5" t="str">
        <f>VLOOKUP(F3262,'Set up'!$A$2:$C$56,3,FALSE)</f>
        <v>Cash</v>
      </c>
      <c r="J3262" s="5">
        <f>VLOOKUP(F3262,'Set up'!$A$2:$D$56,4,FALSE)</f>
        <v>0</v>
      </c>
      <c r="K3262" s="4">
        <f t="shared" si="896"/>
        <v>45574</v>
      </c>
      <c r="L3262" s="5">
        <f t="shared" si="897"/>
        <v>10</v>
      </c>
      <c r="M3262" s="5">
        <f t="shared" si="898"/>
        <v>2024</v>
      </c>
      <c r="N3262" s="12">
        <v>3219</v>
      </c>
      <c r="O3262" s="12"/>
      <c r="P3262" s="12">
        <f t="shared" si="899"/>
        <v>3219</v>
      </c>
      <c r="Q3262" s="7">
        <f t="shared" si="887"/>
        <v>5355348.3499999996</v>
      </c>
      <c r="R3262" s="44" t="str">
        <f>VLOOKUP(F3262,'Set up'!$A$2:$E$56,5,FALSE)</f>
        <v>Trsf</v>
      </c>
    </row>
    <row r="3263" spans="1:18" ht="15" customHeight="1" x14ac:dyDescent="0.3">
      <c r="A3263" s="4">
        <v>45574</v>
      </c>
      <c r="B3263" s="5">
        <f t="shared" si="894"/>
        <v>10</v>
      </c>
      <c r="C3263" s="5">
        <f t="shared" si="895"/>
        <v>2024</v>
      </c>
      <c r="D3263" s="5" t="s">
        <v>2924</v>
      </c>
      <c r="E3263" s="5" t="str">
        <f>VLOOKUP(F3263,'Set up'!$A$2:$C$56,2,FALSE)</f>
        <v>C00000042</v>
      </c>
      <c r="F3263" s="1" t="s">
        <v>2013</v>
      </c>
      <c r="G3263" s="90" t="s">
        <v>1074</v>
      </c>
      <c r="H3263" s="135">
        <v>1</v>
      </c>
      <c r="I3263" s="5" t="str">
        <f>VLOOKUP(F3263,'Set up'!$A$2:$C$56,3,FALSE)</f>
        <v>Cash</v>
      </c>
      <c r="J3263" s="5">
        <f>VLOOKUP(F3263,'Set up'!$A$2:$D$56,4,FALSE)</f>
        <v>0</v>
      </c>
      <c r="K3263" s="4">
        <f t="shared" si="896"/>
        <v>45574</v>
      </c>
      <c r="L3263" s="5">
        <f t="shared" si="897"/>
        <v>10</v>
      </c>
      <c r="M3263" s="5">
        <f t="shared" si="898"/>
        <v>2024</v>
      </c>
      <c r="N3263" s="12">
        <v>1000</v>
      </c>
      <c r="O3263" s="12"/>
      <c r="P3263" s="12">
        <f t="shared" si="899"/>
        <v>1000</v>
      </c>
      <c r="Q3263" s="7">
        <f t="shared" si="887"/>
        <v>5356348.3499999996</v>
      </c>
      <c r="R3263" s="44" t="str">
        <f>VLOOKUP(F3263,'Set up'!$A$2:$E$56,5,FALSE)</f>
        <v>Trsf</v>
      </c>
    </row>
    <row r="3264" spans="1:18" ht="15" customHeight="1" x14ac:dyDescent="0.3">
      <c r="A3264" s="4">
        <v>45574</v>
      </c>
      <c r="B3264" s="5">
        <f t="shared" si="894"/>
        <v>10</v>
      </c>
      <c r="C3264" s="5">
        <f t="shared" si="895"/>
        <v>2024</v>
      </c>
      <c r="D3264" s="5" t="s">
        <v>2925</v>
      </c>
      <c r="E3264" s="5" t="str">
        <f>VLOOKUP(F3264,'Set up'!$A$2:$C$56,2,FALSE)</f>
        <v>C00000019</v>
      </c>
      <c r="F3264" s="1" t="s">
        <v>401</v>
      </c>
      <c r="G3264" s="90" t="s">
        <v>95</v>
      </c>
      <c r="H3264" s="135">
        <v>1</v>
      </c>
      <c r="I3264" s="5" t="str">
        <f>VLOOKUP(F3264,'Set up'!$A$2:$C$56,3,FALSE)</f>
        <v>Cash</v>
      </c>
      <c r="J3264" s="5">
        <f>VLOOKUP(F3264,'Set up'!$A$2:$D$56,4,FALSE)</f>
        <v>0</v>
      </c>
      <c r="K3264" s="4">
        <f t="shared" si="896"/>
        <v>45574</v>
      </c>
      <c r="L3264" s="5">
        <f t="shared" si="897"/>
        <v>10</v>
      </c>
      <c r="M3264" s="5">
        <f t="shared" si="898"/>
        <v>2024</v>
      </c>
      <c r="N3264" s="97">
        <v>1738</v>
      </c>
      <c r="O3264" s="12"/>
      <c r="P3264" s="12">
        <f t="shared" si="899"/>
        <v>1738</v>
      </c>
      <c r="Q3264" s="7">
        <f t="shared" si="887"/>
        <v>5358086.3499999996</v>
      </c>
      <c r="R3264" s="44" t="str">
        <f>VLOOKUP(F3264,'Set up'!$A$2:$E$56,5,FALSE)</f>
        <v>Trsf</v>
      </c>
    </row>
    <row r="3265" spans="1:18" ht="15" customHeight="1" x14ac:dyDescent="0.3">
      <c r="A3265" s="4">
        <v>45574</v>
      </c>
      <c r="B3265" s="5">
        <f t="shared" si="894"/>
        <v>10</v>
      </c>
      <c r="C3265" s="5">
        <f t="shared" si="895"/>
        <v>2024</v>
      </c>
      <c r="D3265" s="5" t="s">
        <v>2925</v>
      </c>
      <c r="E3265" s="5" t="str">
        <f>VLOOKUP(F3265,'Set up'!$A$2:$C$56,2,FALSE)</f>
        <v>C00000019</v>
      </c>
      <c r="F3265" s="1" t="s">
        <v>401</v>
      </c>
      <c r="G3265" s="90" t="s">
        <v>1412</v>
      </c>
      <c r="H3265" s="135">
        <v>1</v>
      </c>
      <c r="I3265" s="5" t="str">
        <f>VLOOKUP(F3265,'Set up'!$A$2:$C$56,3,FALSE)</f>
        <v>Cash</v>
      </c>
      <c r="J3265" s="5">
        <f>VLOOKUP(F3265,'Set up'!$A$2:$D$56,4,FALSE)</f>
        <v>0</v>
      </c>
      <c r="K3265" s="4">
        <f t="shared" si="896"/>
        <v>45574</v>
      </c>
      <c r="L3265" s="5">
        <f t="shared" si="897"/>
        <v>10</v>
      </c>
      <c r="M3265" s="5">
        <f t="shared" si="898"/>
        <v>2024</v>
      </c>
      <c r="N3265" s="97">
        <v>405</v>
      </c>
      <c r="O3265" s="12"/>
      <c r="P3265" s="12">
        <f t="shared" si="899"/>
        <v>405</v>
      </c>
      <c r="Q3265" s="7">
        <f t="shared" si="887"/>
        <v>5358491.3499999996</v>
      </c>
      <c r="R3265" s="44" t="str">
        <f>VLOOKUP(F3265,'Set up'!$A$2:$E$56,5,FALSE)</f>
        <v>Trsf</v>
      </c>
    </row>
    <row r="3266" spans="1:18" ht="15" customHeight="1" x14ac:dyDescent="0.3">
      <c r="A3266" s="4">
        <v>45574</v>
      </c>
      <c r="B3266" s="5">
        <f t="shared" si="894"/>
        <v>10</v>
      </c>
      <c r="C3266" s="5">
        <f t="shared" si="895"/>
        <v>2024</v>
      </c>
      <c r="D3266" s="5" t="s">
        <v>2925</v>
      </c>
      <c r="E3266" s="5" t="str">
        <f>VLOOKUP(F3266,'Set up'!$A$2:$C$56,2,FALSE)</f>
        <v>C00000019</v>
      </c>
      <c r="F3266" s="1" t="s">
        <v>401</v>
      </c>
      <c r="G3266" s="90" t="s">
        <v>2711</v>
      </c>
      <c r="H3266" s="135">
        <v>3</v>
      </c>
      <c r="I3266" s="5" t="str">
        <f>VLOOKUP(F3266,'Set up'!$A$2:$C$56,3,FALSE)</f>
        <v>Cash</v>
      </c>
      <c r="J3266" s="5">
        <f>VLOOKUP(F3266,'Set up'!$A$2:$D$56,4,FALSE)</f>
        <v>0</v>
      </c>
      <c r="K3266" s="4">
        <f t="shared" si="896"/>
        <v>45574</v>
      </c>
      <c r="L3266" s="5">
        <f t="shared" si="897"/>
        <v>10</v>
      </c>
      <c r="M3266" s="5">
        <f t="shared" si="898"/>
        <v>2024</v>
      </c>
      <c r="N3266" s="12">
        <v>187.5</v>
      </c>
      <c r="O3266" s="12"/>
      <c r="P3266" s="12">
        <f t="shared" si="899"/>
        <v>187.5</v>
      </c>
      <c r="Q3266" s="7">
        <f t="shared" si="887"/>
        <v>5358678.8499999996</v>
      </c>
      <c r="R3266" s="44" t="str">
        <f>VLOOKUP(F3266,'Set up'!$A$2:$E$56,5,FALSE)</f>
        <v>Trsf</v>
      </c>
    </row>
    <row r="3267" spans="1:18" ht="15" customHeight="1" x14ac:dyDescent="0.3">
      <c r="A3267" s="4">
        <v>45577</v>
      </c>
      <c r="B3267" s="5">
        <f t="shared" si="894"/>
        <v>10</v>
      </c>
      <c r="C3267" s="5">
        <f t="shared" si="895"/>
        <v>2024</v>
      </c>
      <c r="D3267" s="5" t="s">
        <v>2926</v>
      </c>
      <c r="E3267" s="5" t="str">
        <f>VLOOKUP(F3267,'Set up'!$A$2:$C$56,2,FALSE)</f>
        <v>C00000042</v>
      </c>
      <c r="F3267" s="1" t="s">
        <v>2013</v>
      </c>
      <c r="G3267" s="102" t="s">
        <v>2722</v>
      </c>
      <c r="H3267" s="135">
        <v>2</v>
      </c>
      <c r="I3267" s="5" t="str">
        <f>VLOOKUP(F3267,'Set up'!$A$2:$C$56,3,FALSE)</f>
        <v>Cash</v>
      </c>
      <c r="J3267" s="5">
        <f>VLOOKUP(F3267,'Set up'!$A$2:$D$56,4,FALSE)</f>
        <v>0</v>
      </c>
      <c r="K3267" s="4">
        <f t="shared" si="896"/>
        <v>45577</v>
      </c>
      <c r="L3267" s="5">
        <f t="shared" si="897"/>
        <v>10</v>
      </c>
      <c r="M3267" s="5">
        <f t="shared" si="898"/>
        <v>2024</v>
      </c>
      <c r="N3267" s="12">
        <v>125</v>
      </c>
      <c r="O3267" s="12"/>
      <c r="P3267" s="12">
        <f t="shared" si="899"/>
        <v>125</v>
      </c>
      <c r="Q3267" s="7">
        <f t="shared" si="887"/>
        <v>5358803.8499999996</v>
      </c>
      <c r="R3267" s="44" t="str">
        <f>VLOOKUP(F3267,'Set up'!$A$2:$E$56,5,FALSE)</f>
        <v>Trsf</v>
      </c>
    </row>
    <row r="3268" spans="1:18" ht="15" customHeight="1" x14ac:dyDescent="0.3">
      <c r="A3268" s="4">
        <v>45577</v>
      </c>
      <c r="B3268" s="5">
        <f t="shared" si="894"/>
        <v>10</v>
      </c>
      <c r="C3268" s="5">
        <f t="shared" si="895"/>
        <v>2024</v>
      </c>
      <c r="D3268" s="5" t="s">
        <v>2927</v>
      </c>
      <c r="E3268" s="5" t="str">
        <f>VLOOKUP(F3268,'Set up'!$A$2:$C$56,2,FALSE)</f>
        <v>C00000042</v>
      </c>
      <c r="F3268" s="1" t="s">
        <v>2013</v>
      </c>
      <c r="G3268" s="124" t="s">
        <v>2625</v>
      </c>
      <c r="H3268" s="135">
        <v>2</v>
      </c>
      <c r="I3268" s="5" t="str">
        <f>VLOOKUP(F3268,'Set up'!$A$2:$C$56,3,FALSE)</f>
        <v>Cash</v>
      </c>
      <c r="J3268" s="5">
        <f>VLOOKUP(F3268,'Set up'!$A$2:$D$56,4,FALSE)</f>
        <v>0</v>
      </c>
      <c r="K3268" s="4">
        <f t="shared" si="896"/>
        <v>45577</v>
      </c>
      <c r="L3268" s="5">
        <f t="shared" si="897"/>
        <v>10</v>
      </c>
      <c r="M3268" s="5">
        <f t="shared" si="898"/>
        <v>2024</v>
      </c>
      <c r="N3268" s="12">
        <v>3212</v>
      </c>
      <c r="O3268" s="12"/>
      <c r="P3268" s="12">
        <f t="shared" si="899"/>
        <v>3212</v>
      </c>
      <c r="Q3268" s="7">
        <f t="shared" si="887"/>
        <v>5362015.8499999996</v>
      </c>
      <c r="R3268" s="44" t="str">
        <f>VLOOKUP(F3268,'Set up'!$A$2:$E$56,5,FALSE)</f>
        <v>Trsf</v>
      </c>
    </row>
    <row r="3269" spans="1:18" ht="15" customHeight="1" x14ac:dyDescent="0.3">
      <c r="A3269" s="4">
        <v>45577</v>
      </c>
      <c r="B3269" s="5">
        <f t="shared" si="894"/>
        <v>10</v>
      </c>
      <c r="C3269" s="5">
        <f t="shared" si="895"/>
        <v>2024</v>
      </c>
      <c r="D3269" s="5" t="s">
        <v>2927</v>
      </c>
      <c r="E3269" s="5" t="str">
        <f>VLOOKUP(F3269,'Set up'!$A$2:$C$56,2,FALSE)</f>
        <v>C00000042</v>
      </c>
      <c r="F3269" s="1" t="s">
        <v>2013</v>
      </c>
      <c r="G3269" s="90" t="s">
        <v>2199</v>
      </c>
      <c r="H3269" s="135">
        <v>2</v>
      </c>
      <c r="I3269" s="5" t="str">
        <f>VLOOKUP(F3269,'Set up'!$A$2:$C$56,3,FALSE)</f>
        <v>Cash</v>
      </c>
      <c r="J3269" s="5">
        <f>VLOOKUP(F3269,'Set up'!$A$2:$D$56,4,FALSE)</f>
        <v>0</v>
      </c>
      <c r="K3269" s="4">
        <f t="shared" si="896"/>
        <v>45577</v>
      </c>
      <c r="L3269" s="5">
        <f t="shared" si="897"/>
        <v>10</v>
      </c>
      <c r="M3269" s="5">
        <f t="shared" si="898"/>
        <v>2024</v>
      </c>
      <c r="N3269" s="12">
        <v>429.2</v>
      </c>
      <c r="O3269" s="12"/>
      <c r="P3269" s="12">
        <f t="shared" si="899"/>
        <v>429.2</v>
      </c>
      <c r="Q3269" s="7">
        <f t="shared" si="887"/>
        <v>5362445.05</v>
      </c>
      <c r="R3269" s="44" t="str">
        <f>VLOOKUP(F3269,'Set up'!$A$2:$E$56,5,FALSE)</f>
        <v>Trsf</v>
      </c>
    </row>
    <row r="3270" spans="1:18" ht="15" customHeight="1" x14ac:dyDescent="0.3">
      <c r="A3270" s="4">
        <v>45577</v>
      </c>
      <c r="B3270" s="5">
        <f t="shared" si="894"/>
        <v>10</v>
      </c>
      <c r="C3270" s="5">
        <f t="shared" si="895"/>
        <v>2024</v>
      </c>
      <c r="D3270" s="5" t="s">
        <v>2927</v>
      </c>
      <c r="E3270" s="5" t="str">
        <f>VLOOKUP(F3270,'Set up'!$A$2:$C$56,2,FALSE)</f>
        <v>C00000042</v>
      </c>
      <c r="F3270" s="1" t="s">
        <v>2013</v>
      </c>
      <c r="G3270" s="90" t="s">
        <v>1062</v>
      </c>
      <c r="H3270" s="135">
        <v>4</v>
      </c>
      <c r="I3270" s="5" t="str">
        <f>VLOOKUP(F3270,'Set up'!$A$2:$C$56,3,FALSE)</f>
        <v>Cash</v>
      </c>
      <c r="J3270" s="5">
        <f>VLOOKUP(F3270,'Set up'!$A$2:$D$56,4,FALSE)</f>
        <v>0</v>
      </c>
      <c r="K3270" s="4">
        <f t="shared" si="896"/>
        <v>45577</v>
      </c>
      <c r="L3270" s="5">
        <f t="shared" si="897"/>
        <v>10</v>
      </c>
      <c r="M3270" s="5">
        <f t="shared" si="898"/>
        <v>2024</v>
      </c>
      <c r="N3270" s="12">
        <v>380</v>
      </c>
      <c r="O3270" s="12"/>
      <c r="P3270" s="12">
        <f t="shared" si="899"/>
        <v>380</v>
      </c>
      <c r="Q3270" s="7">
        <f t="shared" si="887"/>
        <v>5362825.05</v>
      </c>
      <c r="R3270" s="44" t="str">
        <f>VLOOKUP(F3270,'Set up'!$A$2:$E$56,5,FALSE)</f>
        <v>Trsf</v>
      </c>
    </row>
    <row r="3271" spans="1:18" ht="15" customHeight="1" x14ac:dyDescent="0.3">
      <c r="A3271" s="4">
        <v>45579</v>
      </c>
      <c r="B3271" s="5">
        <f t="shared" si="894"/>
        <v>10</v>
      </c>
      <c r="C3271" s="5">
        <f t="shared" si="895"/>
        <v>2024</v>
      </c>
      <c r="D3271" s="5" t="s">
        <v>2928</v>
      </c>
      <c r="E3271" s="5" t="str">
        <f>VLOOKUP(F3271,'Set up'!$A$2:$C$56,2,FALSE)</f>
        <v>C00000010</v>
      </c>
      <c r="F3271" s="1" t="s">
        <v>62</v>
      </c>
      <c r="G3271" s="134" t="s">
        <v>1179</v>
      </c>
      <c r="H3271" s="135">
        <v>10</v>
      </c>
      <c r="I3271" s="5">
        <f>VLOOKUP(F3271,'Set up'!$A$2:$C$56,3,FALSE)</f>
        <v>120</v>
      </c>
      <c r="J3271" s="5">
        <f>VLOOKUP(F3271,'Set up'!$A$2:$D$56,4,FALSE)</f>
        <v>120</v>
      </c>
      <c r="K3271" s="4">
        <f t="shared" si="896"/>
        <v>45699</v>
      </c>
      <c r="L3271" s="5">
        <f t="shared" si="897"/>
        <v>2</v>
      </c>
      <c r="M3271" s="5">
        <f t="shared" si="898"/>
        <v>2025</v>
      </c>
      <c r="N3271" s="12">
        <v>16060</v>
      </c>
      <c r="O3271" s="12"/>
      <c r="P3271" s="12">
        <f t="shared" si="899"/>
        <v>16060</v>
      </c>
      <c r="Q3271" s="7">
        <f t="shared" si="887"/>
        <v>5378885.0499999998</v>
      </c>
      <c r="R3271" s="44" t="str">
        <f>VLOOKUP(F3271,'Set up'!$A$2:$E$56,5,FALSE)</f>
        <v>Trsf</v>
      </c>
    </row>
    <row r="3272" spans="1:18" ht="15" customHeight="1" x14ac:dyDescent="0.3">
      <c r="A3272" s="4">
        <v>45579</v>
      </c>
      <c r="B3272" s="5">
        <f t="shared" ref="B3272:B3334" si="900">MONTH(A3272)</f>
        <v>10</v>
      </c>
      <c r="C3272" s="5">
        <f t="shared" ref="C3272:C3334" si="901">YEAR(A3272)</f>
        <v>2024</v>
      </c>
      <c r="D3272" s="5" t="s">
        <v>2928</v>
      </c>
      <c r="E3272" s="5" t="str">
        <f>VLOOKUP(F3272,'Set up'!$A$2:$C$56,2,FALSE)</f>
        <v>C00000010</v>
      </c>
      <c r="F3272" s="1" t="s">
        <v>62</v>
      </c>
      <c r="G3272" s="90" t="s">
        <v>1544</v>
      </c>
      <c r="H3272" s="135">
        <v>10</v>
      </c>
      <c r="I3272" s="5">
        <f>VLOOKUP(F3272,'Set up'!$A$2:$C$56,3,FALSE)</f>
        <v>120</v>
      </c>
      <c r="J3272" s="5">
        <f>VLOOKUP(F3272,'Set up'!$A$2:$D$56,4,FALSE)</f>
        <v>120</v>
      </c>
      <c r="K3272" s="4">
        <f t="shared" si="896"/>
        <v>45699</v>
      </c>
      <c r="L3272" s="5">
        <f t="shared" ref="L3272:L3334" si="902">MONTH(K3272)</f>
        <v>2</v>
      </c>
      <c r="M3272" s="5">
        <f t="shared" ref="M3272:M3334" si="903">YEAR(K3272)</f>
        <v>2025</v>
      </c>
      <c r="N3272" s="12">
        <v>1740</v>
      </c>
      <c r="O3272" s="12"/>
      <c r="P3272" s="12">
        <f t="shared" ref="P3272:P3334" si="904">SUM(N3272+O3272)</f>
        <v>1740</v>
      </c>
      <c r="Q3272" s="7">
        <f t="shared" si="887"/>
        <v>5380625.0499999998</v>
      </c>
      <c r="R3272" s="44" t="str">
        <f>VLOOKUP(F3272,'Set up'!$A$2:$E$56,5,FALSE)</f>
        <v>Trsf</v>
      </c>
    </row>
    <row r="3273" spans="1:18" ht="15" customHeight="1" x14ac:dyDescent="0.3">
      <c r="A3273" s="4">
        <v>45579</v>
      </c>
      <c r="B3273" s="5">
        <f t="shared" si="900"/>
        <v>10</v>
      </c>
      <c r="C3273" s="5">
        <f t="shared" si="901"/>
        <v>2024</v>
      </c>
      <c r="D3273" s="5" t="s">
        <v>2928</v>
      </c>
      <c r="E3273" s="5" t="str">
        <f>VLOOKUP(F3273,'Set up'!$A$2:$C$56,2,FALSE)</f>
        <v>C00000010</v>
      </c>
      <c r="F3273" s="1" t="s">
        <v>62</v>
      </c>
      <c r="G3273" s="90" t="s">
        <v>2711</v>
      </c>
      <c r="H3273" s="135">
        <v>15</v>
      </c>
      <c r="I3273" s="5">
        <f>VLOOKUP(F3273,'Set up'!$A$2:$C$56,3,FALSE)</f>
        <v>120</v>
      </c>
      <c r="J3273" s="5">
        <f>VLOOKUP(F3273,'Set up'!$A$2:$D$56,4,FALSE)</f>
        <v>120</v>
      </c>
      <c r="K3273" s="4">
        <f t="shared" si="896"/>
        <v>45699</v>
      </c>
      <c r="L3273" s="5">
        <f t="shared" si="902"/>
        <v>2</v>
      </c>
      <c r="M3273" s="5">
        <f t="shared" si="903"/>
        <v>2025</v>
      </c>
      <c r="N3273" s="12">
        <v>862.5</v>
      </c>
      <c r="O3273" s="12"/>
      <c r="P3273" s="12">
        <f t="shared" si="904"/>
        <v>862.5</v>
      </c>
      <c r="Q3273" s="7">
        <f t="shared" si="887"/>
        <v>5381487.5499999998</v>
      </c>
      <c r="R3273" s="44" t="str">
        <f>VLOOKUP(F3273,'Set up'!$A$2:$E$56,5,FALSE)</f>
        <v>Trsf</v>
      </c>
    </row>
    <row r="3274" spans="1:18" ht="15" customHeight="1" x14ac:dyDescent="0.3">
      <c r="A3274" s="4">
        <v>45579</v>
      </c>
      <c r="B3274" s="5">
        <f t="shared" si="900"/>
        <v>10</v>
      </c>
      <c r="C3274" s="5">
        <f t="shared" si="901"/>
        <v>2024</v>
      </c>
      <c r="D3274" s="5" t="s">
        <v>2928</v>
      </c>
      <c r="E3274" s="5" t="str">
        <f>VLOOKUP(F3274,'Set up'!$A$2:$C$56,2,FALSE)</f>
        <v>C00000010</v>
      </c>
      <c r="F3274" s="1" t="s">
        <v>62</v>
      </c>
      <c r="G3274" s="11" t="s">
        <v>46</v>
      </c>
      <c r="H3274" s="135">
        <v>12</v>
      </c>
      <c r="I3274" s="5">
        <f>VLOOKUP(F3274,'Set up'!$A$2:$C$56,3,FALSE)</f>
        <v>120</v>
      </c>
      <c r="J3274" s="5">
        <f>VLOOKUP(F3274,'Set up'!$A$2:$D$56,4,FALSE)</f>
        <v>120</v>
      </c>
      <c r="K3274" s="4">
        <f t="shared" si="896"/>
        <v>45699</v>
      </c>
      <c r="L3274" s="5">
        <f t="shared" si="902"/>
        <v>2</v>
      </c>
      <c r="M3274" s="5">
        <f t="shared" si="903"/>
        <v>2025</v>
      </c>
      <c r="N3274" s="12">
        <v>1320</v>
      </c>
      <c r="O3274" s="12"/>
      <c r="P3274" s="12">
        <f t="shared" si="904"/>
        <v>1320</v>
      </c>
      <c r="Q3274" s="7">
        <f t="shared" si="887"/>
        <v>5382807.5499999998</v>
      </c>
      <c r="R3274" s="44" t="str">
        <f>VLOOKUP(F3274,'Set up'!$A$2:$E$56,5,FALSE)</f>
        <v>Trsf</v>
      </c>
    </row>
    <row r="3275" spans="1:18" ht="15" customHeight="1" x14ac:dyDescent="0.3">
      <c r="A3275" s="4">
        <v>45579</v>
      </c>
      <c r="B3275" s="5">
        <f t="shared" si="900"/>
        <v>10</v>
      </c>
      <c r="C3275" s="5">
        <f t="shared" si="901"/>
        <v>2024</v>
      </c>
      <c r="D3275" s="5" t="s">
        <v>2928</v>
      </c>
      <c r="E3275" s="5" t="str">
        <f>VLOOKUP(F3275,'Set up'!$A$2:$C$56,2,FALSE)</f>
        <v>C00000010</v>
      </c>
      <c r="F3275" s="1" t="s">
        <v>62</v>
      </c>
      <c r="G3275" s="134" t="s">
        <v>947</v>
      </c>
      <c r="H3275" s="135">
        <v>4</v>
      </c>
      <c r="I3275" s="5">
        <f>VLOOKUP(F3275,'Set up'!$A$2:$C$56,3,FALSE)</f>
        <v>120</v>
      </c>
      <c r="J3275" s="5">
        <f>VLOOKUP(F3275,'Set up'!$A$2:$D$56,4,FALSE)</f>
        <v>120</v>
      </c>
      <c r="K3275" s="4">
        <f t="shared" si="896"/>
        <v>45699</v>
      </c>
      <c r="L3275" s="5">
        <f t="shared" si="902"/>
        <v>2</v>
      </c>
      <c r="M3275" s="5">
        <f t="shared" si="903"/>
        <v>2025</v>
      </c>
      <c r="N3275" s="12">
        <v>230.4</v>
      </c>
      <c r="O3275" s="12"/>
      <c r="P3275" s="12">
        <f t="shared" si="904"/>
        <v>230.4</v>
      </c>
      <c r="Q3275" s="7">
        <f t="shared" si="887"/>
        <v>5383037.9500000002</v>
      </c>
      <c r="R3275" s="44" t="str">
        <f>VLOOKUP(F3275,'Set up'!$A$2:$E$56,5,FALSE)</f>
        <v>Trsf</v>
      </c>
    </row>
    <row r="3276" spans="1:18" ht="15" customHeight="1" x14ac:dyDescent="0.3">
      <c r="A3276" s="4">
        <v>45579</v>
      </c>
      <c r="B3276" s="5">
        <f t="shared" si="900"/>
        <v>10</v>
      </c>
      <c r="C3276" s="5">
        <f t="shared" si="901"/>
        <v>2024</v>
      </c>
      <c r="D3276" s="5" t="s">
        <v>2928</v>
      </c>
      <c r="E3276" s="5" t="str">
        <f>VLOOKUP(F3276,'Set up'!$A$2:$C$56,2,FALSE)</f>
        <v>C00000010</v>
      </c>
      <c r="F3276" s="1" t="s">
        <v>62</v>
      </c>
      <c r="G3276" s="98" t="s">
        <v>615</v>
      </c>
      <c r="H3276" s="135">
        <v>1</v>
      </c>
      <c r="I3276" s="5">
        <f>VLOOKUP(F3276,'Set up'!$A$2:$C$56,3,FALSE)</f>
        <v>120</v>
      </c>
      <c r="J3276" s="5">
        <f>VLOOKUP(F3276,'Set up'!$A$2:$D$56,4,FALSE)</f>
        <v>120</v>
      </c>
      <c r="K3276" s="4">
        <f t="shared" si="896"/>
        <v>45699</v>
      </c>
      <c r="L3276" s="5">
        <f t="shared" si="902"/>
        <v>2</v>
      </c>
      <c r="M3276" s="5">
        <f t="shared" si="903"/>
        <v>2025</v>
      </c>
      <c r="N3276" s="12">
        <v>395</v>
      </c>
      <c r="O3276" s="12"/>
      <c r="P3276" s="12">
        <f t="shared" si="904"/>
        <v>395</v>
      </c>
      <c r="Q3276" s="7">
        <f t="shared" si="887"/>
        <v>5383432.9500000002</v>
      </c>
      <c r="R3276" s="44" t="str">
        <f>VLOOKUP(F3276,'Set up'!$A$2:$E$56,5,FALSE)</f>
        <v>Trsf</v>
      </c>
    </row>
    <row r="3277" spans="1:18" ht="15" customHeight="1" x14ac:dyDescent="0.3">
      <c r="A3277" s="4">
        <v>45579</v>
      </c>
      <c r="B3277" s="5">
        <f t="shared" si="900"/>
        <v>10</v>
      </c>
      <c r="C3277" s="5">
        <f t="shared" si="901"/>
        <v>2024</v>
      </c>
      <c r="D3277" s="5" t="s">
        <v>2928</v>
      </c>
      <c r="E3277" s="5" t="str">
        <f>VLOOKUP(F3277,'Set up'!$A$2:$C$56,2,FALSE)</f>
        <v>C00000010</v>
      </c>
      <c r="F3277" s="1" t="s">
        <v>62</v>
      </c>
      <c r="G3277" s="90" t="s">
        <v>2522</v>
      </c>
      <c r="H3277" s="135">
        <v>1</v>
      </c>
      <c r="I3277" s="5">
        <f>VLOOKUP(F3277,'Set up'!$A$2:$C$56,3,FALSE)</f>
        <v>120</v>
      </c>
      <c r="J3277" s="5">
        <f>VLOOKUP(F3277,'Set up'!$A$2:$D$56,4,FALSE)</f>
        <v>120</v>
      </c>
      <c r="K3277" s="4">
        <f t="shared" si="896"/>
        <v>45699</v>
      </c>
      <c r="L3277" s="5">
        <f t="shared" si="902"/>
        <v>2</v>
      </c>
      <c r="M3277" s="5">
        <f t="shared" si="903"/>
        <v>2025</v>
      </c>
      <c r="N3277" s="12">
        <v>420</v>
      </c>
      <c r="O3277" s="12"/>
      <c r="P3277" s="12">
        <f t="shared" si="904"/>
        <v>420</v>
      </c>
      <c r="Q3277" s="7">
        <f t="shared" si="887"/>
        <v>5383852.9500000002</v>
      </c>
      <c r="R3277" s="44" t="str">
        <f>VLOOKUP(F3277,'Set up'!$A$2:$E$56,5,FALSE)</f>
        <v>Trsf</v>
      </c>
    </row>
    <row r="3278" spans="1:18" ht="15" customHeight="1" x14ac:dyDescent="0.3">
      <c r="A3278" s="4">
        <v>45579</v>
      </c>
      <c r="B3278" s="5">
        <f t="shared" si="900"/>
        <v>10</v>
      </c>
      <c r="C3278" s="5">
        <f t="shared" si="901"/>
        <v>2024</v>
      </c>
      <c r="D3278" s="5" t="s">
        <v>2928</v>
      </c>
      <c r="E3278" s="5" t="str">
        <f>VLOOKUP(F3278,'Set up'!$A$2:$C$56,2,FALSE)</f>
        <v>C00000010</v>
      </c>
      <c r="F3278" s="1" t="s">
        <v>62</v>
      </c>
      <c r="G3278" s="90" t="s">
        <v>1655</v>
      </c>
      <c r="H3278" s="135">
        <v>5</v>
      </c>
      <c r="I3278" s="5">
        <f>VLOOKUP(F3278,'Set up'!$A$2:$C$56,3,FALSE)</f>
        <v>120</v>
      </c>
      <c r="J3278" s="5">
        <f>VLOOKUP(F3278,'Set up'!$A$2:$D$56,4,FALSE)</f>
        <v>120</v>
      </c>
      <c r="K3278" s="4">
        <f t="shared" si="896"/>
        <v>45699</v>
      </c>
      <c r="L3278" s="5">
        <f t="shared" si="902"/>
        <v>2</v>
      </c>
      <c r="M3278" s="5">
        <f t="shared" si="903"/>
        <v>2025</v>
      </c>
      <c r="N3278" s="12">
        <v>1190</v>
      </c>
      <c r="O3278" s="12"/>
      <c r="P3278" s="12">
        <f t="shared" si="904"/>
        <v>1190</v>
      </c>
      <c r="Q3278" s="7">
        <f t="shared" si="887"/>
        <v>5385042.9500000002</v>
      </c>
      <c r="R3278" s="44" t="str">
        <f>VLOOKUP(F3278,'Set up'!$A$2:$E$56,5,FALSE)</f>
        <v>Trsf</v>
      </c>
    </row>
    <row r="3279" spans="1:18" ht="15" customHeight="1" x14ac:dyDescent="0.3">
      <c r="A3279" s="4">
        <v>45580</v>
      </c>
      <c r="B3279" s="5">
        <f t="shared" si="900"/>
        <v>10</v>
      </c>
      <c r="C3279" s="5">
        <f t="shared" si="901"/>
        <v>2024</v>
      </c>
      <c r="D3279" s="5" t="s">
        <v>2929</v>
      </c>
      <c r="E3279" s="5" t="str">
        <f>VLOOKUP(F3279,'Set up'!$A$2:$C$56,2,FALSE)</f>
        <v>C00000041</v>
      </c>
      <c r="F3279" s="1" t="s">
        <v>1705</v>
      </c>
      <c r="G3279" s="133" t="s">
        <v>2596</v>
      </c>
      <c r="H3279" s="135">
        <v>1</v>
      </c>
      <c r="I3279" s="5" t="str">
        <f>VLOOKUP(F3279,'Set up'!$A$2:$C$56,3,FALSE)</f>
        <v>Cash</v>
      </c>
      <c r="J3279" s="5">
        <f>VLOOKUP(F3279,'Set up'!$A$2:$D$56,4,FALSE)</f>
        <v>0</v>
      </c>
      <c r="K3279" s="4">
        <f t="shared" ref="K3272:K3334" si="905">A3279+J3279</f>
        <v>45580</v>
      </c>
      <c r="L3279" s="5">
        <f t="shared" si="902"/>
        <v>10</v>
      </c>
      <c r="M3279" s="5">
        <f t="shared" si="903"/>
        <v>2024</v>
      </c>
      <c r="N3279" s="12">
        <v>225</v>
      </c>
      <c r="O3279" s="12"/>
      <c r="P3279" s="12">
        <f t="shared" si="904"/>
        <v>225</v>
      </c>
      <c r="Q3279" s="7">
        <f t="shared" si="887"/>
        <v>5385267.9500000002</v>
      </c>
      <c r="R3279" s="44" t="str">
        <f>VLOOKUP(F3279,'Set up'!$A$2:$E$56,5,FALSE)</f>
        <v>Trsf</v>
      </c>
    </row>
    <row r="3280" spans="1:18" ht="15" customHeight="1" x14ac:dyDescent="0.3">
      <c r="A3280" s="4">
        <v>45580</v>
      </c>
      <c r="B3280" s="5">
        <f t="shared" si="900"/>
        <v>10</v>
      </c>
      <c r="C3280" s="5">
        <f t="shared" si="901"/>
        <v>2024</v>
      </c>
      <c r="D3280" s="5" t="s">
        <v>2930</v>
      </c>
      <c r="E3280" s="5" t="str">
        <f>VLOOKUP(F3280,'Set up'!$A$2:$C$56,2,FALSE)</f>
        <v>C00000042</v>
      </c>
      <c r="F3280" s="1" t="s">
        <v>2013</v>
      </c>
      <c r="G3280" s="102" t="s">
        <v>2722</v>
      </c>
      <c r="H3280" s="135">
        <v>10</v>
      </c>
      <c r="I3280" s="5" t="str">
        <f>VLOOKUP(F3280,'Set up'!$A$2:$C$56,3,FALSE)</f>
        <v>Cash</v>
      </c>
      <c r="J3280" s="5">
        <f>VLOOKUP(F3280,'Set up'!$A$2:$D$56,4,FALSE)</f>
        <v>0</v>
      </c>
      <c r="K3280" s="4">
        <f t="shared" si="905"/>
        <v>45580</v>
      </c>
      <c r="L3280" s="5">
        <f t="shared" si="902"/>
        <v>10</v>
      </c>
      <c r="M3280" s="5">
        <f t="shared" si="903"/>
        <v>2024</v>
      </c>
      <c r="N3280" s="12">
        <v>625</v>
      </c>
      <c r="O3280" s="12"/>
      <c r="P3280" s="12">
        <f t="shared" si="904"/>
        <v>625</v>
      </c>
      <c r="Q3280" s="7">
        <f t="shared" si="887"/>
        <v>5385892.9500000002</v>
      </c>
      <c r="R3280" s="44" t="str">
        <f>VLOOKUP(F3280,'Set up'!$A$2:$E$56,5,FALSE)</f>
        <v>Trsf</v>
      </c>
    </row>
    <row r="3281" spans="1:18" ht="15" customHeight="1" x14ac:dyDescent="0.3">
      <c r="A3281" s="4">
        <v>45580</v>
      </c>
      <c r="B3281" s="5">
        <f t="shared" si="900"/>
        <v>10</v>
      </c>
      <c r="C3281" s="5">
        <f t="shared" si="901"/>
        <v>2024</v>
      </c>
      <c r="D3281" s="5" t="s">
        <v>2931</v>
      </c>
      <c r="E3281" s="5" t="str">
        <f>VLOOKUP(F3281,'Set up'!$A$2:$C$56,2,FALSE)</f>
        <v>C00000042</v>
      </c>
      <c r="F3281" s="1" t="s">
        <v>2013</v>
      </c>
      <c r="G3281" s="124" t="s">
        <v>2625</v>
      </c>
      <c r="H3281" s="135">
        <v>10</v>
      </c>
      <c r="I3281" s="5" t="str">
        <f>VLOOKUP(F3281,'Set up'!$A$2:$C$56,3,FALSE)</f>
        <v>Cash</v>
      </c>
      <c r="J3281" s="5">
        <f>VLOOKUP(F3281,'Set up'!$A$2:$D$56,4,FALSE)</f>
        <v>0</v>
      </c>
      <c r="K3281" s="4">
        <f t="shared" si="905"/>
        <v>45580</v>
      </c>
      <c r="L3281" s="5">
        <f t="shared" si="902"/>
        <v>10</v>
      </c>
      <c r="M3281" s="5">
        <f t="shared" si="903"/>
        <v>2024</v>
      </c>
      <c r="N3281" s="12">
        <v>16060</v>
      </c>
      <c r="O3281" s="12"/>
      <c r="P3281" s="12">
        <f t="shared" si="904"/>
        <v>16060</v>
      </c>
      <c r="Q3281" s="7">
        <f t="shared" si="887"/>
        <v>5401952.9500000002</v>
      </c>
      <c r="R3281" s="44" t="str">
        <f>VLOOKUP(F3281,'Set up'!$A$2:$E$56,5,FALSE)</f>
        <v>Trsf</v>
      </c>
    </row>
    <row r="3282" spans="1:18" ht="15" customHeight="1" x14ac:dyDescent="0.3">
      <c r="A3282" s="4">
        <v>45580</v>
      </c>
      <c r="B3282" s="5">
        <f t="shared" si="900"/>
        <v>10</v>
      </c>
      <c r="C3282" s="5">
        <f t="shared" si="901"/>
        <v>2024</v>
      </c>
      <c r="D3282" s="5" t="s">
        <v>2931</v>
      </c>
      <c r="E3282" s="5" t="str">
        <f>VLOOKUP(F3282,'Set up'!$A$2:$C$56,2,FALSE)</f>
        <v>C00000042</v>
      </c>
      <c r="F3282" s="1" t="s">
        <v>2013</v>
      </c>
      <c r="G3282" s="90" t="s">
        <v>2199</v>
      </c>
      <c r="H3282" s="135">
        <v>30</v>
      </c>
      <c r="I3282" s="5" t="str">
        <f>VLOOKUP(F3282,'Set up'!$A$2:$C$56,3,FALSE)</f>
        <v>Cash</v>
      </c>
      <c r="J3282" s="5">
        <f>VLOOKUP(F3282,'Set up'!$A$2:$D$56,4,FALSE)</f>
        <v>0</v>
      </c>
      <c r="K3282" s="4">
        <f t="shared" si="905"/>
        <v>45580</v>
      </c>
      <c r="L3282" s="5">
        <f t="shared" si="902"/>
        <v>10</v>
      </c>
      <c r="M3282" s="5">
        <f t="shared" si="903"/>
        <v>2024</v>
      </c>
      <c r="N3282" s="12">
        <v>6438</v>
      </c>
      <c r="O3282" s="12"/>
      <c r="P3282" s="12">
        <f t="shared" si="904"/>
        <v>6438</v>
      </c>
      <c r="Q3282" s="7">
        <f t="shared" si="887"/>
        <v>5408390.9500000002</v>
      </c>
      <c r="R3282" s="44" t="str">
        <f>VLOOKUP(F3282,'Set up'!$A$2:$E$56,5,FALSE)</f>
        <v>Trsf</v>
      </c>
    </row>
    <row r="3283" spans="1:18" ht="15" customHeight="1" x14ac:dyDescent="0.3">
      <c r="A3283" s="4">
        <v>45580</v>
      </c>
      <c r="B3283" s="5">
        <f t="shared" si="900"/>
        <v>10</v>
      </c>
      <c r="C3283" s="5">
        <f t="shared" si="901"/>
        <v>2024</v>
      </c>
      <c r="D3283" s="5" t="s">
        <v>2931</v>
      </c>
      <c r="E3283" s="5" t="str">
        <f>VLOOKUP(F3283,'Set up'!$A$2:$C$56,2,FALSE)</f>
        <v>C00000042</v>
      </c>
      <c r="F3283" s="1" t="s">
        <v>2013</v>
      </c>
      <c r="G3283" s="90" t="s">
        <v>1923</v>
      </c>
      <c r="H3283" s="135">
        <v>15</v>
      </c>
      <c r="I3283" s="5" t="str">
        <f>VLOOKUP(F3283,'Set up'!$A$2:$C$56,3,FALSE)</f>
        <v>Cash</v>
      </c>
      <c r="J3283" s="5">
        <f>VLOOKUP(F3283,'Set up'!$A$2:$D$56,4,FALSE)</f>
        <v>0</v>
      </c>
      <c r="K3283" s="4">
        <f t="shared" si="905"/>
        <v>45580</v>
      </c>
      <c r="L3283" s="5">
        <f t="shared" si="902"/>
        <v>10</v>
      </c>
      <c r="M3283" s="5">
        <f t="shared" si="903"/>
        <v>2024</v>
      </c>
      <c r="N3283" s="12">
        <v>3577.5</v>
      </c>
      <c r="O3283" s="12"/>
      <c r="P3283" s="12">
        <f t="shared" si="904"/>
        <v>3577.5</v>
      </c>
      <c r="Q3283" s="7">
        <f t="shared" si="887"/>
        <v>5411968.4500000002</v>
      </c>
      <c r="R3283" s="44" t="str">
        <f>VLOOKUP(F3283,'Set up'!$A$2:$E$56,5,FALSE)</f>
        <v>Trsf</v>
      </c>
    </row>
    <row r="3284" spans="1:18" ht="15" customHeight="1" x14ac:dyDescent="0.3">
      <c r="A3284" s="4">
        <v>45580</v>
      </c>
      <c r="B3284" s="5">
        <f t="shared" si="900"/>
        <v>10</v>
      </c>
      <c r="C3284" s="5">
        <f t="shared" si="901"/>
        <v>2024</v>
      </c>
      <c r="D3284" s="5" t="s">
        <v>2931</v>
      </c>
      <c r="E3284" s="5" t="str">
        <f>VLOOKUP(F3284,'Set up'!$A$2:$C$56,2,FALSE)</f>
        <v>C00000042</v>
      </c>
      <c r="F3284" s="1" t="s">
        <v>2013</v>
      </c>
      <c r="G3284" s="90" t="s">
        <v>1062</v>
      </c>
      <c r="H3284" s="135">
        <v>4</v>
      </c>
      <c r="I3284" s="5" t="str">
        <f>VLOOKUP(F3284,'Set up'!$A$2:$C$56,3,FALSE)</f>
        <v>Cash</v>
      </c>
      <c r="J3284" s="5">
        <f>VLOOKUP(F3284,'Set up'!$A$2:$D$56,4,FALSE)</f>
        <v>0</v>
      </c>
      <c r="K3284" s="4">
        <f t="shared" si="905"/>
        <v>45580</v>
      </c>
      <c r="L3284" s="5">
        <f t="shared" si="902"/>
        <v>10</v>
      </c>
      <c r="M3284" s="5">
        <f t="shared" si="903"/>
        <v>2024</v>
      </c>
      <c r="N3284" s="12">
        <v>380</v>
      </c>
      <c r="O3284" s="12"/>
      <c r="P3284" s="12">
        <f t="shared" si="904"/>
        <v>380</v>
      </c>
      <c r="Q3284" s="7">
        <f t="shared" si="887"/>
        <v>5412348.4500000002</v>
      </c>
      <c r="R3284" s="44" t="str">
        <f>VLOOKUP(F3284,'Set up'!$A$2:$E$56,5,FALSE)</f>
        <v>Trsf</v>
      </c>
    </row>
    <row r="3285" spans="1:18" ht="15" customHeight="1" x14ac:dyDescent="0.3">
      <c r="A3285" s="4">
        <v>45580</v>
      </c>
      <c r="B3285" s="5">
        <f t="shared" si="900"/>
        <v>10</v>
      </c>
      <c r="C3285" s="5">
        <f t="shared" si="901"/>
        <v>2024</v>
      </c>
      <c r="D3285" s="5" t="s">
        <v>2931</v>
      </c>
      <c r="E3285" s="5" t="str">
        <f>VLOOKUP(F3285,'Set up'!$A$2:$C$56,2,FALSE)</f>
        <v>C00000042</v>
      </c>
      <c r="F3285" s="1" t="s">
        <v>2013</v>
      </c>
      <c r="G3285" s="90" t="s">
        <v>1074</v>
      </c>
      <c r="H3285" s="135">
        <v>1</v>
      </c>
      <c r="I3285" s="5" t="str">
        <f>VLOOKUP(F3285,'Set up'!$A$2:$C$56,3,FALSE)</f>
        <v>Cash</v>
      </c>
      <c r="J3285" s="5">
        <f>VLOOKUP(F3285,'Set up'!$A$2:$D$56,4,FALSE)</f>
        <v>0</v>
      </c>
      <c r="K3285" s="4">
        <f t="shared" si="905"/>
        <v>45580</v>
      </c>
      <c r="L3285" s="5">
        <f t="shared" si="902"/>
        <v>10</v>
      </c>
      <c r="M3285" s="5">
        <f t="shared" si="903"/>
        <v>2024</v>
      </c>
      <c r="N3285" s="12">
        <v>1000</v>
      </c>
      <c r="O3285" s="12"/>
      <c r="P3285" s="12">
        <f t="shared" si="904"/>
        <v>1000</v>
      </c>
      <c r="Q3285" s="7">
        <f t="shared" si="887"/>
        <v>5413348.4500000002</v>
      </c>
      <c r="R3285" s="44" t="str">
        <f>VLOOKUP(F3285,'Set up'!$A$2:$E$56,5,FALSE)</f>
        <v>Trsf</v>
      </c>
    </row>
    <row r="3286" spans="1:18" ht="15" customHeight="1" x14ac:dyDescent="0.3">
      <c r="A3286" s="4">
        <v>45582</v>
      </c>
      <c r="B3286" s="5">
        <f t="shared" si="900"/>
        <v>10</v>
      </c>
      <c r="C3286" s="5">
        <f t="shared" si="901"/>
        <v>2024</v>
      </c>
      <c r="D3286" s="5" t="s">
        <v>2932</v>
      </c>
      <c r="E3286" s="5" t="str">
        <f>VLOOKUP(F3286,'Set up'!$A$2:$C$56,2,FALSE)</f>
        <v>C00000037</v>
      </c>
      <c r="F3286" s="1" t="s">
        <v>1310</v>
      </c>
      <c r="G3286" s="11" t="s">
        <v>1895</v>
      </c>
      <c r="H3286" s="135">
        <v>3</v>
      </c>
      <c r="I3286" s="5">
        <f>VLOOKUP(F3286,'Set up'!$A$2:$C$56,3,FALSE)</f>
        <v>30</v>
      </c>
      <c r="J3286" s="5">
        <f>VLOOKUP(F3286,'Set up'!$A$2:$D$56,4,FALSE)</f>
        <v>30</v>
      </c>
      <c r="K3286" s="4">
        <f t="shared" si="905"/>
        <v>45612</v>
      </c>
      <c r="L3286" s="5">
        <f t="shared" si="902"/>
        <v>11</v>
      </c>
      <c r="M3286" s="5">
        <f t="shared" si="903"/>
        <v>2024</v>
      </c>
      <c r="N3286" s="12">
        <v>5214</v>
      </c>
      <c r="O3286" s="12"/>
      <c r="P3286" s="12">
        <f t="shared" si="904"/>
        <v>5214</v>
      </c>
      <c r="Q3286" s="7">
        <f t="shared" si="887"/>
        <v>5418562.4500000002</v>
      </c>
      <c r="R3286" s="44" t="str">
        <f>VLOOKUP(F3286,'Set up'!$A$2:$E$56,5,FALSE)</f>
        <v>Chq</v>
      </c>
    </row>
    <row r="3287" spans="1:18" ht="15" customHeight="1" x14ac:dyDescent="0.3">
      <c r="A3287" s="4">
        <v>45582</v>
      </c>
      <c r="B3287" s="5">
        <f t="shared" si="900"/>
        <v>10</v>
      </c>
      <c r="C3287" s="5">
        <f t="shared" si="901"/>
        <v>2024</v>
      </c>
      <c r="D3287" s="5" t="s">
        <v>2932</v>
      </c>
      <c r="E3287" s="5" t="str">
        <f>VLOOKUP(F3287,'Set up'!$A$2:$C$56,2,FALSE)</f>
        <v>C00000037</v>
      </c>
      <c r="F3287" s="1" t="s">
        <v>1310</v>
      </c>
      <c r="G3287" s="11" t="s">
        <v>708</v>
      </c>
      <c r="H3287" s="135">
        <v>2</v>
      </c>
      <c r="I3287" s="5">
        <f>VLOOKUP(F3287,'Set up'!$A$2:$C$56,3,FALSE)</f>
        <v>30</v>
      </c>
      <c r="J3287" s="5">
        <f>VLOOKUP(F3287,'Set up'!$A$2:$D$56,4,FALSE)</f>
        <v>30</v>
      </c>
      <c r="K3287" s="4">
        <f t="shared" si="905"/>
        <v>45612</v>
      </c>
      <c r="L3287" s="5">
        <f t="shared" si="902"/>
        <v>11</v>
      </c>
      <c r="M3287" s="5">
        <f t="shared" si="903"/>
        <v>2024</v>
      </c>
      <c r="N3287" s="12">
        <v>842.4</v>
      </c>
      <c r="O3287" s="12"/>
      <c r="P3287" s="12">
        <f t="shared" si="904"/>
        <v>842.4</v>
      </c>
      <c r="Q3287" s="7">
        <f t="shared" si="887"/>
        <v>5419404.8500000006</v>
      </c>
      <c r="R3287" s="44" t="str">
        <f>VLOOKUP(F3287,'Set up'!$A$2:$E$56,5,FALSE)</f>
        <v>Chq</v>
      </c>
    </row>
    <row r="3288" spans="1:18" ht="15" customHeight="1" x14ac:dyDescent="0.3">
      <c r="A3288" s="4">
        <v>45582</v>
      </c>
      <c r="B3288" s="5">
        <f t="shared" si="900"/>
        <v>10</v>
      </c>
      <c r="C3288" s="5">
        <f t="shared" si="901"/>
        <v>2024</v>
      </c>
      <c r="D3288" s="5" t="s">
        <v>2932</v>
      </c>
      <c r="E3288" s="5" t="str">
        <f>VLOOKUP(F3288,'Set up'!$A$2:$C$56,2,FALSE)</f>
        <v>C00000037</v>
      </c>
      <c r="F3288" s="1" t="s">
        <v>1310</v>
      </c>
      <c r="G3288" s="11" t="s">
        <v>2629</v>
      </c>
      <c r="H3288" s="135">
        <v>3</v>
      </c>
      <c r="I3288" s="5">
        <f>VLOOKUP(F3288,'Set up'!$A$2:$C$56,3,FALSE)</f>
        <v>30</v>
      </c>
      <c r="J3288" s="5">
        <f>VLOOKUP(F3288,'Set up'!$A$2:$D$56,4,FALSE)</f>
        <v>30</v>
      </c>
      <c r="K3288" s="4">
        <f t="shared" si="905"/>
        <v>45612</v>
      </c>
      <c r="L3288" s="5">
        <f t="shared" si="902"/>
        <v>11</v>
      </c>
      <c r="M3288" s="5">
        <f t="shared" si="903"/>
        <v>2024</v>
      </c>
      <c r="N3288" s="12">
        <v>1263.5999999999999</v>
      </c>
      <c r="O3288" s="12"/>
      <c r="P3288" s="12">
        <f t="shared" si="904"/>
        <v>1263.5999999999999</v>
      </c>
      <c r="Q3288" s="7">
        <f t="shared" si="887"/>
        <v>5420668.4500000002</v>
      </c>
      <c r="R3288" s="44" t="str">
        <f>VLOOKUP(F3288,'Set up'!$A$2:$E$56,5,FALSE)</f>
        <v>Chq</v>
      </c>
    </row>
    <row r="3289" spans="1:18" ht="15" customHeight="1" x14ac:dyDescent="0.3">
      <c r="A3289" s="4">
        <v>45582</v>
      </c>
      <c r="B3289" s="5">
        <f t="shared" si="900"/>
        <v>10</v>
      </c>
      <c r="C3289" s="5">
        <f t="shared" si="901"/>
        <v>2024</v>
      </c>
      <c r="D3289" s="5" t="s">
        <v>2932</v>
      </c>
      <c r="E3289" s="5" t="str">
        <f>VLOOKUP(F3289,'Set up'!$A$2:$C$56,2,FALSE)</f>
        <v>C00000037</v>
      </c>
      <c r="F3289" s="1" t="s">
        <v>1310</v>
      </c>
      <c r="G3289" s="98" t="s">
        <v>1406</v>
      </c>
      <c r="H3289" s="135">
        <v>5</v>
      </c>
      <c r="I3289" s="5">
        <f>VLOOKUP(F3289,'Set up'!$A$2:$C$56,3,FALSE)</f>
        <v>30</v>
      </c>
      <c r="J3289" s="5">
        <f>VLOOKUP(F3289,'Set up'!$A$2:$D$56,4,FALSE)</f>
        <v>30</v>
      </c>
      <c r="K3289" s="4">
        <f t="shared" si="905"/>
        <v>45612</v>
      </c>
      <c r="L3289" s="5">
        <f t="shared" si="902"/>
        <v>11</v>
      </c>
      <c r="M3289" s="5">
        <f t="shared" si="903"/>
        <v>2024</v>
      </c>
      <c r="N3289" s="12">
        <v>240</v>
      </c>
      <c r="O3289" s="12"/>
      <c r="P3289" s="12">
        <f t="shared" si="904"/>
        <v>240</v>
      </c>
      <c r="Q3289" s="7">
        <f t="shared" si="887"/>
        <v>5420908.4500000002</v>
      </c>
      <c r="R3289" s="44" t="str">
        <f>VLOOKUP(F3289,'Set up'!$A$2:$E$56,5,FALSE)</f>
        <v>Chq</v>
      </c>
    </row>
    <row r="3290" spans="1:18" ht="15" customHeight="1" x14ac:dyDescent="0.3">
      <c r="A3290" s="4">
        <v>45582</v>
      </c>
      <c r="B3290" s="5">
        <f t="shared" si="900"/>
        <v>10</v>
      </c>
      <c r="C3290" s="5">
        <f t="shared" si="901"/>
        <v>2024</v>
      </c>
      <c r="D3290" s="5" t="s">
        <v>2932</v>
      </c>
      <c r="E3290" s="5" t="str">
        <f>VLOOKUP(F3290,'Set up'!$A$2:$C$56,2,FALSE)</f>
        <v>C00000037</v>
      </c>
      <c r="F3290" s="1" t="s">
        <v>1310</v>
      </c>
      <c r="G3290" s="90" t="s">
        <v>2722</v>
      </c>
      <c r="H3290" s="135">
        <v>2</v>
      </c>
      <c r="I3290" s="5">
        <f>VLOOKUP(F3290,'Set up'!$A$2:$C$56,3,FALSE)</f>
        <v>30</v>
      </c>
      <c r="J3290" s="5">
        <f>VLOOKUP(F3290,'Set up'!$A$2:$D$56,4,FALSE)</f>
        <v>30</v>
      </c>
      <c r="K3290" s="4">
        <f t="shared" si="905"/>
        <v>45612</v>
      </c>
      <c r="L3290" s="5">
        <f t="shared" si="902"/>
        <v>11</v>
      </c>
      <c r="M3290" s="5">
        <f t="shared" si="903"/>
        <v>2024</v>
      </c>
      <c r="N3290" s="12">
        <v>125</v>
      </c>
      <c r="O3290" s="12"/>
      <c r="P3290" s="12">
        <f t="shared" si="904"/>
        <v>125</v>
      </c>
      <c r="Q3290" s="7">
        <f t="shared" si="887"/>
        <v>5421033.4500000002</v>
      </c>
      <c r="R3290" s="44" t="str">
        <f>VLOOKUP(F3290,'Set up'!$A$2:$E$56,5,FALSE)</f>
        <v>Chq</v>
      </c>
    </row>
    <row r="3291" spans="1:18" ht="15" customHeight="1" x14ac:dyDescent="0.3">
      <c r="A3291" s="4">
        <v>45582</v>
      </c>
      <c r="B3291" s="5">
        <f t="shared" si="900"/>
        <v>10</v>
      </c>
      <c r="C3291" s="5">
        <f t="shared" si="901"/>
        <v>2024</v>
      </c>
      <c r="D3291" s="5" t="s">
        <v>2932</v>
      </c>
      <c r="E3291" s="5" t="str">
        <f>VLOOKUP(F3291,'Set up'!$A$2:$C$56,2,FALSE)</f>
        <v>C00000037</v>
      </c>
      <c r="F3291" s="1" t="s">
        <v>1310</v>
      </c>
      <c r="G3291" s="98" t="s">
        <v>1062</v>
      </c>
      <c r="H3291" s="135">
        <v>1</v>
      </c>
      <c r="I3291" s="5">
        <f>VLOOKUP(F3291,'Set up'!$A$2:$C$56,3,FALSE)</f>
        <v>30</v>
      </c>
      <c r="J3291" s="5">
        <f>VLOOKUP(F3291,'Set up'!$A$2:$D$56,4,FALSE)</f>
        <v>30</v>
      </c>
      <c r="K3291" s="4">
        <f t="shared" si="905"/>
        <v>45612</v>
      </c>
      <c r="L3291" s="5">
        <f t="shared" si="902"/>
        <v>11</v>
      </c>
      <c r="M3291" s="5">
        <f t="shared" si="903"/>
        <v>2024</v>
      </c>
      <c r="N3291" s="12">
        <v>95</v>
      </c>
      <c r="O3291" s="12"/>
      <c r="P3291" s="12">
        <f t="shared" si="904"/>
        <v>95</v>
      </c>
      <c r="Q3291" s="7">
        <f t="shared" si="887"/>
        <v>5421128.4500000002</v>
      </c>
      <c r="R3291" s="44" t="str">
        <f>VLOOKUP(F3291,'Set up'!$A$2:$E$56,5,FALSE)</f>
        <v>Chq</v>
      </c>
    </row>
    <row r="3292" spans="1:18" ht="15" customHeight="1" x14ac:dyDescent="0.3">
      <c r="A3292" s="4">
        <v>45582</v>
      </c>
      <c r="B3292" s="5">
        <f t="shared" si="900"/>
        <v>10</v>
      </c>
      <c r="C3292" s="5">
        <f t="shared" si="901"/>
        <v>2024</v>
      </c>
      <c r="D3292" s="5" t="s">
        <v>2932</v>
      </c>
      <c r="E3292" s="5" t="str">
        <f>VLOOKUP(F3292,'Set up'!$A$2:$C$56,2,FALSE)</f>
        <v>C00000037</v>
      </c>
      <c r="F3292" s="1" t="s">
        <v>1310</v>
      </c>
      <c r="G3292" s="98" t="s">
        <v>2215</v>
      </c>
      <c r="H3292" s="135">
        <v>2</v>
      </c>
      <c r="I3292" s="5">
        <f>VLOOKUP(F3292,'Set up'!$A$2:$C$56,3,FALSE)</f>
        <v>30</v>
      </c>
      <c r="J3292" s="5">
        <f>VLOOKUP(F3292,'Set up'!$A$2:$D$56,4,FALSE)</f>
        <v>30</v>
      </c>
      <c r="K3292" s="4">
        <f t="shared" si="905"/>
        <v>45612</v>
      </c>
      <c r="L3292" s="5">
        <f t="shared" si="902"/>
        <v>11</v>
      </c>
      <c r="M3292" s="5">
        <f t="shared" si="903"/>
        <v>2024</v>
      </c>
      <c r="N3292" s="12">
        <v>572</v>
      </c>
      <c r="O3292" s="12"/>
      <c r="P3292" s="12">
        <f t="shared" si="904"/>
        <v>572</v>
      </c>
      <c r="Q3292" s="7">
        <f t="shared" si="887"/>
        <v>5421700.4500000002</v>
      </c>
      <c r="R3292" s="44" t="str">
        <f>VLOOKUP(F3292,'Set up'!$A$2:$E$56,5,FALSE)</f>
        <v>Chq</v>
      </c>
    </row>
    <row r="3293" spans="1:18" ht="15" customHeight="1" x14ac:dyDescent="0.3">
      <c r="A3293" s="4">
        <v>45582</v>
      </c>
      <c r="B3293" s="5">
        <f t="shared" si="900"/>
        <v>10</v>
      </c>
      <c r="C3293" s="5">
        <f t="shared" si="901"/>
        <v>2024</v>
      </c>
      <c r="D3293" s="5" t="s">
        <v>2932</v>
      </c>
      <c r="E3293" s="5" t="str">
        <f>VLOOKUP(F3293,'Set up'!$A$2:$C$56,2,FALSE)</f>
        <v>C00000037</v>
      </c>
      <c r="F3293" s="1" t="s">
        <v>1310</v>
      </c>
      <c r="G3293" s="98" t="s">
        <v>1470</v>
      </c>
      <c r="H3293" s="135">
        <v>1</v>
      </c>
      <c r="I3293" s="5">
        <f>VLOOKUP(F3293,'Set up'!$A$2:$C$56,3,FALSE)</f>
        <v>30</v>
      </c>
      <c r="J3293" s="5">
        <f>VLOOKUP(F3293,'Set up'!$A$2:$D$56,4,FALSE)</f>
        <v>30</v>
      </c>
      <c r="K3293" s="4">
        <f t="shared" si="905"/>
        <v>45612</v>
      </c>
      <c r="L3293" s="5">
        <f t="shared" si="902"/>
        <v>11</v>
      </c>
      <c r="M3293" s="5">
        <f t="shared" si="903"/>
        <v>2024</v>
      </c>
      <c r="N3293" s="12">
        <v>390</v>
      </c>
      <c r="O3293" s="12"/>
      <c r="P3293" s="12">
        <f t="shared" si="904"/>
        <v>390</v>
      </c>
      <c r="Q3293" s="7">
        <f t="shared" si="887"/>
        <v>5422090.4500000002</v>
      </c>
      <c r="R3293" s="44" t="str">
        <f>VLOOKUP(F3293,'Set up'!$A$2:$E$56,5,FALSE)</f>
        <v>Chq</v>
      </c>
    </row>
    <row r="3294" spans="1:18" ht="15" customHeight="1" x14ac:dyDescent="0.3">
      <c r="A3294" s="4">
        <v>45582</v>
      </c>
      <c r="B3294" s="5">
        <f t="shared" si="900"/>
        <v>10</v>
      </c>
      <c r="C3294" s="5">
        <f t="shared" si="901"/>
        <v>2024</v>
      </c>
      <c r="D3294" s="5" t="s">
        <v>2933</v>
      </c>
      <c r="E3294" s="5" t="str">
        <f>VLOOKUP(F3294,'Set up'!$A$2:$C$56,2,FALSE)</f>
        <v>C00000005</v>
      </c>
      <c r="F3294" s="1" t="s">
        <v>35</v>
      </c>
      <c r="G3294" s="11" t="s">
        <v>2625</v>
      </c>
      <c r="H3294" s="135">
        <v>1</v>
      </c>
      <c r="I3294" s="5" t="str">
        <f>VLOOKUP(F3294,'Set up'!$A$2:$C$56,3,FALSE)</f>
        <v>Cash</v>
      </c>
      <c r="J3294" s="5">
        <f>VLOOKUP(F3294,'Set up'!$A$2:$D$56,4,FALSE)</f>
        <v>0</v>
      </c>
      <c r="K3294" s="4">
        <f t="shared" si="905"/>
        <v>45582</v>
      </c>
      <c r="L3294" s="5">
        <f t="shared" si="902"/>
        <v>10</v>
      </c>
      <c r="M3294" s="5">
        <f t="shared" si="903"/>
        <v>2024</v>
      </c>
      <c r="N3294" s="95">
        <v>1694</v>
      </c>
      <c r="O3294" s="12"/>
      <c r="P3294" s="12">
        <f t="shared" si="904"/>
        <v>1694</v>
      </c>
      <c r="Q3294" s="7">
        <f t="shared" ref="Q3294:Q3336" si="906">SUM(Q3293+N3294)</f>
        <v>5423784.4500000002</v>
      </c>
      <c r="R3294" s="44" t="str">
        <f>VLOOKUP(F3294,'Set up'!$A$2:$E$56,5,FALSE)</f>
        <v>Chq</v>
      </c>
    </row>
    <row r="3295" spans="1:18" ht="15" customHeight="1" x14ac:dyDescent="0.3">
      <c r="A3295" s="4">
        <v>45582</v>
      </c>
      <c r="B3295" s="5">
        <f t="shared" si="900"/>
        <v>10</v>
      </c>
      <c r="C3295" s="5">
        <f t="shared" si="901"/>
        <v>2024</v>
      </c>
      <c r="D3295" s="5" t="s">
        <v>2933</v>
      </c>
      <c r="E3295" s="5" t="str">
        <f>VLOOKUP(F3295,'Set up'!$A$2:$C$56,2,FALSE)</f>
        <v>C00000005</v>
      </c>
      <c r="F3295" s="1" t="s">
        <v>35</v>
      </c>
      <c r="G3295" s="11" t="s">
        <v>2215</v>
      </c>
      <c r="H3295" s="135">
        <v>1</v>
      </c>
      <c r="I3295" s="5" t="str">
        <f>VLOOKUP(F3295,'Set up'!$A$2:$C$56,3,FALSE)</f>
        <v>Cash</v>
      </c>
      <c r="J3295" s="5">
        <f>VLOOKUP(F3295,'Set up'!$A$2:$D$56,4,FALSE)</f>
        <v>0</v>
      </c>
      <c r="K3295" s="4">
        <f t="shared" si="905"/>
        <v>45582</v>
      </c>
      <c r="L3295" s="5">
        <f t="shared" si="902"/>
        <v>10</v>
      </c>
      <c r="M3295" s="5">
        <f t="shared" si="903"/>
        <v>2024</v>
      </c>
      <c r="N3295" s="95">
        <v>270.60000000000002</v>
      </c>
      <c r="O3295" s="12"/>
      <c r="P3295" s="12">
        <f t="shared" si="904"/>
        <v>270.60000000000002</v>
      </c>
      <c r="Q3295" s="7">
        <f t="shared" si="906"/>
        <v>5424055.0499999998</v>
      </c>
      <c r="R3295" s="44" t="str">
        <f>VLOOKUP(F3295,'Set up'!$A$2:$E$56,5,FALSE)</f>
        <v>Chq</v>
      </c>
    </row>
    <row r="3296" spans="1:18" ht="15" customHeight="1" x14ac:dyDescent="0.3">
      <c r="A3296" s="4">
        <v>45582</v>
      </c>
      <c r="B3296" s="5">
        <f t="shared" si="900"/>
        <v>10</v>
      </c>
      <c r="C3296" s="5">
        <f t="shared" si="901"/>
        <v>2024</v>
      </c>
      <c r="D3296" s="5" t="s">
        <v>2934</v>
      </c>
      <c r="E3296" s="5" t="str">
        <f>VLOOKUP(F3296,'Set up'!$A$2:$C$56,2,FALSE)</f>
        <v>C00000050</v>
      </c>
      <c r="F3296" s="1" t="s">
        <v>2732</v>
      </c>
      <c r="G3296" s="132" t="s">
        <v>2628</v>
      </c>
      <c r="H3296" s="135">
        <v>1</v>
      </c>
      <c r="I3296" s="5" t="str">
        <f>VLOOKUP(F3296,'Set up'!$A$2:$C$56,3,FALSE)</f>
        <v>Cash</v>
      </c>
      <c r="J3296" s="5">
        <f>VLOOKUP(F3296,'Set up'!$A$2:$D$56,4,FALSE)</f>
        <v>0</v>
      </c>
      <c r="K3296" s="4">
        <f t="shared" si="905"/>
        <v>45582</v>
      </c>
      <c r="L3296" s="5">
        <f t="shared" si="902"/>
        <v>10</v>
      </c>
      <c r="M3296" s="5">
        <f t="shared" si="903"/>
        <v>2024</v>
      </c>
      <c r="N3296" s="95">
        <v>1738</v>
      </c>
      <c r="O3296" s="12"/>
      <c r="P3296" s="12">
        <f t="shared" si="904"/>
        <v>1738</v>
      </c>
      <c r="Q3296" s="7">
        <f t="shared" si="906"/>
        <v>5425793.0499999998</v>
      </c>
      <c r="R3296" s="44" t="str">
        <f>VLOOKUP(F3296,'Set up'!$A$2:$E$56,5,FALSE)</f>
        <v>Cash</v>
      </c>
    </row>
    <row r="3297" spans="1:18" ht="15" customHeight="1" x14ac:dyDescent="0.3">
      <c r="A3297" s="4">
        <v>45582</v>
      </c>
      <c r="B3297" s="5">
        <f t="shared" si="900"/>
        <v>10</v>
      </c>
      <c r="C3297" s="5">
        <f t="shared" si="901"/>
        <v>2024</v>
      </c>
      <c r="D3297" s="5" t="s">
        <v>2934</v>
      </c>
      <c r="E3297" s="5" t="str">
        <f>VLOOKUP(F3297,'Set up'!$A$2:$C$56,2,FALSE)</f>
        <v>C00000050</v>
      </c>
      <c r="F3297" s="1" t="s">
        <v>2732</v>
      </c>
      <c r="G3297" s="98" t="s">
        <v>2199</v>
      </c>
      <c r="H3297" s="135">
        <v>2</v>
      </c>
      <c r="I3297" s="5" t="str">
        <f>VLOOKUP(F3297,'Set up'!$A$2:$C$56,3,FALSE)</f>
        <v>Cash</v>
      </c>
      <c r="J3297" s="5">
        <f>VLOOKUP(F3297,'Set up'!$A$2:$D$56,4,FALSE)</f>
        <v>0</v>
      </c>
      <c r="K3297" s="4">
        <f t="shared" si="905"/>
        <v>45582</v>
      </c>
      <c r="L3297" s="5">
        <f t="shared" si="902"/>
        <v>10</v>
      </c>
      <c r="M3297" s="5">
        <f t="shared" si="903"/>
        <v>2024</v>
      </c>
      <c r="N3297" s="95">
        <v>555</v>
      </c>
      <c r="O3297" s="12"/>
      <c r="P3297" s="12">
        <f t="shared" si="904"/>
        <v>555</v>
      </c>
      <c r="Q3297" s="7">
        <f t="shared" si="906"/>
        <v>5426348.0499999998</v>
      </c>
      <c r="R3297" s="44" t="str">
        <f>VLOOKUP(F3297,'Set up'!$A$2:$E$56,5,FALSE)</f>
        <v>Cash</v>
      </c>
    </row>
    <row r="3298" spans="1:18" ht="15" customHeight="1" x14ac:dyDescent="0.3">
      <c r="A3298" s="4">
        <v>45582</v>
      </c>
      <c r="B3298" s="5">
        <f t="shared" si="900"/>
        <v>10</v>
      </c>
      <c r="C3298" s="5">
        <f t="shared" si="901"/>
        <v>2024</v>
      </c>
      <c r="D3298" s="5" t="s">
        <v>2934</v>
      </c>
      <c r="E3298" s="5" t="str">
        <f>VLOOKUP(F3298,'Set up'!$A$2:$C$56,2,FALSE)</f>
        <v>C00000050</v>
      </c>
      <c r="F3298" s="1" t="s">
        <v>2732</v>
      </c>
      <c r="G3298" s="98" t="s">
        <v>1062</v>
      </c>
      <c r="H3298" s="135">
        <v>1</v>
      </c>
      <c r="I3298" s="5" t="str">
        <f>VLOOKUP(F3298,'Set up'!$A$2:$C$56,3,FALSE)</f>
        <v>Cash</v>
      </c>
      <c r="J3298" s="5">
        <f>VLOOKUP(F3298,'Set up'!$A$2:$D$56,4,FALSE)</f>
        <v>0</v>
      </c>
      <c r="K3298" s="4">
        <f t="shared" si="905"/>
        <v>45582</v>
      </c>
      <c r="L3298" s="5">
        <f t="shared" si="902"/>
        <v>10</v>
      </c>
      <c r="M3298" s="5">
        <f t="shared" si="903"/>
        <v>2024</v>
      </c>
      <c r="N3298" s="95">
        <v>95</v>
      </c>
      <c r="O3298" s="12"/>
      <c r="P3298" s="12">
        <f t="shared" si="904"/>
        <v>95</v>
      </c>
      <c r="Q3298" s="7">
        <f t="shared" si="906"/>
        <v>5426443.0499999998</v>
      </c>
      <c r="R3298" s="44" t="str">
        <f>VLOOKUP(F3298,'Set up'!$A$2:$E$56,5,FALSE)</f>
        <v>Cash</v>
      </c>
    </row>
    <row r="3299" spans="1:18" ht="15" customHeight="1" x14ac:dyDescent="0.3">
      <c r="A3299" s="4">
        <v>45583</v>
      </c>
      <c r="B3299" s="5">
        <f t="shared" si="900"/>
        <v>10</v>
      </c>
      <c r="C3299" s="5">
        <f t="shared" si="901"/>
        <v>2024</v>
      </c>
      <c r="D3299" s="5" t="s">
        <v>2935</v>
      </c>
      <c r="E3299" s="5" t="str">
        <f>VLOOKUP(F3299,'Set up'!$A$2:$C$56,2,FALSE)</f>
        <v>C00000054</v>
      </c>
      <c r="F3299" s="1" t="s">
        <v>2901</v>
      </c>
      <c r="G3299" s="133" t="s">
        <v>1631</v>
      </c>
      <c r="H3299" s="135">
        <v>1</v>
      </c>
      <c r="I3299" s="5" t="str">
        <f>VLOOKUP(F3299,'Set up'!$A$2:$C$56,3,FALSE)</f>
        <v>Cash</v>
      </c>
      <c r="J3299" s="5">
        <f>VLOOKUP(F3299,'Set up'!$A$2:$D$56,4,FALSE)</f>
        <v>1</v>
      </c>
      <c r="K3299" s="4">
        <f t="shared" si="905"/>
        <v>45584</v>
      </c>
      <c r="L3299" s="5">
        <f t="shared" si="902"/>
        <v>10</v>
      </c>
      <c r="M3299" s="5">
        <f t="shared" si="903"/>
        <v>2024</v>
      </c>
      <c r="N3299" s="95">
        <v>300</v>
      </c>
      <c r="O3299" s="12"/>
      <c r="P3299" s="12">
        <f t="shared" si="904"/>
        <v>300</v>
      </c>
      <c r="Q3299" s="7">
        <f t="shared" si="906"/>
        <v>5426743.0499999998</v>
      </c>
      <c r="R3299" s="44" t="str">
        <f>VLOOKUP(F3299,'Set up'!$A$2:$E$56,5,FALSE)</f>
        <v>Cash</v>
      </c>
    </row>
    <row r="3300" spans="1:18" ht="15" customHeight="1" x14ac:dyDescent="0.3">
      <c r="A3300" s="4">
        <v>45583</v>
      </c>
      <c r="B3300" s="5">
        <f t="shared" si="900"/>
        <v>10</v>
      </c>
      <c r="C3300" s="5">
        <f t="shared" si="901"/>
        <v>2024</v>
      </c>
      <c r="D3300" s="5" t="s">
        <v>2935</v>
      </c>
      <c r="E3300" s="5" t="str">
        <f>VLOOKUP(F3300,'Set up'!$A$2:$C$56,2,FALSE)</f>
        <v>C00000054</v>
      </c>
      <c r="F3300" s="1" t="s">
        <v>2901</v>
      </c>
      <c r="G3300" s="116" t="s">
        <v>2643</v>
      </c>
      <c r="H3300" s="135">
        <v>1</v>
      </c>
      <c r="I3300" s="5" t="str">
        <f>VLOOKUP(F3300,'Set up'!$A$2:$C$56,3,FALSE)</f>
        <v>Cash</v>
      </c>
      <c r="J3300" s="5">
        <f>VLOOKUP(F3300,'Set up'!$A$2:$D$56,4,FALSE)</f>
        <v>1</v>
      </c>
      <c r="K3300" s="4">
        <f t="shared" si="905"/>
        <v>45584</v>
      </c>
      <c r="L3300" s="5">
        <f t="shared" si="902"/>
        <v>10</v>
      </c>
      <c r="M3300" s="5">
        <f t="shared" si="903"/>
        <v>2024</v>
      </c>
      <c r="N3300" s="95">
        <v>225</v>
      </c>
      <c r="O3300" s="12"/>
      <c r="P3300" s="12">
        <f t="shared" si="904"/>
        <v>225</v>
      </c>
      <c r="Q3300" s="7">
        <f t="shared" si="906"/>
        <v>5426968.0499999998</v>
      </c>
      <c r="R3300" s="44" t="str">
        <f>VLOOKUP(F3300,'Set up'!$A$2:$E$56,5,FALSE)</f>
        <v>Cash</v>
      </c>
    </row>
    <row r="3301" spans="1:18" ht="15" customHeight="1" x14ac:dyDescent="0.3">
      <c r="A3301" s="4">
        <v>45583</v>
      </c>
      <c r="B3301" s="5">
        <f t="shared" si="900"/>
        <v>10</v>
      </c>
      <c r="C3301" s="5">
        <f t="shared" si="901"/>
        <v>2024</v>
      </c>
      <c r="D3301" s="5" t="s">
        <v>2936</v>
      </c>
      <c r="E3301" s="5" t="str">
        <f>VLOOKUP(F3301,'Set up'!$A$2:$C$56,2,FALSE)</f>
        <v>C00000019</v>
      </c>
      <c r="F3301" s="1" t="s">
        <v>401</v>
      </c>
      <c r="G3301" s="90" t="s">
        <v>46</v>
      </c>
      <c r="H3301" s="135">
        <v>1</v>
      </c>
      <c r="I3301" s="5" t="str">
        <f>VLOOKUP(F3301,'Set up'!$A$2:$C$56,3,FALSE)</f>
        <v>Cash</v>
      </c>
      <c r="J3301" s="5">
        <f>VLOOKUP(F3301,'Set up'!$A$2:$D$56,4,FALSE)</f>
        <v>0</v>
      </c>
      <c r="K3301" s="4">
        <f t="shared" si="905"/>
        <v>45583</v>
      </c>
      <c r="L3301" s="5">
        <f t="shared" si="902"/>
        <v>10</v>
      </c>
      <c r="M3301" s="5">
        <f t="shared" si="903"/>
        <v>2024</v>
      </c>
      <c r="N3301" s="97">
        <v>110</v>
      </c>
      <c r="O3301" s="12"/>
      <c r="P3301" s="12">
        <f t="shared" si="904"/>
        <v>110</v>
      </c>
      <c r="Q3301" s="7">
        <f t="shared" si="906"/>
        <v>5427078.0499999998</v>
      </c>
      <c r="R3301" s="44" t="str">
        <f>VLOOKUP(F3301,'Set up'!$A$2:$E$56,5,FALSE)</f>
        <v>Trsf</v>
      </c>
    </row>
    <row r="3302" spans="1:18" ht="15" customHeight="1" x14ac:dyDescent="0.3">
      <c r="A3302" s="4">
        <v>45583</v>
      </c>
      <c r="B3302" s="5">
        <f t="shared" si="900"/>
        <v>10</v>
      </c>
      <c r="C3302" s="5">
        <f t="shared" si="901"/>
        <v>2024</v>
      </c>
      <c r="D3302" s="5" t="s">
        <v>2936</v>
      </c>
      <c r="E3302" s="5" t="str">
        <f>VLOOKUP(F3302,'Set up'!$A$2:$C$56,2,FALSE)</f>
        <v>C00000019</v>
      </c>
      <c r="F3302" s="1" t="s">
        <v>401</v>
      </c>
      <c r="G3302" s="90" t="s">
        <v>1470</v>
      </c>
      <c r="H3302" s="135">
        <v>1</v>
      </c>
      <c r="I3302" s="5" t="str">
        <f>VLOOKUP(F3302,'Set up'!$A$2:$C$56,3,FALSE)</f>
        <v>Cash</v>
      </c>
      <c r="J3302" s="5">
        <f>VLOOKUP(F3302,'Set up'!$A$2:$D$56,4,FALSE)</f>
        <v>0</v>
      </c>
      <c r="K3302" s="4">
        <f t="shared" si="905"/>
        <v>45583</v>
      </c>
      <c r="L3302" s="5">
        <f t="shared" si="902"/>
        <v>10</v>
      </c>
      <c r="M3302" s="5">
        <f t="shared" si="903"/>
        <v>2024</v>
      </c>
      <c r="N3302" s="97">
        <v>390</v>
      </c>
      <c r="O3302" s="12"/>
      <c r="P3302" s="12">
        <f t="shared" si="904"/>
        <v>390</v>
      </c>
      <c r="Q3302" s="7">
        <f t="shared" si="906"/>
        <v>5427468.0499999998</v>
      </c>
      <c r="R3302" s="44" t="str">
        <f>VLOOKUP(F3302,'Set up'!$A$2:$E$56,5,FALSE)</f>
        <v>Trsf</v>
      </c>
    </row>
    <row r="3303" spans="1:18" ht="15" customHeight="1" x14ac:dyDescent="0.3">
      <c r="A3303" s="4">
        <v>45586</v>
      </c>
      <c r="B3303" s="5">
        <f t="shared" si="900"/>
        <v>10</v>
      </c>
      <c r="C3303" s="5">
        <f t="shared" si="901"/>
        <v>2024</v>
      </c>
      <c r="D3303" s="5" t="s">
        <v>2937</v>
      </c>
      <c r="E3303" s="5" t="str">
        <f>VLOOKUP(F3303,'Set up'!$A$2:$C$56,2,FALSE)</f>
        <v>C00000044</v>
      </c>
      <c r="F3303" s="1" t="s">
        <v>2959</v>
      </c>
      <c r="G3303" s="133" t="s">
        <v>1564</v>
      </c>
      <c r="H3303" s="135">
        <v>1</v>
      </c>
      <c r="I3303" s="5" t="str">
        <f>VLOOKUP(F3303,'Set up'!$A$2:$C$56,3,FALSE)</f>
        <v>Cash</v>
      </c>
      <c r="J3303" s="5">
        <f>VLOOKUP(F3303,'Set up'!$A$2:$D$56,4,FALSE)</f>
        <v>0</v>
      </c>
      <c r="K3303" s="4">
        <f t="shared" si="905"/>
        <v>45586</v>
      </c>
      <c r="L3303" s="5">
        <f t="shared" si="902"/>
        <v>10</v>
      </c>
      <c r="M3303" s="5">
        <f t="shared" si="903"/>
        <v>2024</v>
      </c>
      <c r="N3303" s="95">
        <v>1694</v>
      </c>
      <c r="O3303" s="12"/>
      <c r="P3303" s="12">
        <f t="shared" si="904"/>
        <v>1694</v>
      </c>
      <c r="Q3303" s="7">
        <f t="shared" si="906"/>
        <v>5429162.0499999998</v>
      </c>
      <c r="R3303" s="44" t="str">
        <f>VLOOKUP(F3303,'Set up'!$A$2:$E$56,5,FALSE)</f>
        <v>Cash</v>
      </c>
    </row>
    <row r="3304" spans="1:18" ht="15" customHeight="1" x14ac:dyDescent="0.3">
      <c r="A3304" s="4">
        <v>45586</v>
      </c>
      <c r="B3304" s="5">
        <f t="shared" si="900"/>
        <v>10</v>
      </c>
      <c r="C3304" s="5">
        <f t="shared" si="901"/>
        <v>2024</v>
      </c>
      <c r="D3304" s="5" t="s">
        <v>2937</v>
      </c>
      <c r="E3304" s="5" t="str">
        <f>VLOOKUP(F3304,'Set up'!$A$2:$C$56,2,FALSE)</f>
        <v>C00000044</v>
      </c>
      <c r="F3304" s="1" t="s">
        <v>2959</v>
      </c>
      <c r="G3304" s="116" t="s">
        <v>2643</v>
      </c>
      <c r="H3304" s="135">
        <v>2</v>
      </c>
      <c r="I3304" s="5" t="str">
        <f>VLOOKUP(F3304,'Set up'!$A$2:$C$56,3,FALSE)</f>
        <v>Cash</v>
      </c>
      <c r="J3304" s="5">
        <f>VLOOKUP(F3304,'Set up'!$A$2:$D$56,4,FALSE)</f>
        <v>0</v>
      </c>
      <c r="K3304" s="4">
        <f t="shared" si="905"/>
        <v>45586</v>
      </c>
      <c r="L3304" s="5">
        <f t="shared" si="902"/>
        <v>10</v>
      </c>
      <c r="M3304" s="5">
        <f t="shared" si="903"/>
        <v>2024</v>
      </c>
      <c r="N3304" s="95">
        <v>432</v>
      </c>
      <c r="O3304" s="12"/>
      <c r="P3304" s="12">
        <f t="shared" si="904"/>
        <v>432</v>
      </c>
      <c r="Q3304" s="7">
        <f t="shared" si="906"/>
        <v>5429594.0499999998</v>
      </c>
      <c r="R3304" s="44" t="str">
        <f>VLOOKUP(F3304,'Set up'!$A$2:$E$56,5,FALSE)</f>
        <v>Cash</v>
      </c>
    </row>
    <row r="3305" spans="1:18" ht="15" customHeight="1" x14ac:dyDescent="0.3">
      <c r="A3305" s="4">
        <v>45586</v>
      </c>
      <c r="B3305" s="5">
        <f t="shared" si="900"/>
        <v>10</v>
      </c>
      <c r="C3305" s="5">
        <f t="shared" si="901"/>
        <v>2024</v>
      </c>
      <c r="D3305" s="5" t="s">
        <v>2937</v>
      </c>
      <c r="E3305" s="5" t="str">
        <f>VLOOKUP(F3305,'Set up'!$A$2:$C$56,2,FALSE)</f>
        <v>C00000044</v>
      </c>
      <c r="F3305" s="1" t="s">
        <v>2959</v>
      </c>
      <c r="G3305" s="116" t="s">
        <v>656</v>
      </c>
      <c r="H3305" s="135">
        <v>1</v>
      </c>
      <c r="I3305" s="5" t="str">
        <f>VLOOKUP(F3305,'Set up'!$A$2:$C$56,3,FALSE)</f>
        <v>Cash</v>
      </c>
      <c r="J3305" s="5">
        <f>VLOOKUP(F3305,'Set up'!$A$2:$D$56,4,FALSE)</f>
        <v>0</v>
      </c>
      <c r="K3305" s="4">
        <f t="shared" si="905"/>
        <v>45586</v>
      </c>
      <c r="L3305" s="5">
        <f t="shared" si="902"/>
        <v>10</v>
      </c>
      <c r="M3305" s="5">
        <f t="shared" si="903"/>
        <v>2024</v>
      </c>
      <c r="N3305" s="95">
        <v>280</v>
      </c>
      <c r="O3305" s="12"/>
      <c r="P3305" s="12">
        <f t="shared" si="904"/>
        <v>280</v>
      </c>
      <c r="Q3305" s="7">
        <f t="shared" si="906"/>
        <v>5429874.0499999998</v>
      </c>
      <c r="R3305" s="44" t="str">
        <f>VLOOKUP(F3305,'Set up'!$A$2:$E$56,5,FALSE)</f>
        <v>Cash</v>
      </c>
    </row>
    <row r="3306" spans="1:18" ht="15" customHeight="1" x14ac:dyDescent="0.3">
      <c r="A3306" s="4">
        <v>45587</v>
      </c>
      <c r="B3306" s="5">
        <f t="shared" si="900"/>
        <v>10</v>
      </c>
      <c r="C3306" s="5">
        <f t="shared" si="901"/>
        <v>2024</v>
      </c>
      <c r="D3306" s="5" t="s">
        <v>2938</v>
      </c>
      <c r="E3306" s="5" t="str">
        <f>VLOOKUP(F3306,'Set up'!$A$2:$C$56,2,FALSE)</f>
        <v>C00000042</v>
      </c>
      <c r="F3306" s="1" t="s">
        <v>2013</v>
      </c>
      <c r="G3306" s="102" t="s">
        <v>2722</v>
      </c>
      <c r="H3306" s="135">
        <v>2</v>
      </c>
      <c r="I3306" s="5" t="str">
        <f>VLOOKUP(F3306,'Set up'!$A$2:$C$56,3,FALSE)</f>
        <v>Cash</v>
      </c>
      <c r="J3306" s="5">
        <f>VLOOKUP(F3306,'Set up'!$A$2:$D$56,4,FALSE)</f>
        <v>0</v>
      </c>
      <c r="K3306" s="4">
        <f t="shared" si="905"/>
        <v>45587</v>
      </c>
      <c r="L3306" s="5">
        <f t="shared" si="902"/>
        <v>10</v>
      </c>
      <c r="M3306" s="5">
        <f t="shared" si="903"/>
        <v>2024</v>
      </c>
      <c r="N3306" s="12">
        <v>125</v>
      </c>
      <c r="O3306" s="12"/>
      <c r="P3306" s="12">
        <f t="shared" si="904"/>
        <v>125</v>
      </c>
      <c r="Q3306" s="7">
        <f t="shared" si="906"/>
        <v>5429999.0499999998</v>
      </c>
      <c r="R3306" s="44" t="str">
        <f>VLOOKUP(F3306,'Set up'!$A$2:$E$56,5,FALSE)</f>
        <v>Trsf</v>
      </c>
    </row>
    <row r="3307" spans="1:18" ht="15" customHeight="1" x14ac:dyDescent="0.3">
      <c r="A3307" s="4">
        <v>45587</v>
      </c>
      <c r="B3307" s="5">
        <f t="shared" si="900"/>
        <v>10</v>
      </c>
      <c r="C3307" s="5">
        <f t="shared" si="901"/>
        <v>2024</v>
      </c>
      <c r="D3307" s="5" t="s">
        <v>2939</v>
      </c>
      <c r="E3307" s="5" t="str">
        <f>VLOOKUP(F3307,'Set up'!$A$2:$C$56,2,FALSE)</f>
        <v>C00000042</v>
      </c>
      <c r="F3307" s="1" t="s">
        <v>2013</v>
      </c>
      <c r="G3307" s="124" t="s">
        <v>2625</v>
      </c>
      <c r="H3307" s="135">
        <v>2</v>
      </c>
      <c r="I3307" s="5" t="str">
        <f>VLOOKUP(F3307,'Set up'!$A$2:$C$56,3,FALSE)</f>
        <v>Cash</v>
      </c>
      <c r="J3307" s="5">
        <f>VLOOKUP(F3307,'Set up'!$A$2:$D$56,4,FALSE)</f>
        <v>0</v>
      </c>
      <c r="K3307" s="4">
        <f t="shared" si="905"/>
        <v>45587</v>
      </c>
      <c r="L3307" s="5">
        <f t="shared" si="902"/>
        <v>10</v>
      </c>
      <c r="M3307" s="5">
        <f t="shared" si="903"/>
        <v>2024</v>
      </c>
      <c r="N3307" s="12">
        <v>3212</v>
      </c>
      <c r="O3307" s="12"/>
      <c r="P3307" s="12">
        <f t="shared" si="904"/>
        <v>3212</v>
      </c>
      <c r="Q3307" s="7">
        <f t="shared" si="906"/>
        <v>5433211.0499999998</v>
      </c>
      <c r="R3307" s="44" t="str">
        <f>VLOOKUP(F3307,'Set up'!$A$2:$E$56,5,FALSE)</f>
        <v>Trsf</v>
      </c>
    </row>
    <row r="3308" spans="1:18" ht="15" customHeight="1" x14ac:dyDescent="0.3">
      <c r="A3308" s="4">
        <v>45587</v>
      </c>
      <c r="B3308" s="5">
        <f t="shared" si="900"/>
        <v>10</v>
      </c>
      <c r="C3308" s="5">
        <f t="shared" si="901"/>
        <v>2024</v>
      </c>
      <c r="D3308" s="5" t="s">
        <v>2939</v>
      </c>
      <c r="E3308" s="5" t="str">
        <f>VLOOKUP(F3308,'Set up'!$A$2:$C$56,2,FALSE)</f>
        <v>C00000042</v>
      </c>
      <c r="F3308" s="1" t="s">
        <v>2013</v>
      </c>
      <c r="G3308" s="90" t="s">
        <v>1544</v>
      </c>
      <c r="H3308" s="135">
        <v>4</v>
      </c>
      <c r="I3308" s="5" t="str">
        <f>VLOOKUP(F3308,'Set up'!$A$2:$C$56,3,FALSE)</f>
        <v>Cash</v>
      </c>
      <c r="J3308" s="5">
        <f>VLOOKUP(F3308,'Set up'!$A$2:$D$56,4,FALSE)</f>
        <v>0</v>
      </c>
      <c r="K3308" s="4">
        <f t="shared" si="905"/>
        <v>45587</v>
      </c>
      <c r="L3308" s="5">
        <f t="shared" si="902"/>
        <v>10</v>
      </c>
      <c r="M3308" s="5">
        <f t="shared" si="903"/>
        <v>2024</v>
      </c>
      <c r="N3308" s="12">
        <v>870</v>
      </c>
      <c r="O3308" s="12"/>
      <c r="P3308" s="12">
        <f t="shared" si="904"/>
        <v>870</v>
      </c>
      <c r="Q3308" s="7">
        <f t="shared" si="906"/>
        <v>5434081.0499999998</v>
      </c>
      <c r="R3308" s="44" t="str">
        <f>VLOOKUP(F3308,'Set up'!$A$2:$E$56,5,FALSE)</f>
        <v>Trsf</v>
      </c>
    </row>
    <row r="3309" spans="1:18" ht="15" customHeight="1" x14ac:dyDescent="0.3">
      <c r="A3309" s="4">
        <v>45587</v>
      </c>
      <c r="B3309" s="5">
        <f t="shared" si="900"/>
        <v>10</v>
      </c>
      <c r="C3309" s="5">
        <f t="shared" si="901"/>
        <v>2024</v>
      </c>
      <c r="D3309" s="5" t="s">
        <v>2939</v>
      </c>
      <c r="E3309" s="5" t="str">
        <f>VLOOKUP(F3309,'Set up'!$A$2:$C$56,2,FALSE)</f>
        <v>C00000042</v>
      </c>
      <c r="F3309" s="1" t="s">
        <v>2013</v>
      </c>
      <c r="G3309" s="90" t="s">
        <v>1923</v>
      </c>
      <c r="H3309" s="135">
        <v>3</v>
      </c>
      <c r="I3309" s="5" t="str">
        <f>VLOOKUP(F3309,'Set up'!$A$2:$C$56,3,FALSE)</f>
        <v>Cash</v>
      </c>
      <c r="J3309" s="5">
        <f>VLOOKUP(F3309,'Set up'!$A$2:$D$56,4,FALSE)</f>
        <v>0</v>
      </c>
      <c r="K3309" s="4">
        <f t="shared" si="905"/>
        <v>45587</v>
      </c>
      <c r="L3309" s="5">
        <f t="shared" si="902"/>
        <v>10</v>
      </c>
      <c r="M3309" s="5">
        <f t="shared" si="903"/>
        <v>2024</v>
      </c>
      <c r="N3309" s="12">
        <v>715.5</v>
      </c>
      <c r="O3309" s="12"/>
      <c r="P3309" s="12">
        <f t="shared" si="904"/>
        <v>715.5</v>
      </c>
      <c r="Q3309" s="7">
        <f t="shared" si="906"/>
        <v>5434796.5499999998</v>
      </c>
      <c r="R3309" s="44" t="str">
        <f>VLOOKUP(F3309,'Set up'!$A$2:$E$56,5,FALSE)</f>
        <v>Trsf</v>
      </c>
    </row>
    <row r="3310" spans="1:18" ht="15" customHeight="1" x14ac:dyDescent="0.3">
      <c r="A3310" s="4">
        <v>45587</v>
      </c>
      <c r="B3310" s="5">
        <f t="shared" si="900"/>
        <v>10</v>
      </c>
      <c r="C3310" s="5">
        <f t="shared" si="901"/>
        <v>2024</v>
      </c>
      <c r="D3310" s="5" t="s">
        <v>2939</v>
      </c>
      <c r="E3310" s="5" t="str">
        <f>VLOOKUP(F3310,'Set up'!$A$2:$C$56,2,FALSE)</f>
        <v>C00000042</v>
      </c>
      <c r="F3310" s="1" t="s">
        <v>2013</v>
      </c>
      <c r="G3310" s="90" t="s">
        <v>1062</v>
      </c>
      <c r="H3310" s="135">
        <v>4</v>
      </c>
      <c r="I3310" s="5" t="str">
        <f>VLOOKUP(F3310,'Set up'!$A$2:$C$56,3,FALSE)</f>
        <v>Cash</v>
      </c>
      <c r="J3310" s="5">
        <f>VLOOKUP(F3310,'Set up'!$A$2:$D$56,4,FALSE)</f>
        <v>0</v>
      </c>
      <c r="K3310" s="4">
        <f t="shared" si="905"/>
        <v>45587</v>
      </c>
      <c r="L3310" s="5">
        <f t="shared" si="902"/>
        <v>10</v>
      </c>
      <c r="M3310" s="5">
        <f t="shared" si="903"/>
        <v>2024</v>
      </c>
      <c r="N3310" s="12">
        <v>380</v>
      </c>
      <c r="O3310" s="12"/>
      <c r="P3310" s="12">
        <f t="shared" si="904"/>
        <v>380</v>
      </c>
      <c r="Q3310" s="7">
        <f t="shared" si="906"/>
        <v>5435176.5499999998</v>
      </c>
      <c r="R3310" s="44" t="str">
        <f>VLOOKUP(F3310,'Set up'!$A$2:$E$56,5,FALSE)</f>
        <v>Trsf</v>
      </c>
    </row>
    <row r="3311" spans="1:18" ht="15" customHeight="1" x14ac:dyDescent="0.3">
      <c r="A3311" s="4">
        <v>45587</v>
      </c>
      <c r="B3311" s="5">
        <f t="shared" si="900"/>
        <v>10</v>
      </c>
      <c r="C3311" s="5">
        <f t="shared" si="901"/>
        <v>2024</v>
      </c>
      <c r="D3311" s="5" t="s">
        <v>2939</v>
      </c>
      <c r="E3311" s="5" t="str">
        <f>VLOOKUP(F3311,'Set up'!$A$2:$C$56,2,FALSE)</f>
        <v>C00000042</v>
      </c>
      <c r="F3311" s="1" t="s">
        <v>2013</v>
      </c>
      <c r="G3311" s="90" t="s">
        <v>1074</v>
      </c>
      <c r="H3311" s="135">
        <v>1</v>
      </c>
      <c r="I3311" s="5" t="str">
        <f>VLOOKUP(F3311,'Set up'!$A$2:$C$56,3,FALSE)</f>
        <v>Cash</v>
      </c>
      <c r="J3311" s="5">
        <f>VLOOKUP(F3311,'Set up'!$A$2:$D$56,4,FALSE)</f>
        <v>0</v>
      </c>
      <c r="K3311" s="4">
        <f t="shared" si="905"/>
        <v>45587</v>
      </c>
      <c r="L3311" s="5">
        <f t="shared" si="902"/>
        <v>10</v>
      </c>
      <c r="M3311" s="5">
        <f t="shared" si="903"/>
        <v>2024</v>
      </c>
      <c r="N3311" s="12">
        <v>1000</v>
      </c>
      <c r="O3311" s="12"/>
      <c r="P3311" s="12">
        <f t="shared" si="904"/>
        <v>1000</v>
      </c>
      <c r="Q3311" s="7">
        <f t="shared" si="906"/>
        <v>5436176.5499999998</v>
      </c>
      <c r="R3311" s="44" t="str">
        <f>VLOOKUP(F3311,'Set up'!$A$2:$E$56,5,FALSE)</f>
        <v>Trsf</v>
      </c>
    </row>
    <row r="3312" spans="1:18" ht="15" customHeight="1" x14ac:dyDescent="0.3">
      <c r="A3312" s="4">
        <v>45587</v>
      </c>
      <c r="B3312" s="5">
        <f t="shared" ref="B3312:B3333" si="907">MONTH(A3312)</f>
        <v>10</v>
      </c>
      <c r="C3312" s="5">
        <f t="shared" ref="C3312:C3333" si="908">YEAR(A3312)</f>
        <v>2024</v>
      </c>
      <c r="D3312" s="5" t="s">
        <v>2940</v>
      </c>
      <c r="E3312" s="5" t="str">
        <f>VLOOKUP(F3312,'Set up'!$A$2:$C$56,2,FALSE)</f>
        <v>C00000051</v>
      </c>
      <c r="F3312" s="1" t="s">
        <v>2740</v>
      </c>
      <c r="G3312" s="133" t="s">
        <v>2643</v>
      </c>
      <c r="H3312" s="135">
        <v>1</v>
      </c>
      <c r="I3312" s="5" t="str">
        <f>VLOOKUP(F3312,'Set up'!$A$2:$C$56,3,FALSE)</f>
        <v>Cash</v>
      </c>
      <c r="J3312" s="5">
        <f>VLOOKUP(F3312,'Set up'!$A$2:$D$56,4,FALSE)</f>
        <v>0</v>
      </c>
      <c r="K3312" s="4">
        <f t="shared" ref="K3312:K3333" si="909">A3312+J3312</f>
        <v>45587</v>
      </c>
      <c r="L3312" s="5">
        <f t="shared" ref="L3312:L3333" si="910">MONTH(K3312)</f>
        <v>10</v>
      </c>
      <c r="M3312" s="5">
        <f t="shared" ref="M3312:M3333" si="911">YEAR(K3312)</f>
        <v>2024</v>
      </c>
      <c r="N3312" s="95">
        <v>231</v>
      </c>
      <c r="O3312" s="12"/>
      <c r="P3312" s="12">
        <f t="shared" ref="P3312:P3333" si="912">SUM(N3312+O3312)</f>
        <v>231</v>
      </c>
      <c r="Q3312" s="7">
        <f t="shared" si="906"/>
        <v>5436407.5499999998</v>
      </c>
      <c r="R3312" s="44" t="str">
        <f>VLOOKUP(F3312,'Set up'!$A$2:$E$56,5,FALSE)</f>
        <v>Cash</v>
      </c>
    </row>
    <row r="3313" spans="1:18" ht="15" customHeight="1" x14ac:dyDescent="0.3">
      <c r="A3313" s="4">
        <v>45587</v>
      </c>
      <c r="B3313" s="5">
        <f t="shared" si="907"/>
        <v>10</v>
      </c>
      <c r="C3313" s="5">
        <f t="shared" si="908"/>
        <v>2024</v>
      </c>
      <c r="D3313" s="5" t="s">
        <v>2941</v>
      </c>
      <c r="E3313" s="5" t="str">
        <f>VLOOKUP(F3313,'Set up'!$A$2:$C$56,2,FALSE)</f>
        <v>C00000019</v>
      </c>
      <c r="F3313" s="1" t="s">
        <v>401</v>
      </c>
      <c r="G3313" s="90" t="s">
        <v>95</v>
      </c>
      <c r="H3313" s="135">
        <v>1</v>
      </c>
      <c r="I3313" s="5" t="str">
        <f>VLOOKUP(F3313,'Set up'!$A$2:$C$56,3,FALSE)</f>
        <v>Cash</v>
      </c>
      <c r="J3313" s="5">
        <f>VLOOKUP(F3313,'Set up'!$A$2:$D$56,4,FALSE)</f>
        <v>0</v>
      </c>
      <c r="K3313" s="4">
        <f t="shared" si="909"/>
        <v>45587</v>
      </c>
      <c r="L3313" s="5">
        <f t="shared" si="910"/>
        <v>10</v>
      </c>
      <c r="M3313" s="5">
        <f t="shared" si="911"/>
        <v>2024</v>
      </c>
      <c r="N3313" s="97">
        <v>1738</v>
      </c>
      <c r="O3313" s="12"/>
      <c r="P3313" s="12">
        <f t="shared" si="912"/>
        <v>1738</v>
      </c>
      <c r="Q3313" s="7">
        <f t="shared" si="906"/>
        <v>5438145.5499999998</v>
      </c>
      <c r="R3313" s="44" t="str">
        <f>VLOOKUP(F3313,'Set up'!$A$2:$E$56,5,FALSE)</f>
        <v>Trsf</v>
      </c>
    </row>
    <row r="3314" spans="1:18" ht="15" customHeight="1" x14ac:dyDescent="0.3">
      <c r="A3314" s="4">
        <v>45588</v>
      </c>
      <c r="B3314" s="5">
        <f t="shared" si="907"/>
        <v>10</v>
      </c>
      <c r="C3314" s="5">
        <f t="shared" si="908"/>
        <v>2024</v>
      </c>
      <c r="D3314" s="5" t="s">
        <v>2942</v>
      </c>
      <c r="E3314" s="5" t="str">
        <f>VLOOKUP(F3314,'Set up'!$A$2:$C$56,2,FALSE)</f>
        <v>C00000010</v>
      </c>
      <c r="F3314" s="1" t="s">
        <v>62</v>
      </c>
      <c r="G3314" s="134" t="s">
        <v>1179</v>
      </c>
      <c r="H3314" s="135">
        <v>10</v>
      </c>
      <c r="I3314" s="5">
        <f>VLOOKUP(F3314,'Set up'!$A$2:$C$56,3,FALSE)</f>
        <v>120</v>
      </c>
      <c r="J3314" s="5">
        <f>VLOOKUP(F3314,'Set up'!$A$2:$D$56,4,FALSE)</f>
        <v>120</v>
      </c>
      <c r="K3314" s="4">
        <f t="shared" si="909"/>
        <v>45708</v>
      </c>
      <c r="L3314" s="5">
        <f t="shared" si="910"/>
        <v>2</v>
      </c>
      <c r="M3314" s="5">
        <f t="shared" si="911"/>
        <v>2025</v>
      </c>
      <c r="N3314" s="12">
        <v>16060</v>
      </c>
      <c r="O3314" s="12"/>
      <c r="P3314" s="12">
        <f t="shared" si="912"/>
        <v>16060</v>
      </c>
      <c r="Q3314" s="7">
        <f t="shared" si="906"/>
        <v>5454205.5499999998</v>
      </c>
      <c r="R3314" s="44" t="str">
        <f>VLOOKUP(F3314,'Set up'!$A$2:$E$56,5,FALSE)</f>
        <v>Trsf</v>
      </c>
    </row>
    <row r="3315" spans="1:18" ht="15" customHeight="1" x14ac:dyDescent="0.3">
      <c r="A3315" s="4">
        <v>45588</v>
      </c>
      <c r="B3315" s="5">
        <f t="shared" si="907"/>
        <v>10</v>
      </c>
      <c r="C3315" s="5">
        <f t="shared" si="908"/>
        <v>2024</v>
      </c>
      <c r="D3315" s="5" t="s">
        <v>2942</v>
      </c>
      <c r="E3315" s="5" t="str">
        <f>VLOOKUP(F3315,'Set up'!$A$2:$C$56,2,FALSE)</f>
        <v>C00000010</v>
      </c>
      <c r="F3315" s="1" t="s">
        <v>62</v>
      </c>
      <c r="G3315" s="90" t="s">
        <v>1544</v>
      </c>
      <c r="H3315" s="135">
        <v>10</v>
      </c>
      <c r="I3315" s="5">
        <f>VLOOKUP(F3315,'Set up'!$A$2:$C$56,3,FALSE)</f>
        <v>120</v>
      </c>
      <c r="J3315" s="5">
        <f>VLOOKUP(F3315,'Set up'!$A$2:$D$56,4,FALSE)</f>
        <v>120</v>
      </c>
      <c r="K3315" s="4">
        <f t="shared" si="909"/>
        <v>45708</v>
      </c>
      <c r="L3315" s="5">
        <f t="shared" si="910"/>
        <v>2</v>
      </c>
      <c r="M3315" s="5">
        <f t="shared" si="911"/>
        <v>2025</v>
      </c>
      <c r="N3315" s="12">
        <v>1740</v>
      </c>
      <c r="O3315" s="12"/>
      <c r="P3315" s="12">
        <f t="shared" si="912"/>
        <v>1740</v>
      </c>
      <c r="Q3315" s="7">
        <f t="shared" si="906"/>
        <v>5455945.5499999998</v>
      </c>
      <c r="R3315" s="44" t="str">
        <f>VLOOKUP(F3315,'Set up'!$A$2:$E$56,5,FALSE)</f>
        <v>Trsf</v>
      </c>
    </row>
    <row r="3316" spans="1:18" ht="15" customHeight="1" x14ac:dyDescent="0.3">
      <c r="A3316" s="4">
        <v>45588</v>
      </c>
      <c r="B3316" s="5">
        <f t="shared" si="907"/>
        <v>10</v>
      </c>
      <c r="C3316" s="5">
        <f t="shared" si="908"/>
        <v>2024</v>
      </c>
      <c r="D3316" s="5" t="s">
        <v>2942</v>
      </c>
      <c r="E3316" s="5" t="str">
        <f>VLOOKUP(F3316,'Set up'!$A$2:$C$56,2,FALSE)</f>
        <v>C00000010</v>
      </c>
      <c r="F3316" s="1" t="s">
        <v>62</v>
      </c>
      <c r="G3316" s="90" t="s">
        <v>2596</v>
      </c>
      <c r="H3316" s="135">
        <v>2</v>
      </c>
      <c r="I3316" s="5">
        <f>VLOOKUP(F3316,'Set up'!$A$2:$C$56,3,FALSE)</f>
        <v>120</v>
      </c>
      <c r="J3316" s="5">
        <f>VLOOKUP(F3316,'Set up'!$A$2:$D$56,4,FALSE)</f>
        <v>120</v>
      </c>
      <c r="K3316" s="4">
        <f t="shared" si="909"/>
        <v>45708</v>
      </c>
      <c r="L3316" s="5">
        <f t="shared" si="910"/>
        <v>2</v>
      </c>
      <c r="M3316" s="5">
        <f t="shared" si="911"/>
        <v>2025</v>
      </c>
      <c r="N3316" s="12">
        <v>348</v>
      </c>
      <c r="O3316" s="12"/>
      <c r="P3316" s="12">
        <f t="shared" si="912"/>
        <v>348</v>
      </c>
      <c r="Q3316" s="7">
        <f t="shared" si="906"/>
        <v>5456293.5499999998</v>
      </c>
      <c r="R3316" s="44" t="str">
        <f>VLOOKUP(F3316,'Set up'!$A$2:$E$56,5,FALSE)</f>
        <v>Trsf</v>
      </c>
    </row>
    <row r="3317" spans="1:18" ht="15" customHeight="1" x14ac:dyDescent="0.3">
      <c r="A3317" s="4">
        <v>45588</v>
      </c>
      <c r="B3317" s="5">
        <f t="shared" si="907"/>
        <v>10</v>
      </c>
      <c r="C3317" s="5">
        <f t="shared" si="908"/>
        <v>2024</v>
      </c>
      <c r="D3317" s="5" t="s">
        <v>2942</v>
      </c>
      <c r="E3317" s="5" t="str">
        <f>VLOOKUP(F3317,'Set up'!$A$2:$C$56,2,FALSE)</f>
        <v>C00000010</v>
      </c>
      <c r="F3317" s="1" t="s">
        <v>62</v>
      </c>
      <c r="G3317" s="11" t="s">
        <v>2711</v>
      </c>
      <c r="H3317" s="135">
        <v>15</v>
      </c>
      <c r="I3317" s="5">
        <f>VLOOKUP(F3317,'Set up'!$A$2:$C$56,3,FALSE)</f>
        <v>120</v>
      </c>
      <c r="J3317" s="5">
        <f>VLOOKUP(F3317,'Set up'!$A$2:$D$56,4,FALSE)</f>
        <v>120</v>
      </c>
      <c r="K3317" s="4">
        <f t="shared" si="909"/>
        <v>45708</v>
      </c>
      <c r="L3317" s="5">
        <f t="shared" si="910"/>
        <v>2</v>
      </c>
      <c r="M3317" s="5">
        <f t="shared" si="911"/>
        <v>2025</v>
      </c>
      <c r="N3317" s="12">
        <v>862.5</v>
      </c>
      <c r="O3317" s="12"/>
      <c r="P3317" s="12">
        <f t="shared" si="912"/>
        <v>862.5</v>
      </c>
      <c r="Q3317" s="7">
        <f t="shared" si="906"/>
        <v>5457156.0499999998</v>
      </c>
      <c r="R3317" s="44" t="str">
        <f>VLOOKUP(F3317,'Set up'!$A$2:$E$56,5,FALSE)</f>
        <v>Trsf</v>
      </c>
    </row>
    <row r="3318" spans="1:18" ht="15" customHeight="1" x14ac:dyDescent="0.3">
      <c r="A3318" s="4">
        <v>45588</v>
      </c>
      <c r="B3318" s="5">
        <f t="shared" si="907"/>
        <v>10</v>
      </c>
      <c r="C3318" s="5">
        <f t="shared" si="908"/>
        <v>2024</v>
      </c>
      <c r="D3318" s="5" t="s">
        <v>2942</v>
      </c>
      <c r="E3318" s="5" t="str">
        <f>VLOOKUP(F3318,'Set up'!$A$2:$C$56,2,FALSE)</f>
        <v>C00000010</v>
      </c>
      <c r="F3318" s="1" t="s">
        <v>62</v>
      </c>
      <c r="G3318" s="134" t="s">
        <v>46</v>
      </c>
      <c r="H3318" s="135">
        <v>4</v>
      </c>
      <c r="I3318" s="5">
        <f>VLOOKUP(F3318,'Set up'!$A$2:$C$56,3,FALSE)</f>
        <v>120</v>
      </c>
      <c r="J3318" s="5">
        <f>VLOOKUP(F3318,'Set up'!$A$2:$D$56,4,FALSE)</f>
        <v>120</v>
      </c>
      <c r="K3318" s="4">
        <f t="shared" si="909"/>
        <v>45708</v>
      </c>
      <c r="L3318" s="5">
        <f t="shared" si="910"/>
        <v>2</v>
      </c>
      <c r="M3318" s="5">
        <f t="shared" si="911"/>
        <v>2025</v>
      </c>
      <c r="N3318" s="12">
        <v>440</v>
      </c>
      <c r="O3318" s="12"/>
      <c r="P3318" s="12">
        <f t="shared" si="912"/>
        <v>440</v>
      </c>
      <c r="Q3318" s="7">
        <f t="shared" si="906"/>
        <v>5457596.0499999998</v>
      </c>
      <c r="R3318" s="44" t="str">
        <f>VLOOKUP(F3318,'Set up'!$A$2:$E$56,5,FALSE)</f>
        <v>Trsf</v>
      </c>
    </row>
    <row r="3319" spans="1:18" ht="15" customHeight="1" x14ac:dyDescent="0.3">
      <c r="A3319" s="4">
        <v>45588</v>
      </c>
      <c r="B3319" s="5">
        <f t="shared" si="907"/>
        <v>10</v>
      </c>
      <c r="C3319" s="5">
        <f t="shared" si="908"/>
        <v>2024</v>
      </c>
      <c r="D3319" s="5" t="s">
        <v>2942</v>
      </c>
      <c r="E3319" s="5" t="str">
        <f>VLOOKUP(F3319,'Set up'!$A$2:$C$56,2,FALSE)</f>
        <v>C00000010</v>
      </c>
      <c r="F3319" s="1" t="s">
        <v>62</v>
      </c>
      <c r="G3319" s="98" t="s">
        <v>615</v>
      </c>
      <c r="H3319" s="135">
        <v>1</v>
      </c>
      <c r="I3319" s="5">
        <f>VLOOKUP(F3319,'Set up'!$A$2:$C$56,3,FALSE)</f>
        <v>120</v>
      </c>
      <c r="J3319" s="5">
        <f>VLOOKUP(F3319,'Set up'!$A$2:$D$56,4,FALSE)</f>
        <v>120</v>
      </c>
      <c r="K3319" s="4">
        <f t="shared" si="909"/>
        <v>45708</v>
      </c>
      <c r="L3319" s="5">
        <f t="shared" si="910"/>
        <v>2</v>
      </c>
      <c r="M3319" s="5">
        <f t="shared" si="911"/>
        <v>2025</v>
      </c>
      <c r="N3319" s="12">
        <v>395</v>
      </c>
      <c r="O3319" s="12"/>
      <c r="P3319" s="12">
        <f t="shared" si="912"/>
        <v>395</v>
      </c>
      <c r="Q3319" s="7">
        <f t="shared" si="906"/>
        <v>5457991.0499999998</v>
      </c>
      <c r="R3319" s="44" t="str">
        <f>VLOOKUP(F3319,'Set up'!$A$2:$E$56,5,FALSE)</f>
        <v>Trsf</v>
      </c>
    </row>
    <row r="3320" spans="1:18" ht="15" customHeight="1" x14ac:dyDescent="0.3">
      <c r="A3320" s="4">
        <v>45588</v>
      </c>
      <c r="B3320" s="5">
        <f t="shared" si="907"/>
        <v>10</v>
      </c>
      <c r="C3320" s="5">
        <f t="shared" si="908"/>
        <v>2024</v>
      </c>
      <c r="D3320" s="5" t="s">
        <v>2942</v>
      </c>
      <c r="E3320" s="5" t="str">
        <f>VLOOKUP(F3320,'Set up'!$A$2:$C$56,2,FALSE)</f>
        <v>C00000010</v>
      </c>
      <c r="F3320" s="1" t="s">
        <v>62</v>
      </c>
      <c r="G3320" s="90" t="s">
        <v>2522</v>
      </c>
      <c r="H3320" s="135">
        <v>1</v>
      </c>
      <c r="I3320" s="5">
        <f>VLOOKUP(F3320,'Set up'!$A$2:$C$56,3,FALSE)</f>
        <v>120</v>
      </c>
      <c r="J3320" s="5">
        <f>VLOOKUP(F3320,'Set up'!$A$2:$D$56,4,FALSE)</f>
        <v>120</v>
      </c>
      <c r="K3320" s="4">
        <f t="shared" si="909"/>
        <v>45708</v>
      </c>
      <c r="L3320" s="5">
        <f t="shared" si="910"/>
        <v>2</v>
      </c>
      <c r="M3320" s="5">
        <f t="shared" si="911"/>
        <v>2025</v>
      </c>
      <c r="N3320" s="12">
        <v>420</v>
      </c>
      <c r="O3320" s="12"/>
      <c r="P3320" s="12">
        <f t="shared" si="912"/>
        <v>420</v>
      </c>
      <c r="Q3320" s="7">
        <f t="shared" si="906"/>
        <v>5458411.0499999998</v>
      </c>
      <c r="R3320" s="44" t="str">
        <f>VLOOKUP(F3320,'Set up'!$A$2:$E$56,5,FALSE)</f>
        <v>Trsf</v>
      </c>
    </row>
    <row r="3321" spans="1:18" ht="15" customHeight="1" x14ac:dyDescent="0.3">
      <c r="A3321" s="4">
        <v>45588</v>
      </c>
      <c r="B3321" s="5">
        <f t="shared" si="907"/>
        <v>10</v>
      </c>
      <c r="C3321" s="5">
        <f t="shared" si="908"/>
        <v>2024</v>
      </c>
      <c r="D3321" s="5" t="s">
        <v>2942</v>
      </c>
      <c r="E3321" s="5" t="str">
        <f>VLOOKUP(F3321,'Set up'!$A$2:$C$56,2,FALSE)</f>
        <v>C00000010</v>
      </c>
      <c r="F3321" s="1" t="s">
        <v>62</v>
      </c>
      <c r="G3321" s="90" t="s">
        <v>947</v>
      </c>
      <c r="H3321" s="135">
        <v>4</v>
      </c>
      <c r="I3321" s="5">
        <f>VLOOKUP(F3321,'Set up'!$A$2:$C$56,3,FALSE)</f>
        <v>120</v>
      </c>
      <c r="J3321" s="5">
        <f>VLOOKUP(F3321,'Set up'!$A$2:$D$56,4,FALSE)</f>
        <v>120</v>
      </c>
      <c r="K3321" s="4">
        <f t="shared" si="909"/>
        <v>45708</v>
      </c>
      <c r="L3321" s="5">
        <f t="shared" si="910"/>
        <v>2</v>
      </c>
      <c r="M3321" s="5">
        <f t="shared" si="911"/>
        <v>2025</v>
      </c>
      <c r="N3321" s="12">
        <v>230.4</v>
      </c>
      <c r="O3321" s="12"/>
      <c r="P3321" s="12">
        <f t="shared" si="912"/>
        <v>230.4</v>
      </c>
      <c r="Q3321" s="7">
        <f t="shared" si="906"/>
        <v>5458641.4500000002</v>
      </c>
      <c r="R3321" s="44" t="str">
        <f>VLOOKUP(F3321,'Set up'!$A$2:$E$56,5,FALSE)</f>
        <v>Trsf</v>
      </c>
    </row>
    <row r="3322" spans="1:18" ht="15" customHeight="1" x14ac:dyDescent="0.3">
      <c r="A3322" s="4">
        <v>45588</v>
      </c>
      <c r="B3322" s="5">
        <f t="shared" si="907"/>
        <v>10</v>
      </c>
      <c r="C3322" s="5">
        <f t="shared" si="908"/>
        <v>2024</v>
      </c>
      <c r="D3322" s="5" t="s">
        <v>2942</v>
      </c>
      <c r="E3322" s="5" t="str">
        <f>VLOOKUP(F3322,'Set up'!$A$2:$C$56,2,FALSE)</f>
        <v>C00000010</v>
      </c>
      <c r="F3322" s="1" t="s">
        <v>62</v>
      </c>
      <c r="G3322" s="90" t="s">
        <v>1003</v>
      </c>
      <c r="H3322" s="135">
        <v>4</v>
      </c>
      <c r="I3322" s="5">
        <f>VLOOKUP(F3322,'Set up'!$A$2:$C$56,3,FALSE)</f>
        <v>120</v>
      </c>
      <c r="J3322" s="5">
        <f>VLOOKUP(F3322,'Set up'!$A$2:$D$56,4,FALSE)</f>
        <v>120</v>
      </c>
      <c r="K3322" s="4">
        <f t="shared" si="909"/>
        <v>45708</v>
      </c>
      <c r="L3322" s="5">
        <f t="shared" si="910"/>
        <v>2</v>
      </c>
      <c r="M3322" s="5">
        <f t="shared" si="911"/>
        <v>2025</v>
      </c>
      <c r="N3322" s="12">
        <v>220.8</v>
      </c>
      <c r="O3322" s="12"/>
      <c r="P3322" s="12">
        <f t="shared" si="912"/>
        <v>220.8</v>
      </c>
      <c r="Q3322" s="7">
        <f t="shared" si="906"/>
        <v>5458862.25</v>
      </c>
      <c r="R3322" s="44" t="str">
        <f>VLOOKUP(F3322,'Set up'!$A$2:$E$56,5,FALSE)</f>
        <v>Trsf</v>
      </c>
    </row>
    <row r="3323" spans="1:18" ht="15" customHeight="1" x14ac:dyDescent="0.3">
      <c r="A3323" s="4">
        <v>45591</v>
      </c>
      <c r="B3323" s="5">
        <f t="shared" si="907"/>
        <v>10</v>
      </c>
      <c r="C3323" s="5">
        <f t="shared" si="908"/>
        <v>2024</v>
      </c>
      <c r="D3323" s="5" t="s">
        <v>2943</v>
      </c>
      <c r="E3323" s="5" t="str">
        <f>VLOOKUP(F3323,'Set up'!$A$2:$C$56,2,FALSE)</f>
        <v>C00000042</v>
      </c>
      <c r="F3323" s="1" t="s">
        <v>2013</v>
      </c>
      <c r="G3323" s="102" t="s">
        <v>2722</v>
      </c>
      <c r="H3323" s="135">
        <v>10</v>
      </c>
      <c r="I3323" s="5" t="str">
        <f>VLOOKUP(F3323,'Set up'!$A$2:$C$56,3,FALSE)</f>
        <v>Cash</v>
      </c>
      <c r="J3323" s="5">
        <f>VLOOKUP(F3323,'Set up'!$A$2:$D$56,4,FALSE)</f>
        <v>0</v>
      </c>
      <c r="K3323" s="4">
        <f t="shared" si="909"/>
        <v>45591</v>
      </c>
      <c r="L3323" s="5">
        <f t="shared" si="910"/>
        <v>10</v>
      </c>
      <c r="M3323" s="5">
        <f t="shared" si="911"/>
        <v>2024</v>
      </c>
      <c r="N3323" s="12">
        <v>625</v>
      </c>
      <c r="O3323" s="12"/>
      <c r="P3323" s="12">
        <f t="shared" si="912"/>
        <v>625</v>
      </c>
      <c r="Q3323" s="7">
        <f t="shared" si="906"/>
        <v>5459487.25</v>
      </c>
      <c r="R3323" s="44" t="str">
        <f>VLOOKUP(F3323,'Set up'!$A$2:$E$56,5,FALSE)</f>
        <v>Trsf</v>
      </c>
    </row>
    <row r="3324" spans="1:18" ht="15" customHeight="1" x14ac:dyDescent="0.3">
      <c r="A3324" s="4">
        <v>45591</v>
      </c>
      <c r="B3324" s="5">
        <f t="shared" si="907"/>
        <v>10</v>
      </c>
      <c r="C3324" s="5">
        <f t="shared" si="908"/>
        <v>2024</v>
      </c>
      <c r="D3324" s="5" t="s">
        <v>2944</v>
      </c>
      <c r="E3324" s="5" t="str">
        <f>VLOOKUP(F3324,'Set up'!$A$2:$C$56,2,FALSE)</f>
        <v>C00000042</v>
      </c>
      <c r="F3324" s="1" t="s">
        <v>2013</v>
      </c>
      <c r="G3324" s="124" t="s">
        <v>2625</v>
      </c>
      <c r="H3324" s="135">
        <v>10</v>
      </c>
      <c r="I3324" s="5" t="str">
        <f>VLOOKUP(F3324,'Set up'!$A$2:$C$56,3,FALSE)</f>
        <v>Cash</v>
      </c>
      <c r="J3324" s="5">
        <f>VLOOKUP(F3324,'Set up'!$A$2:$D$56,4,FALSE)</f>
        <v>0</v>
      </c>
      <c r="K3324" s="4">
        <f t="shared" si="909"/>
        <v>45591</v>
      </c>
      <c r="L3324" s="5">
        <f t="shared" si="910"/>
        <v>10</v>
      </c>
      <c r="M3324" s="5">
        <f t="shared" si="911"/>
        <v>2024</v>
      </c>
      <c r="N3324" s="12">
        <v>16060</v>
      </c>
      <c r="O3324" s="12"/>
      <c r="P3324" s="12">
        <f t="shared" si="912"/>
        <v>16060</v>
      </c>
      <c r="Q3324" s="7">
        <f t="shared" si="906"/>
        <v>5475547.25</v>
      </c>
      <c r="R3324" s="44" t="str">
        <f>VLOOKUP(F3324,'Set up'!$A$2:$E$56,5,FALSE)</f>
        <v>Trsf</v>
      </c>
    </row>
    <row r="3325" spans="1:18" ht="15" customHeight="1" x14ac:dyDescent="0.3">
      <c r="A3325" s="4">
        <v>45591</v>
      </c>
      <c r="B3325" s="5">
        <f t="shared" si="907"/>
        <v>10</v>
      </c>
      <c r="C3325" s="5">
        <f t="shared" si="908"/>
        <v>2024</v>
      </c>
      <c r="D3325" s="5" t="s">
        <v>2944</v>
      </c>
      <c r="E3325" s="5" t="str">
        <f>VLOOKUP(F3325,'Set up'!$A$2:$C$56,2,FALSE)</f>
        <v>C00000042</v>
      </c>
      <c r="F3325" s="1" t="s">
        <v>2013</v>
      </c>
      <c r="G3325" s="90" t="s">
        <v>2507</v>
      </c>
      <c r="H3325" s="135">
        <v>30</v>
      </c>
      <c r="I3325" s="5" t="str">
        <f>VLOOKUP(F3325,'Set up'!$A$2:$C$56,3,FALSE)</f>
        <v>Cash</v>
      </c>
      <c r="J3325" s="5">
        <f>VLOOKUP(F3325,'Set up'!$A$2:$D$56,4,FALSE)</f>
        <v>0</v>
      </c>
      <c r="K3325" s="4">
        <f t="shared" si="909"/>
        <v>45591</v>
      </c>
      <c r="L3325" s="5">
        <f t="shared" si="910"/>
        <v>10</v>
      </c>
      <c r="M3325" s="5">
        <f t="shared" si="911"/>
        <v>2024</v>
      </c>
      <c r="N3325" s="12">
        <v>6438</v>
      </c>
      <c r="O3325" s="12"/>
      <c r="P3325" s="12">
        <f t="shared" si="912"/>
        <v>6438</v>
      </c>
      <c r="Q3325" s="7">
        <f t="shared" si="906"/>
        <v>5481985.25</v>
      </c>
      <c r="R3325" s="44" t="str">
        <f>VLOOKUP(F3325,'Set up'!$A$2:$E$56,5,FALSE)</f>
        <v>Trsf</v>
      </c>
    </row>
    <row r="3326" spans="1:18" ht="15" customHeight="1" x14ac:dyDescent="0.3">
      <c r="A3326" s="4">
        <v>45591</v>
      </c>
      <c r="B3326" s="5">
        <f t="shared" si="907"/>
        <v>10</v>
      </c>
      <c r="C3326" s="5">
        <f t="shared" si="908"/>
        <v>2024</v>
      </c>
      <c r="D3326" s="5" t="s">
        <v>2944</v>
      </c>
      <c r="E3326" s="5" t="str">
        <f>VLOOKUP(F3326,'Set up'!$A$2:$C$56,2,FALSE)</f>
        <v>C00000042</v>
      </c>
      <c r="F3326" s="1" t="s">
        <v>2013</v>
      </c>
      <c r="G3326" s="90" t="s">
        <v>1923</v>
      </c>
      <c r="H3326" s="135">
        <v>15</v>
      </c>
      <c r="I3326" s="5" t="str">
        <f>VLOOKUP(F3326,'Set up'!$A$2:$C$56,3,FALSE)</f>
        <v>Cash</v>
      </c>
      <c r="J3326" s="5">
        <f>VLOOKUP(F3326,'Set up'!$A$2:$D$56,4,FALSE)</f>
        <v>0</v>
      </c>
      <c r="K3326" s="4">
        <f t="shared" si="909"/>
        <v>45591</v>
      </c>
      <c r="L3326" s="5">
        <f t="shared" si="910"/>
        <v>10</v>
      </c>
      <c r="M3326" s="5">
        <f t="shared" si="911"/>
        <v>2024</v>
      </c>
      <c r="N3326" s="12">
        <v>3577.5</v>
      </c>
      <c r="O3326" s="12"/>
      <c r="P3326" s="12">
        <f t="shared" si="912"/>
        <v>3577.5</v>
      </c>
      <c r="Q3326" s="7">
        <f t="shared" si="906"/>
        <v>5485562.75</v>
      </c>
      <c r="R3326" s="44" t="str">
        <f>VLOOKUP(F3326,'Set up'!$A$2:$E$56,5,FALSE)</f>
        <v>Trsf</v>
      </c>
    </row>
    <row r="3327" spans="1:18" ht="15" customHeight="1" x14ac:dyDescent="0.3">
      <c r="A3327" s="4">
        <v>45591</v>
      </c>
      <c r="B3327" s="5">
        <f t="shared" si="907"/>
        <v>10</v>
      </c>
      <c r="C3327" s="5">
        <f t="shared" si="908"/>
        <v>2024</v>
      </c>
      <c r="D3327" s="5" t="s">
        <v>2944</v>
      </c>
      <c r="E3327" s="5" t="str">
        <f>VLOOKUP(F3327,'Set up'!$A$2:$C$56,2,FALSE)</f>
        <v>C00000042</v>
      </c>
      <c r="F3327" s="1" t="s">
        <v>2013</v>
      </c>
      <c r="G3327" s="90" t="s">
        <v>1062</v>
      </c>
      <c r="H3327" s="135">
        <v>4</v>
      </c>
      <c r="I3327" s="5" t="str">
        <f>VLOOKUP(F3327,'Set up'!$A$2:$C$56,3,FALSE)</f>
        <v>Cash</v>
      </c>
      <c r="J3327" s="5">
        <f>VLOOKUP(F3327,'Set up'!$A$2:$D$56,4,FALSE)</f>
        <v>0</v>
      </c>
      <c r="K3327" s="4">
        <f t="shared" si="909"/>
        <v>45591</v>
      </c>
      <c r="L3327" s="5">
        <f t="shared" si="910"/>
        <v>10</v>
      </c>
      <c r="M3327" s="5">
        <f t="shared" si="911"/>
        <v>2024</v>
      </c>
      <c r="N3327" s="12">
        <v>380</v>
      </c>
      <c r="O3327" s="12"/>
      <c r="P3327" s="12">
        <f t="shared" si="912"/>
        <v>380</v>
      </c>
      <c r="Q3327" s="7">
        <f t="shared" si="906"/>
        <v>5485942.75</v>
      </c>
      <c r="R3327" s="44" t="str">
        <f>VLOOKUP(F3327,'Set up'!$A$2:$E$56,5,FALSE)</f>
        <v>Trsf</v>
      </c>
    </row>
    <row r="3328" spans="1:18" ht="15" customHeight="1" x14ac:dyDescent="0.3">
      <c r="A3328" s="4">
        <v>45591</v>
      </c>
      <c r="B3328" s="5">
        <f t="shared" si="907"/>
        <v>10</v>
      </c>
      <c r="C3328" s="5">
        <f t="shared" si="908"/>
        <v>2024</v>
      </c>
      <c r="D3328" s="5" t="s">
        <v>2944</v>
      </c>
      <c r="E3328" s="5" t="str">
        <f>VLOOKUP(F3328,'Set up'!$A$2:$C$56,2,FALSE)</f>
        <v>C00000042</v>
      </c>
      <c r="F3328" s="1" t="s">
        <v>2013</v>
      </c>
      <c r="G3328" s="90" t="s">
        <v>1074</v>
      </c>
      <c r="H3328" s="135">
        <v>1</v>
      </c>
      <c r="I3328" s="5" t="str">
        <f>VLOOKUP(F3328,'Set up'!$A$2:$C$56,3,FALSE)</f>
        <v>Cash</v>
      </c>
      <c r="J3328" s="5">
        <f>VLOOKUP(F3328,'Set up'!$A$2:$D$56,4,FALSE)</f>
        <v>0</v>
      </c>
      <c r="K3328" s="4">
        <f t="shared" si="909"/>
        <v>45591</v>
      </c>
      <c r="L3328" s="5">
        <f t="shared" si="910"/>
        <v>10</v>
      </c>
      <c r="M3328" s="5">
        <f t="shared" si="911"/>
        <v>2024</v>
      </c>
      <c r="N3328" s="12">
        <v>1000</v>
      </c>
      <c r="O3328" s="12"/>
      <c r="P3328" s="12">
        <f t="shared" si="912"/>
        <v>1000</v>
      </c>
      <c r="Q3328" s="7">
        <f t="shared" si="906"/>
        <v>5486942.75</v>
      </c>
      <c r="R3328" s="44" t="str">
        <f>VLOOKUP(F3328,'Set up'!$A$2:$E$56,5,FALSE)</f>
        <v>Trsf</v>
      </c>
    </row>
    <row r="3329" spans="1:18" ht="15" customHeight="1" x14ac:dyDescent="0.3">
      <c r="A3329" s="4">
        <v>45594</v>
      </c>
      <c r="B3329" s="5">
        <f t="shared" si="907"/>
        <v>10</v>
      </c>
      <c r="C3329" s="5">
        <f t="shared" si="908"/>
        <v>2024</v>
      </c>
      <c r="D3329" s="5" t="s">
        <v>2945</v>
      </c>
      <c r="E3329" s="5" t="str">
        <f>VLOOKUP(F3329,'Set up'!$A$2:$C$56,2,FALSE)</f>
        <v>C00000044</v>
      </c>
      <c r="F3329" s="1" t="s">
        <v>2959</v>
      </c>
      <c r="G3329" s="133" t="s">
        <v>1403</v>
      </c>
      <c r="H3329" s="135">
        <v>1</v>
      </c>
      <c r="I3329" s="5" t="str">
        <f>VLOOKUP(F3329,'Set up'!$A$2:$C$56,3,FALSE)</f>
        <v>Cash</v>
      </c>
      <c r="J3329" s="5">
        <f>VLOOKUP(F3329,'Set up'!$A$2:$D$56,4,FALSE)</f>
        <v>0</v>
      </c>
      <c r="K3329" s="4">
        <f t="shared" si="909"/>
        <v>45594</v>
      </c>
      <c r="L3329" s="5">
        <f t="shared" si="910"/>
        <v>10</v>
      </c>
      <c r="M3329" s="5">
        <f t="shared" si="911"/>
        <v>2024</v>
      </c>
      <c r="N3329" s="12">
        <v>1694</v>
      </c>
      <c r="O3329" s="12"/>
      <c r="P3329" s="12">
        <f t="shared" si="912"/>
        <v>1694</v>
      </c>
      <c r="Q3329" s="7">
        <f t="shared" si="906"/>
        <v>5488636.75</v>
      </c>
      <c r="R3329" s="44" t="str">
        <f>VLOOKUP(F3329,'Set up'!$A$2:$E$56,5,FALSE)</f>
        <v>Cash</v>
      </c>
    </row>
    <row r="3330" spans="1:18" ht="15" customHeight="1" x14ac:dyDescent="0.3">
      <c r="A3330" s="4">
        <v>45594</v>
      </c>
      <c r="B3330" s="5">
        <f t="shared" si="907"/>
        <v>10</v>
      </c>
      <c r="C3330" s="5">
        <f t="shared" si="908"/>
        <v>2024</v>
      </c>
      <c r="D3330" s="5" t="s">
        <v>2945</v>
      </c>
      <c r="E3330" s="5" t="str">
        <f>VLOOKUP(F3330,'Set up'!$A$2:$C$56,2,FALSE)</f>
        <v>C00000044</v>
      </c>
      <c r="F3330" s="1" t="s">
        <v>2959</v>
      </c>
      <c r="G3330" s="116" t="s">
        <v>2643</v>
      </c>
      <c r="H3330" s="135">
        <v>2</v>
      </c>
      <c r="I3330" s="5" t="str">
        <f>VLOOKUP(F3330,'Set up'!$A$2:$C$56,3,FALSE)</f>
        <v>Cash</v>
      </c>
      <c r="J3330" s="5">
        <f>VLOOKUP(F3330,'Set up'!$A$2:$D$56,4,FALSE)</f>
        <v>0</v>
      </c>
      <c r="K3330" s="4">
        <f t="shared" si="909"/>
        <v>45594</v>
      </c>
      <c r="L3330" s="5">
        <f t="shared" si="910"/>
        <v>10</v>
      </c>
      <c r="M3330" s="5">
        <f t="shared" si="911"/>
        <v>2024</v>
      </c>
      <c r="N3330" s="12">
        <v>432</v>
      </c>
      <c r="O3330" s="12"/>
      <c r="P3330" s="12">
        <f t="shared" si="912"/>
        <v>432</v>
      </c>
      <c r="Q3330" s="7">
        <f t="shared" si="906"/>
        <v>5489068.75</v>
      </c>
      <c r="R3330" s="44" t="str">
        <f>VLOOKUP(F3330,'Set up'!$A$2:$E$56,5,FALSE)</f>
        <v>Cash</v>
      </c>
    </row>
    <row r="3331" spans="1:18" ht="15" customHeight="1" x14ac:dyDescent="0.3">
      <c r="A3331" s="4">
        <v>45594</v>
      </c>
      <c r="B3331" s="5">
        <f t="shared" si="907"/>
        <v>10</v>
      </c>
      <c r="C3331" s="5">
        <f t="shared" si="908"/>
        <v>2024</v>
      </c>
      <c r="D3331" s="5" t="s">
        <v>2945</v>
      </c>
      <c r="E3331" s="5" t="str">
        <f>VLOOKUP(F3331,'Set up'!$A$2:$C$56,2,FALSE)</f>
        <v>C00000044</v>
      </c>
      <c r="F3331" s="1" t="s">
        <v>2959</v>
      </c>
      <c r="G3331" s="116" t="s">
        <v>2820</v>
      </c>
      <c r="H3331" s="135">
        <v>3</v>
      </c>
      <c r="I3331" s="5" t="str">
        <f>VLOOKUP(F3331,'Set up'!$A$2:$C$56,3,FALSE)</f>
        <v>Cash</v>
      </c>
      <c r="J3331" s="5">
        <f>VLOOKUP(F3331,'Set up'!$A$2:$D$56,4,FALSE)</f>
        <v>0</v>
      </c>
      <c r="K3331" s="4">
        <f t="shared" si="909"/>
        <v>45594</v>
      </c>
      <c r="L3331" s="5">
        <f t="shared" si="910"/>
        <v>10</v>
      </c>
      <c r="M3331" s="5">
        <f t="shared" si="911"/>
        <v>2024</v>
      </c>
      <c r="N3331" s="12">
        <v>534</v>
      </c>
      <c r="O3331" s="12"/>
      <c r="P3331" s="12">
        <f t="shared" si="912"/>
        <v>534</v>
      </c>
      <c r="Q3331" s="7">
        <f t="shared" si="906"/>
        <v>5489602.75</v>
      </c>
      <c r="R3331" s="44" t="str">
        <f>VLOOKUP(F3331,'Set up'!$A$2:$E$56,5,FALSE)</f>
        <v>Cash</v>
      </c>
    </row>
    <row r="3332" spans="1:18" ht="15" customHeight="1" x14ac:dyDescent="0.3">
      <c r="A3332" s="4">
        <v>45594</v>
      </c>
      <c r="B3332" s="5">
        <f t="shared" si="907"/>
        <v>10</v>
      </c>
      <c r="C3332" s="5">
        <f t="shared" si="908"/>
        <v>2024</v>
      </c>
      <c r="D3332" s="5" t="s">
        <v>2945</v>
      </c>
      <c r="E3332" s="5" t="str">
        <f>VLOOKUP(F3332,'Set up'!$A$2:$C$56,2,FALSE)</f>
        <v>C00000044</v>
      </c>
      <c r="F3332" s="1" t="s">
        <v>2959</v>
      </c>
      <c r="G3332" s="116" t="s">
        <v>46</v>
      </c>
      <c r="H3332" s="135">
        <v>1</v>
      </c>
      <c r="I3332" s="5" t="str">
        <f>VLOOKUP(F3332,'Set up'!$A$2:$C$56,3,FALSE)</f>
        <v>Cash</v>
      </c>
      <c r="J3332" s="5">
        <f>VLOOKUP(F3332,'Set up'!$A$2:$D$56,4,FALSE)</f>
        <v>0</v>
      </c>
      <c r="K3332" s="4">
        <f t="shared" si="909"/>
        <v>45594</v>
      </c>
      <c r="L3332" s="5">
        <f t="shared" si="910"/>
        <v>10</v>
      </c>
      <c r="M3332" s="5">
        <f t="shared" si="911"/>
        <v>2024</v>
      </c>
      <c r="N3332" s="12">
        <v>110</v>
      </c>
      <c r="O3332" s="12"/>
      <c r="P3332" s="12">
        <f t="shared" si="912"/>
        <v>110</v>
      </c>
      <c r="Q3332" s="7">
        <f t="shared" si="906"/>
        <v>5489712.75</v>
      </c>
      <c r="R3332" s="44" t="str">
        <f>VLOOKUP(F3332,'Set up'!$A$2:$E$56,5,FALSE)</f>
        <v>Cash</v>
      </c>
    </row>
    <row r="3333" spans="1:18" ht="15" customHeight="1" x14ac:dyDescent="0.3">
      <c r="A3333" s="4">
        <v>45594</v>
      </c>
      <c r="B3333" s="5">
        <f t="shared" si="907"/>
        <v>10</v>
      </c>
      <c r="C3333" s="5">
        <f t="shared" si="908"/>
        <v>2024</v>
      </c>
      <c r="D3333" s="5" t="s">
        <v>2946</v>
      </c>
      <c r="E3333" s="5" t="str">
        <f>VLOOKUP(F3333,'Set up'!$A$2:$C$56,2,FALSE)</f>
        <v>C00000019</v>
      </c>
      <c r="F3333" s="1" t="s">
        <v>401</v>
      </c>
      <c r="G3333" s="90" t="s">
        <v>1412</v>
      </c>
      <c r="H3333" s="135">
        <v>1</v>
      </c>
      <c r="I3333" s="5" t="str">
        <f>VLOOKUP(F3333,'Set up'!$A$2:$C$56,3,FALSE)</f>
        <v>Cash</v>
      </c>
      <c r="J3333" s="5">
        <f>VLOOKUP(F3333,'Set up'!$A$2:$D$56,4,FALSE)</f>
        <v>0</v>
      </c>
      <c r="K3333" s="4">
        <f t="shared" si="909"/>
        <v>45594</v>
      </c>
      <c r="L3333" s="5">
        <f t="shared" si="910"/>
        <v>10</v>
      </c>
      <c r="M3333" s="5">
        <f t="shared" si="911"/>
        <v>2024</v>
      </c>
      <c r="N3333" s="12">
        <v>405</v>
      </c>
      <c r="O3333" s="12"/>
      <c r="P3333" s="12">
        <f t="shared" si="912"/>
        <v>405</v>
      </c>
      <c r="Q3333" s="7">
        <f t="shared" si="906"/>
        <v>5490117.75</v>
      </c>
      <c r="R3333" s="44" t="str">
        <f>VLOOKUP(F3333,'Set up'!$A$2:$E$56,5,FALSE)</f>
        <v>Trsf</v>
      </c>
    </row>
    <row r="3334" spans="1:18" ht="15" customHeight="1" x14ac:dyDescent="0.3">
      <c r="A3334" s="4">
        <v>45594</v>
      </c>
      <c r="B3334" s="5">
        <f t="shared" si="900"/>
        <v>10</v>
      </c>
      <c r="C3334" s="5">
        <f t="shared" si="901"/>
        <v>2024</v>
      </c>
      <c r="D3334" s="5" t="s">
        <v>2947</v>
      </c>
      <c r="E3334" s="5" t="str">
        <f>VLOOKUP(F3334,'Set up'!$A$2:$C$56,2,FALSE)</f>
        <v>C00000044</v>
      </c>
      <c r="F3334" s="1" t="s">
        <v>2959</v>
      </c>
      <c r="G3334" s="116" t="s">
        <v>2820</v>
      </c>
      <c r="H3334" s="135">
        <v>2</v>
      </c>
      <c r="I3334" s="5" t="str">
        <f>VLOOKUP(F3334,'Set up'!$A$2:$C$56,3,FALSE)</f>
        <v>Cash</v>
      </c>
      <c r="J3334" s="5">
        <f>VLOOKUP(F3334,'Set up'!$A$2:$D$56,4,FALSE)</f>
        <v>0</v>
      </c>
      <c r="K3334" s="4">
        <f t="shared" si="905"/>
        <v>45594</v>
      </c>
      <c r="L3334" s="5">
        <f t="shared" si="902"/>
        <v>10</v>
      </c>
      <c r="M3334" s="5">
        <f t="shared" si="903"/>
        <v>2024</v>
      </c>
      <c r="N3334" s="12">
        <v>356</v>
      </c>
      <c r="O3334" s="12"/>
      <c r="P3334" s="12">
        <f t="shared" si="904"/>
        <v>356</v>
      </c>
      <c r="Q3334" s="7">
        <f t="shared" si="906"/>
        <v>5490473.75</v>
      </c>
      <c r="R3334" s="44" t="str">
        <f>VLOOKUP(F3334,'Set up'!$A$2:$E$56,5,FALSE)</f>
        <v>Cash</v>
      </c>
    </row>
    <row r="3335" spans="1:18" s="10" customFormat="1" ht="15" customHeight="1" x14ac:dyDescent="0.3">
      <c r="A3335" s="125">
        <v>45594</v>
      </c>
      <c r="B3335" s="126">
        <f t="shared" ref="B3335" si="913">MONTH(A3335)</f>
        <v>10</v>
      </c>
      <c r="C3335" s="126">
        <f t="shared" ref="C3335" si="914">YEAR(A3335)</f>
        <v>2024</v>
      </c>
      <c r="D3335" s="126" t="s">
        <v>2948</v>
      </c>
      <c r="E3335" s="126" t="str">
        <f>VLOOKUP(F3335,'Set up'!$A$2:$C$56,2,FALSE)</f>
        <v>C00000044</v>
      </c>
      <c r="F3335" s="10" t="s">
        <v>2959</v>
      </c>
      <c r="G3335" s="155" t="s">
        <v>950</v>
      </c>
      <c r="H3335" s="144">
        <v>1</v>
      </c>
      <c r="I3335" s="126" t="str">
        <f>VLOOKUP(F3335,'Set up'!$A$2:$C$56,3,FALSE)</f>
        <v>Cash</v>
      </c>
      <c r="J3335" s="126">
        <f>VLOOKUP(F3335,'Set up'!$A$2:$D$56,4,FALSE)</f>
        <v>0</v>
      </c>
      <c r="K3335" s="125">
        <f t="shared" ref="K3335" si="915">A3335+J3335</f>
        <v>45594</v>
      </c>
      <c r="L3335" s="126">
        <f t="shared" ref="L3335" si="916">MONTH(K3335)</f>
        <v>10</v>
      </c>
      <c r="M3335" s="126">
        <f t="shared" ref="M3335" si="917">YEAR(K3335)</f>
        <v>2024</v>
      </c>
      <c r="N3335" s="34">
        <v>60</v>
      </c>
      <c r="O3335" s="34"/>
      <c r="P3335" s="34">
        <f t="shared" ref="P3335" si="918">SUM(N3335+O3335)</f>
        <v>60</v>
      </c>
      <c r="Q3335" s="129">
        <f t="shared" si="906"/>
        <v>5490533.75</v>
      </c>
      <c r="R3335" s="128" t="str">
        <f>VLOOKUP(F3335,'Set up'!$A$2:$E$56,5,FALSE)</f>
        <v>Cash</v>
      </c>
    </row>
    <row r="3336" spans="1:18" ht="15" customHeight="1" x14ac:dyDescent="0.3">
      <c r="A3336" s="4">
        <v>45597</v>
      </c>
      <c r="B3336" s="5">
        <f t="shared" ref="B3336" si="919">MONTH(A3336)</f>
        <v>11</v>
      </c>
      <c r="C3336" s="5">
        <f t="shared" ref="C3336" si="920">YEAR(A3336)</f>
        <v>2024</v>
      </c>
      <c r="D3336" s="5" t="s">
        <v>2949</v>
      </c>
      <c r="E3336" s="5" t="str">
        <f>VLOOKUP(F3336,'Set up'!$A$2:$C$56,2,FALSE)</f>
        <v>C00000051</v>
      </c>
      <c r="F3336" s="1" t="s">
        <v>2740</v>
      </c>
      <c r="G3336" s="133"/>
      <c r="H3336" s="135">
        <v>1</v>
      </c>
      <c r="I3336" s="5" t="str">
        <f>VLOOKUP(F3336,'Set up'!$A$2:$C$56,3,FALSE)</f>
        <v>Cash</v>
      </c>
      <c r="J3336" s="5">
        <f>VLOOKUP(F3336,'Set up'!$A$2:$D$56,4,FALSE)</f>
        <v>0</v>
      </c>
      <c r="K3336" s="4">
        <f t="shared" ref="K3336" si="921">A3336+J3336</f>
        <v>45597</v>
      </c>
      <c r="L3336" s="5">
        <f t="shared" ref="L3336" si="922">MONTH(K3336)</f>
        <v>11</v>
      </c>
      <c r="M3336" s="5">
        <f t="shared" ref="M3336" si="923">YEAR(K3336)</f>
        <v>2024</v>
      </c>
      <c r="N3336" s="12">
        <v>0</v>
      </c>
      <c r="O3336" s="12"/>
      <c r="P3336" s="12">
        <f t="shared" ref="P3336" si="924">SUM(N3336+O3336)</f>
        <v>0</v>
      </c>
      <c r="Q3336" s="7">
        <f t="shared" si="906"/>
        <v>5490533.75</v>
      </c>
      <c r="R3336" s="44" t="str">
        <f>VLOOKUP(F3336,'Set up'!$A$2:$E$56,5,FALSE)</f>
        <v>Cash</v>
      </c>
    </row>
    <row r="3337" spans="1:18" ht="15" customHeight="1" x14ac:dyDescent="0.3">
      <c r="A3337" s="4">
        <v>45597</v>
      </c>
      <c r="B3337" s="5">
        <f t="shared" ref="B3337:B3400" si="925">MONTH(A3337)</f>
        <v>11</v>
      </c>
      <c r="C3337" s="5">
        <f t="shared" ref="C3337:C3400" si="926">YEAR(A3337)</f>
        <v>2024</v>
      </c>
      <c r="D3337" s="5" t="s">
        <v>2949</v>
      </c>
      <c r="E3337" s="5" t="str">
        <f>VLOOKUP(F3337,'Set up'!$A$2:$C$56,2,FALSE)</f>
        <v>C00000051</v>
      </c>
      <c r="F3337" s="1" t="s">
        <v>2740</v>
      </c>
      <c r="G3337" s="116"/>
      <c r="H3337" s="135">
        <v>1</v>
      </c>
      <c r="I3337" s="5" t="str">
        <f>VLOOKUP(F3337,'Set up'!$A$2:$C$56,3,FALSE)</f>
        <v>Cash</v>
      </c>
      <c r="J3337" s="5">
        <f>VLOOKUP(F3337,'Set up'!$A$2:$D$56,4,FALSE)</f>
        <v>0</v>
      </c>
      <c r="K3337" s="4">
        <f t="shared" ref="K3337:K3400" si="927">A3337+J3337</f>
        <v>45597</v>
      </c>
      <c r="L3337" s="5">
        <f t="shared" ref="L3337:L3400" si="928">MONTH(K3337)</f>
        <v>11</v>
      </c>
      <c r="M3337" s="5">
        <f t="shared" ref="M3337:M3400" si="929">YEAR(K3337)</f>
        <v>2024</v>
      </c>
      <c r="N3337" s="12">
        <v>0</v>
      </c>
      <c r="O3337" s="12"/>
      <c r="P3337" s="12">
        <f t="shared" ref="P3337:P3400" si="930">SUM(N3337+O3337)</f>
        <v>0</v>
      </c>
      <c r="Q3337" s="7">
        <f t="shared" ref="Q3337:Q3400" si="931">SUM(Q3336+N3337)</f>
        <v>5490533.75</v>
      </c>
      <c r="R3337" s="44" t="str">
        <f>VLOOKUP(F3337,'Set up'!$A$2:$E$56,5,FALSE)</f>
        <v>Cash</v>
      </c>
    </row>
    <row r="3338" spans="1:18" ht="15" customHeight="1" x14ac:dyDescent="0.3">
      <c r="A3338" s="4">
        <v>45597</v>
      </c>
      <c r="B3338" s="5">
        <f t="shared" si="925"/>
        <v>11</v>
      </c>
      <c r="C3338" s="5">
        <f t="shared" si="926"/>
        <v>2024</v>
      </c>
      <c r="D3338" s="5" t="s">
        <v>2950</v>
      </c>
      <c r="E3338" s="5" t="str">
        <f>VLOOKUP(F3338,'Set up'!$A$2:$C$56,2,FALSE)</f>
        <v>C00000019</v>
      </c>
      <c r="F3338" s="1" t="s">
        <v>401</v>
      </c>
      <c r="G3338" s="90" t="s">
        <v>95</v>
      </c>
      <c r="H3338" s="135">
        <v>1</v>
      </c>
      <c r="I3338" s="5" t="str">
        <f>VLOOKUP(F3338,'Set up'!$A$2:$C$56,3,FALSE)</f>
        <v>Cash</v>
      </c>
      <c r="J3338" s="5">
        <f>VLOOKUP(F3338,'Set up'!$A$2:$D$56,4,FALSE)</f>
        <v>0</v>
      </c>
      <c r="K3338" s="4">
        <f t="shared" si="927"/>
        <v>45597</v>
      </c>
      <c r="L3338" s="5">
        <f t="shared" si="928"/>
        <v>11</v>
      </c>
      <c r="M3338" s="5">
        <f t="shared" si="929"/>
        <v>2024</v>
      </c>
      <c r="N3338" s="97">
        <v>1738</v>
      </c>
      <c r="O3338" s="12"/>
      <c r="P3338" s="12">
        <f t="shared" si="930"/>
        <v>1738</v>
      </c>
      <c r="Q3338" s="7">
        <f t="shared" si="931"/>
        <v>5492271.75</v>
      </c>
      <c r="R3338" s="44" t="str">
        <f>VLOOKUP(F3338,'Set up'!$A$2:$E$56,5,FALSE)</f>
        <v>Trsf</v>
      </c>
    </row>
    <row r="3339" spans="1:18" ht="15" customHeight="1" x14ac:dyDescent="0.3">
      <c r="A3339" s="4">
        <v>45597</v>
      </c>
      <c r="B3339" s="5">
        <f t="shared" si="925"/>
        <v>11</v>
      </c>
      <c r="C3339" s="5">
        <f t="shared" si="926"/>
        <v>2024</v>
      </c>
      <c r="D3339" s="5" t="s">
        <v>2950</v>
      </c>
      <c r="E3339" s="5" t="str">
        <f>VLOOKUP(F3339,'Set up'!$A$2:$C$56,2,FALSE)</f>
        <v>C00000019</v>
      </c>
      <c r="F3339" s="1" t="s">
        <v>401</v>
      </c>
      <c r="G3339" s="90" t="s">
        <v>2522</v>
      </c>
      <c r="H3339" s="135">
        <v>1</v>
      </c>
      <c r="I3339" s="5" t="str">
        <f>VLOOKUP(F3339,'Set up'!$A$2:$C$56,3,FALSE)</f>
        <v>Cash</v>
      </c>
      <c r="J3339" s="5">
        <f>VLOOKUP(F3339,'Set up'!$A$2:$D$56,4,FALSE)</f>
        <v>0</v>
      </c>
      <c r="K3339" s="4">
        <f t="shared" si="927"/>
        <v>45597</v>
      </c>
      <c r="L3339" s="5">
        <f t="shared" si="928"/>
        <v>11</v>
      </c>
      <c r="M3339" s="5">
        <f t="shared" si="929"/>
        <v>2024</v>
      </c>
      <c r="N3339" s="97">
        <v>420</v>
      </c>
      <c r="O3339" s="12"/>
      <c r="P3339" s="12">
        <f t="shared" si="930"/>
        <v>420</v>
      </c>
      <c r="Q3339" s="7">
        <f t="shared" si="931"/>
        <v>5492691.75</v>
      </c>
      <c r="R3339" s="44" t="str">
        <f>VLOOKUP(F3339,'Set up'!$A$2:$E$56,5,FALSE)</f>
        <v>Trsf</v>
      </c>
    </row>
    <row r="3340" spans="1:18" ht="15" customHeight="1" x14ac:dyDescent="0.3">
      <c r="A3340" s="4">
        <v>45597</v>
      </c>
      <c r="B3340" s="5">
        <f t="shared" si="925"/>
        <v>11</v>
      </c>
      <c r="C3340" s="5">
        <f t="shared" si="926"/>
        <v>2024</v>
      </c>
      <c r="D3340" s="5" t="s">
        <v>2951</v>
      </c>
      <c r="E3340" s="5" t="str">
        <f>VLOOKUP(F3340,'Set up'!$A$2:$C$56,2,FALSE)</f>
        <v>C00000050</v>
      </c>
      <c r="F3340" s="1" t="s">
        <v>2732</v>
      </c>
      <c r="G3340" s="132" t="s">
        <v>2628</v>
      </c>
      <c r="H3340" s="135">
        <v>1</v>
      </c>
      <c r="I3340" s="5" t="str">
        <f>VLOOKUP(F3340,'Set up'!$A$2:$C$56,3,FALSE)</f>
        <v>Cash</v>
      </c>
      <c r="J3340" s="5">
        <f>VLOOKUP(F3340,'Set up'!$A$2:$D$56,4,FALSE)</f>
        <v>0</v>
      </c>
      <c r="K3340" s="4">
        <f t="shared" si="927"/>
        <v>45597</v>
      </c>
      <c r="L3340" s="5">
        <f t="shared" si="928"/>
        <v>11</v>
      </c>
      <c r="M3340" s="5">
        <f t="shared" si="929"/>
        <v>2024</v>
      </c>
      <c r="N3340" s="97">
        <v>1738</v>
      </c>
      <c r="O3340" s="12"/>
      <c r="P3340" s="12">
        <f t="shared" si="930"/>
        <v>1738</v>
      </c>
      <c r="Q3340" s="7">
        <f t="shared" si="931"/>
        <v>5494429.75</v>
      </c>
      <c r="R3340" s="44" t="str">
        <f>VLOOKUP(F3340,'Set up'!$A$2:$E$56,5,FALSE)</f>
        <v>Cash</v>
      </c>
    </row>
    <row r="3341" spans="1:18" ht="15" customHeight="1" x14ac:dyDescent="0.3">
      <c r="A3341" s="4">
        <v>45597</v>
      </c>
      <c r="B3341" s="5">
        <f t="shared" si="925"/>
        <v>11</v>
      </c>
      <c r="C3341" s="5">
        <f t="shared" si="926"/>
        <v>2024</v>
      </c>
      <c r="D3341" s="5" t="s">
        <v>2951</v>
      </c>
      <c r="E3341" s="5" t="str">
        <f>VLOOKUP(F3341,'Set up'!$A$2:$C$56,2,FALSE)</f>
        <v>C00000050</v>
      </c>
      <c r="F3341" s="1" t="s">
        <v>2732</v>
      </c>
      <c r="G3341" s="98" t="s">
        <v>2199</v>
      </c>
      <c r="H3341" s="135">
        <v>2</v>
      </c>
      <c r="I3341" s="5" t="str">
        <f>VLOOKUP(F3341,'Set up'!$A$2:$C$56,3,FALSE)</f>
        <v>Cash</v>
      </c>
      <c r="J3341" s="5">
        <f>VLOOKUP(F3341,'Set up'!$A$2:$D$56,4,FALSE)</f>
        <v>0</v>
      </c>
      <c r="K3341" s="4">
        <f t="shared" si="927"/>
        <v>45597</v>
      </c>
      <c r="L3341" s="5">
        <f t="shared" si="928"/>
        <v>11</v>
      </c>
      <c r="M3341" s="5">
        <f t="shared" si="929"/>
        <v>2024</v>
      </c>
      <c r="N3341" s="12">
        <v>555</v>
      </c>
      <c r="O3341" s="12"/>
      <c r="P3341" s="12">
        <f t="shared" si="930"/>
        <v>555</v>
      </c>
      <c r="Q3341" s="7">
        <f t="shared" si="931"/>
        <v>5494984.75</v>
      </c>
      <c r="R3341" s="44" t="str">
        <f>VLOOKUP(F3341,'Set up'!$A$2:$E$56,5,FALSE)</f>
        <v>Cash</v>
      </c>
    </row>
    <row r="3342" spans="1:18" ht="15" customHeight="1" x14ac:dyDescent="0.3">
      <c r="A3342" s="4">
        <v>45597</v>
      </c>
      <c r="B3342" s="5">
        <f t="shared" si="925"/>
        <v>11</v>
      </c>
      <c r="C3342" s="5">
        <f t="shared" si="926"/>
        <v>2024</v>
      </c>
      <c r="D3342" s="5" t="s">
        <v>2951</v>
      </c>
      <c r="E3342" s="5" t="str">
        <f>VLOOKUP(F3342,'Set up'!$A$2:$C$56,2,FALSE)</f>
        <v>C00000050</v>
      </c>
      <c r="F3342" s="1" t="s">
        <v>2732</v>
      </c>
      <c r="G3342" s="98" t="s">
        <v>1062</v>
      </c>
      <c r="H3342" s="135">
        <v>1</v>
      </c>
      <c r="I3342" s="5" t="str">
        <f>VLOOKUP(F3342,'Set up'!$A$2:$C$56,3,FALSE)</f>
        <v>Cash</v>
      </c>
      <c r="J3342" s="5">
        <f>VLOOKUP(F3342,'Set up'!$A$2:$D$56,4,FALSE)</f>
        <v>0</v>
      </c>
      <c r="K3342" s="4">
        <f t="shared" si="927"/>
        <v>45597</v>
      </c>
      <c r="L3342" s="5">
        <f t="shared" si="928"/>
        <v>11</v>
      </c>
      <c r="M3342" s="5">
        <f t="shared" si="929"/>
        <v>2024</v>
      </c>
      <c r="N3342" s="12">
        <v>95</v>
      </c>
      <c r="O3342" s="12"/>
      <c r="P3342" s="12">
        <f t="shared" si="930"/>
        <v>95</v>
      </c>
      <c r="Q3342" s="7">
        <f t="shared" si="931"/>
        <v>5495079.75</v>
      </c>
      <c r="R3342" s="44" t="str">
        <f>VLOOKUP(F3342,'Set up'!$A$2:$E$56,5,FALSE)</f>
        <v>Cash</v>
      </c>
    </row>
    <row r="3343" spans="1:18" ht="15" customHeight="1" x14ac:dyDescent="0.3">
      <c r="A3343" s="4">
        <v>45598</v>
      </c>
      <c r="B3343" s="5">
        <f t="shared" si="925"/>
        <v>11</v>
      </c>
      <c r="C3343" s="5">
        <f t="shared" si="926"/>
        <v>2024</v>
      </c>
      <c r="D3343" s="5" t="s">
        <v>2952</v>
      </c>
      <c r="E3343" s="5" t="str">
        <f>VLOOKUP(F3343,'Set up'!$A$2:$C$56,2,FALSE)</f>
        <v>C00000042</v>
      </c>
      <c r="F3343" s="1" t="s">
        <v>2013</v>
      </c>
      <c r="G3343" s="102" t="s">
        <v>2722</v>
      </c>
      <c r="H3343" s="135">
        <v>11</v>
      </c>
      <c r="I3343" s="5" t="str">
        <f>VLOOKUP(F3343,'Set up'!$A$2:$C$56,3,FALSE)</f>
        <v>Cash</v>
      </c>
      <c r="J3343" s="5">
        <f>VLOOKUP(F3343,'Set up'!$A$2:$D$56,4,FALSE)</f>
        <v>0</v>
      </c>
      <c r="K3343" s="4">
        <f t="shared" si="927"/>
        <v>45598</v>
      </c>
      <c r="L3343" s="5">
        <f t="shared" si="928"/>
        <v>11</v>
      </c>
      <c r="M3343" s="5">
        <f t="shared" si="929"/>
        <v>2024</v>
      </c>
      <c r="N3343" s="12">
        <v>687.5</v>
      </c>
      <c r="O3343" s="12"/>
      <c r="P3343" s="12">
        <f t="shared" si="930"/>
        <v>687.5</v>
      </c>
      <c r="Q3343" s="7">
        <f t="shared" si="931"/>
        <v>5495767.25</v>
      </c>
      <c r="R3343" s="44" t="str">
        <f>VLOOKUP(F3343,'Set up'!$A$2:$E$56,5,FALSE)</f>
        <v>Trsf</v>
      </c>
    </row>
    <row r="3344" spans="1:18" ht="15" customHeight="1" x14ac:dyDescent="0.3">
      <c r="A3344" s="4">
        <v>45597</v>
      </c>
      <c r="B3344" s="5">
        <f t="shared" si="925"/>
        <v>11</v>
      </c>
      <c r="C3344" s="5">
        <f t="shared" si="926"/>
        <v>2024</v>
      </c>
      <c r="D3344" s="5" t="s">
        <v>2953</v>
      </c>
      <c r="E3344" s="5" t="str">
        <f>VLOOKUP(F3344,'Set up'!$A$2:$C$56,2,FALSE)</f>
        <v>C00000042</v>
      </c>
      <c r="F3344" s="1" t="s">
        <v>2013</v>
      </c>
      <c r="G3344" s="124" t="s">
        <v>2625</v>
      </c>
      <c r="H3344" s="135">
        <v>11</v>
      </c>
      <c r="I3344" s="5" t="str">
        <f>VLOOKUP(F3344,'Set up'!$A$2:$C$56,3,FALSE)</f>
        <v>Cash</v>
      </c>
      <c r="J3344" s="5">
        <f>VLOOKUP(F3344,'Set up'!$A$2:$D$56,4,FALSE)</f>
        <v>0</v>
      </c>
      <c r="K3344" s="4">
        <f t="shared" si="927"/>
        <v>45597</v>
      </c>
      <c r="L3344" s="5">
        <f t="shared" si="928"/>
        <v>11</v>
      </c>
      <c r="M3344" s="5">
        <f t="shared" si="929"/>
        <v>2024</v>
      </c>
      <c r="N3344" s="12">
        <v>17666</v>
      </c>
      <c r="O3344" s="12"/>
      <c r="P3344" s="12">
        <f t="shared" si="930"/>
        <v>17666</v>
      </c>
      <c r="Q3344" s="7">
        <f t="shared" si="931"/>
        <v>5513433.25</v>
      </c>
      <c r="R3344" s="44" t="str">
        <f>VLOOKUP(F3344,'Set up'!$A$2:$E$56,5,FALSE)</f>
        <v>Trsf</v>
      </c>
    </row>
    <row r="3345" spans="1:18" ht="15" customHeight="1" x14ac:dyDescent="0.3">
      <c r="A3345" s="4">
        <v>45597</v>
      </c>
      <c r="B3345" s="5">
        <f t="shared" si="925"/>
        <v>11</v>
      </c>
      <c r="C3345" s="5">
        <f t="shared" si="926"/>
        <v>2024</v>
      </c>
      <c r="D3345" s="5" t="s">
        <v>2953</v>
      </c>
      <c r="E3345" s="5" t="str">
        <f>VLOOKUP(F3345,'Set up'!$A$2:$C$56,2,FALSE)</f>
        <v>C00000042</v>
      </c>
      <c r="F3345" s="1" t="s">
        <v>2013</v>
      </c>
      <c r="G3345" s="90" t="s">
        <v>2507</v>
      </c>
      <c r="H3345" s="135">
        <v>23</v>
      </c>
      <c r="I3345" s="5" t="str">
        <f>VLOOKUP(F3345,'Set up'!$A$2:$C$56,3,FALSE)</f>
        <v>Cash</v>
      </c>
      <c r="J3345" s="5">
        <f>VLOOKUP(F3345,'Set up'!$A$2:$D$56,4,FALSE)</f>
        <v>0</v>
      </c>
      <c r="K3345" s="4">
        <f t="shared" si="927"/>
        <v>45597</v>
      </c>
      <c r="L3345" s="5">
        <f t="shared" si="928"/>
        <v>11</v>
      </c>
      <c r="M3345" s="5">
        <f t="shared" si="929"/>
        <v>2024</v>
      </c>
      <c r="N3345" s="12">
        <v>4935.8</v>
      </c>
      <c r="O3345" s="12"/>
      <c r="P3345" s="12">
        <f t="shared" si="930"/>
        <v>4935.8</v>
      </c>
      <c r="Q3345" s="7">
        <f t="shared" si="931"/>
        <v>5518369.0499999998</v>
      </c>
      <c r="R3345" s="44" t="str">
        <f>VLOOKUP(F3345,'Set up'!$A$2:$E$56,5,FALSE)</f>
        <v>Trsf</v>
      </c>
    </row>
    <row r="3346" spans="1:18" ht="15" customHeight="1" x14ac:dyDescent="0.3">
      <c r="A3346" s="4">
        <v>45597</v>
      </c>
      <c r="B3346" s="5">
        <f t="shared" si="925"/>
        <v>11</v>
      </c>
      <c r="C3346" s="5">
        <f t="shared" si="926"/>
        <v>2024</v>
      </c>
      <c r="D3346" s="5" t="s">
        <v>2953</v>
      </c>
      <c r="E3346" s="5" t="str">
        <f>VLOOKUP(F3346,'Set up'!$A$2:$C$56,2,FALSE)</f>
        <v>C00000042</v>
      </c>
      <c r="F3346" s="1" t="s">
        <v>2013</v>
      </c>
      <c r="G3346" s="90" t="s">
        <v>1923</v>
      </c>
      <c r="H3346" s="135">
        <v>8</v>
      </c>
      <c r="I3346" s="5" t="str">
        <f>VLOOKUP(F3346,'Set up'!$A$2:$C$56,3,FALSE)</f>
        <v>Cash</v>
      </c>
      <c r="J3346" s="5">
        <f>VLOOKUP(F3346,'Set up'!$A$2:$D$56,4,FALSE)</f>
        <v>0</v>
      </c>
      <c r="K3346" s="4">
        <f t="shared" si="927"/>
        <v>45597</v>
      </c>
      <c r="L3346" s="5">
        <f t="shared" si="928"/>
        <v>11</v>
      </c>
      <c r="M3346" s="5">
        <f t="shared" si="929"/>
        <v>2024</v>
      </c>
      <c r="N3346" s="12">
        <v>1908</v>
      </c>
      <c r="O3346" s="12"/>
      <c r="P3346" s="12">
        <f t="shared" si="930"/>
        <v>1908</v>
      </c>
      <c r="Q3346" s="7">
        <f t="shared" si="931"/>
        <v>5520277.0499999998</v>
      </c>
      <c r="R3346" s="44" t="str">
        <f>VLOOKUP(F3346,'Set up'!$A$2:$E$56,5,FALSE)</f>
        <v>Trsf</v>
      </c>
    </row>
    <row r="3347" spans="1:18" ht="15" customHeight="1" x14ac:dyDescent="0.3">
      <c r="A3347" s="4">
        <v>45597</v>
      </c>
      <c r="B3347" s="5">
        <f t="shared" si="925"/>
        <v>11</v>
      </c>
      <c r="C3347" s="5">
        <f t="shared" si="926"/>
        <v>2024</v>
      </c>
      <c r="D3347" s="5" t="s">
        <v>2953</v>
      </c>
      <c r="E3347" s="5" t="str">
        <f>VLOOKUP(F3347,'Set up'!$A$2:$C$56,2,FALSE)</f>
        <v>C00000042</v>
      </c>
      <c r="F3347" s="1" t="s">
        <v>2013</v>
      </c>
      <c r="G3347" s="90" t="s">
        <v>1062</v>
      </c>
      <c r="H3347" s="135">
        <v>4</v>
      </c>
      <c r="I3347" s="5" t="str">
        <f>VLOOKUP(F3347,'Set up'!$A$2:$C$56,3,FALSE)</f>
        <v>Cash</v>
      </c>
      <c r="J3347" s="5">
        <f>VLOOKUP(F3347,'Set up'!$A$2:$D$56,4,FALSE)</f>
        <v>0</v>
      </c>
      <c r="K3347" s="4">
        <f t="shared" si="927"/>
        <v>45597</v>
      </c>
      <c r="L3347" s="5">
        <f t="shared" si="928"/>
        <v>11</v>
      </c>
      <c r="M3347" s="5">
        <f t="shared" si="929"/>
        <v>2024</v>
      </c>
      <c r="N3347" s="12">
        <v>380</v>
      </c>
      <c r="O3347" s="12"/>
      <c r="P3347" s="12">
        <f t="shared" si="930"/>
        <v>380</v>
      </c>
      <c r="Q3347" s="7">
        <f t="shared" si="931"/>
        <v>5520657.0499999998</v>
      </c>
      <c r="R3347" s="44" t="str">
        <f>VLOOKUP(F3347,'Set up'!$A$2:$E$56,5,FALSE)</f>
        <v>Trsf</v>
      </c>
    </row>
    <row r="3348" spans="1:18" ht="15" customHeight="1" x14ac:dyDescent="0.3">
      <c r="A3348" s="4">
        <v>45597</v>
      </c>
      <c r="B3348" s="5">
        <f t="shared" si="925"/>
        <v>11</v>
      </c>
      <c r="C3348" s="5">
        <f t="shared" si="926"/>
        <v>2024</v>
      </c>
      <c r="D3348" s="5" t="s">
        <v>2953</v>
      </c>
      <c r="E3348" s="5" t="str">
        <f>VLOOKUP(F3348,'Set up'!$A$2:$C$56,2,FALSE)</f>
        <v>C00000042</v>
      </c>
      <c r="F3348" s="1" t="s">
        <v>2013</v>
      </c>
      <c r="G3348" s="90" t="s">
        <v>1074</v>
      </c>
      <c r="H3348" s="135">
        <v>1</v>
      </c>
      <c r="I3348" s="5" t="str">
        <f>VLOOKUP(F3348,'Set up'!$A$2:$C$56,3,FALSE)</f>
        <v>Cash</v>
      </c>
      <c r="J3348" s="5">
        <f>VLOOKUP(F3348,'Set up'!$A$2:$D$56,4,FALSE)</f>
        <v>0</v>
      </c>
      <c r="K3348" s="4">
        <f t="shared" si="927"/>
        <v>45597</v>
      </c>
      <c r="L3348" s="5">
        <f t="shared" si="928"/>
        <v>11</v>
      </c>
      <c r="M3348" s="5">
        <f t="shared" si="929"/>
        <v>2024</v>
      </c>
      <c r="N3348" s="12">
        <v>1000</v>
      </c>
      <c r="O3348" s="12"/>
      <c r="P3348" s="12">
        <f t="shared" si="930"/>
        <v>1000</v>
      </c>
      <c r="Q3348" s="7">
        <f t="shared" si="931"/>
        <v>5521657.0499999998</v>
      </c>
      <c r="R3348" s="44" t="str">
        <f>VLOOKUP(F3348,'Set up'!$A$2:$E$56,5,FALSE)</f>
        <v>Trsf</v>
      </c>
    </row>
    <row r="3349" spans="1:18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2955</v>
      </c>
      <c r="E3349" s="5" t="str">
        <f>VLOOKUP(F3349,'Set up'!$A$2:$C$56,2,FALSE)</f>
        <v>C00000005</v>
      </c>
      <c r="F3349" s="1" t="s">
        <v>35</v>
      </c>
      <c r="G3349" s="11" t="s">
        <v>2954</v>
      </c>
      <c r="H3349" s="135">
        <v>1</v>
      </c>
      <c r="I3349" s="5" t="str">
        <f>VLOOKUP(F3349,'Set up'!$A$2:$C$56,3,FALSE)</f>
        <v>Cash</v>
      </c>
      <c r="J3349" s="5">
        <f>VLOOKUP(F3349,'Set up'!$A$2:$D$56,4,FALSE)</f>
        <v>0</v>
      </c>
      <c r="K3349" s="4">
        <f>A3349+J3349</f>
        <v>45600</v>
      </c>
      <c r="L3349" s="5">
        <f t="shared" si="928"/>
        <v>11</v>
      </c>
      <c r="M3349" s="5">
        <f t="shared" si="929"/>
        <v>2024</v>
      </c>
      <c r="N3349" s="12">
        <v>475</v>
      </c>
      <c r="O3349" s="12"/>
      <c r="P3349" s="12">
        <f t="shared" si="930"/>
        <v>475</v>
      </c>
      <c r="Q3349" s="7">
        <f t="shared" si="931"/>
        <v>5522132.0499999998</v>
      </c>
      <c r="R3349" s="44" t="str">
        <f>VLOOKUP(F3349,'Set up'!$A$2:$E$56,5,FALSE)</f>
        <v>Chq</v>
      </c>
    </row>
    <row r="3350" spans="1:18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2956</v>
      </c>
      <c r="E3350" s="5" t="str">
        <f>VLOOKUP(F3350,'Set up'!$A$2:$C$56,2,FALSE)</f>
        <v>C00000041</v>
      </c>
      <c r="F3350" s="1" t="s">
        <v>1705</v>
      </c>
      <c r="G3350" s="133" t="s">
        <v>46</v>
      </c>
      <c r="H3350" s="135">
        <v>1</v>
      </c>
      <c r="I3350" s="5" t="str">
        <f>VLOOKUP(F3350,'Set up'!$A$2:$C$56,3,FALSE)</f>
        <v>Cash</v>
      </c>
      <c r="J3350" s="5">
        <f>VLOOKUP(F3350,'Set up'!$A$2:$D$56,4,FALSE)</f>
        <v>0</v>
      </c>
      <c r="K3350" s="4">
        <f>A3350+J3350</f>
        <v>45601</v>
      </c>
      <c r="L3350" s="5">
        <f t="shared" si="928"/>
        <v>11</v>
      </c>
      <c r="M3350" s="5">
        <f t="shared" si="929"/>
        <v>2024</v>
      </c>
      <c r="N3350" s="12">
        <v>115</v>
      </c>
      <c r="O3350" s="12"/>
      <c r="P3350" s="12">
        <f t="shared" si="930"/>
        <v>115</v>
      </c>
      <c r="Q3350" s="7">
        <f t="shared" si="931"/>
        <v>5522247.0499999998</v>
      </c>
      <c r="R3350" s="44" t="str">
        <f>VLOOKUP(F3350,'Set up'!$A$2:$E$56,5,FALSE)</f>
        <v>Trsf</v>
      </c>
    </row>
    <row r="3351" spans="1:18" ht="15" customHeight="1" x14ac:dyDescent="0.3">
      <c r="A3351" s="4">
        <v>45602</v>
      </c>
      <c r="B3351" s="5">
        <f t="shared" si="925"/>
        <v>11</v>
      </c>
      <c r="C3351" s="5">
        <f t="shared" si="926"/>
        <v>2024</v>
      </c>
      <c r="D3351" s="5" t="s">
        <v>2958</v>
      </c>
      <c r="E3351" s="5" t="str">
        <f>VLOOKUP(F3351,'Set up'!$A$2:$C$56,2,FALSE)</f>
        <v>C00000044</v>
      </c>
      <c r="F3351" s="1" t="s">
        <v>2959</v>
      </c>
      <c r="G3351" s="133" t="s">
        <v>1403</v>
      </c>
      <c r="H3351" s="135">
        <v>1</v>
      </c>
      <c r="I3351" s="5" t="str">
        <f>VLOOKUP(F3351,'Set up'!$A$2:$C$56,3,FALSE)</f>
        <v>Cash</v>
      </c>
      <c r="J3351" s="5">
        <f>VLOOKUP(F3351,'Set up'!$A$2:$D$56,4,FALSE)</f>
        <v>0</v>
      </c>
      <c r="K3351" s="4">
        <f t="shared" si="927"/>
        <v>45602</v>
      </c>
      <c r="L3351" s="5">
        <f t="shared" si="928"/>
        <v>11</v>
      </c>
      <c r="M3351" s="5">
        <f t="shared" si="929"/>
        <v>2024</v>
      </c>
      <c r="N3351" s="12">
        <v>1694</v>
      </c>
      <c r="O3351" s="12"/>
      <c r="P3351" s="12">
        <f t="shared" si="930"/>
        <v>1694</v>
      </c>
      <c r="Q3351" s="7">
        <f t="shared" si="931"/>
        <v>5523941.0499999998</v>
      </c>
      <c r="R3351" s="44" t="str">
        <f>VLOOKUP(F3351,'Set up'!$A$2:$E$56,5,FALSE)</f>
        <v>Cash</v>
      </c>
    </row>
    <row r="3352" spans="1:18" ht="15" customHeight="1" x14ac:dyDescent="0.3">
      <c r="A3352" s="4">
        <v>45602</v>
      </c>
      <c r="B3352" s="5">
        <f t="shared" si="925"/>
        <v>11</v>
      </c>
      <c r="C3352" s="5">
        <f t="shared" si="926"/>
        <v>2024</v>
      </c>
      <c r="D3352" s="5" t="s">
        <v>2958</v>
      </c>
      <c r="E3352" s="5" t="str">
        <f>VLOOKUP(F3352,'Set up'!$A$2:$C$56,2,FALSE)</f>
        <v>C00000044</v>
      </c>
      <c r="F3352" s="1" t="s">
        <v>2959</v>
      </c>
      <c r="G3352" s="116" t="s">
        <v>2643</v>
      </c>
      <c r="H3352" s="135">
        <v>3</v>
      </c>
      <c r="I3352" s="5" t="str">
        <f>VLOOKUP(F3352,'Set up'!$A$2:$C$56,3,FALSE)</f>
        <v>Cash</v>
      </c>
      <c r="J3352" s="5">
        <f>VLOOKUP(F3352,'Set up'!$A$2:$D$56,4,FALSE)</f>
        <v>0</v>
      </c>
      <c r="K3352" s="4">
        <f t="shared" si="927"/>
        <v>45602</v>
      </c>
      <c r="L3352" s="5">
        <f t="shared" si="928"/>
        <v>11</v>
      </c>
      <c r="M3352" s="5">
        <f t="shared" si="929"/>
        <v>2024</v>
      </c>
      <c r="N3352" s="12">
        <v>648</v>
      </c>
      <c r="O3352" s="12"/>
      <c r="P3352" s="12">
        <f t="shared" si="930"/>
        <v>648</v>
      </c>
      <c r="Q3352" s="7">
        <f t="shared" si="931"/>
        <v>5524589.0499999998</v>
      </c>
      <c r="R3352" s="44" t="str">
        <f>VLOOKUP(F3352,'Set up'!$A$2:$E$56,5,FALSE)</f>
        <v>Cash</v>
      </c>
    </row>
    <row r="3353" spans="1:18" ht="15" customHeight="1" x14ac:dyDescent="0.3">
      <c r="A3353" s="4">
        <v>45602</v>
      </c>
      <c r="B3353" s="5">
        <f t="shared" si="925"/>
        <v>11</v>
      </c>
      <c r="C3353" s="5">
        <f t="shared" si="926"/>
        <v>2024</v>
      </c>
      <c r="D3353" s="5" t="s">
        <v>2958</v>
      </c>
      <c r="E3353" s="5" t="str">
        <f>VLOOKUP(F3353,'Set up'!$A$2:$C$56,2,FALSE)</f>
        <v>C00000044</v>
      </c>
      <c r="F3353" s="1" t="s">
        <v>2959</v>
      </c>
      <c r="G3353" s="98" t="s">
        <v>1469</v>
      </c>
      <c r="H3353" s="135">
        <v>1</v>
      </c>
      <c r="I3353" s="5" t="str">
        <f>VLOOKUP(F3353,'Set up'!$A$2:$C$56,3,FALSE)</f>
        <v>Cash</v>
      </c>
      <c r="J3353" s="5">
        <f>VLOOKUP(F3353,'Set up'!$A$2:$D$56,4,FALSE)</f>
        <v>0</v>
      </c>
      <c r="K3353" s="4">
        <f t="shared" si="927"/>
        <v>45602</v>
      </c>
      <c r="L3353" s="5">
        <f t="shared" si="928"/>
        <v>11</v>
      </c>
      <c r="M3353" s="5">
        <f t="shared" si="929"/>
        <v>2024</v>
      </c>
      <c r="N3353" s="12">
        <v>325</v>
      </c>
      <c r="O3353" s="12"/>
      <c r="P3353" s="12">
        <f t="shared" si="930"/>
        <v>325</v>
      </c>
      <c r="Q3353" s="7">
        <f t="shared" si="931"/>
        <v>5524914.0499999998</v>
      </c>
      <c r="R3353" s="44" t="str">
        <f>VLOOKUP(F3353,'Set up'!$A$2:$E$56,5,FALSE)</f>
        <v>Cash</v>
      </c>
    </row>
    <row r="3354" spans="1:18" ht="15" customHeight="1" x14ac:dyDescent="0.3">
      <c r="A3354" s="4">
        <v>45602</v>
      </c>
      <c r="B3354" s="5">
        <f t="shared" si="925"/>
        <v>11</v>
      </c>
      <c r="C3354" s="5">
        <f t="shared" si="926"/>
        <v>2024</v>
      </c>
      <c r="D3354" s="5" t="s">
        <v>2958</v>
      </c>
      <c r="E3354" s="5" t="str">
        <f>VLOOKUP(F3354,'Set up'!$A$2:$C$56,2,FALSE)</f>
        <v>C00000044</v>
      </c>
      <c r="F3354" s="1" t="s">
        <v>2959</v>
      </c>
      <c r="G3354" s="98" t="s">
        <v>950</v>
      </c>
      <c r="H3354" s="135">
        <v>1</v>
      </c>
      <c r="I3354" s="5" t="str">
        <f>VLOOKUP(F3354,'Set up'!$A$2:$C$56,3,FALSE)</f>
        <v>Cash</v>
      </c>
      <c r="J3354" s="5">
        <f>VLOOKUP(F3354,'Set up'!$A$2:$D$56,4,FALSE)</f>
        <v>0</v>
      </c>
      <c r="K3354" s="4">
        <f t="shared" si="927"/>
        <v>45602</v>
      </c>
      <c r="L3354" s="5">
        <f t="shared" si="928"/>
        <v>11</v>
      </c>
      <c r="M3354" s="5">
        <f t="shared" si="929"/>
        <v>2024</v>
      </c>
      <c r="N3354" s="12">
        <v>60</v>
      </c>
      <c r="O3354" s="12"/>
      <c r="P3354" s="12">
        <f t="shared" si="930"/>
        <v>60</v>
      </c>
      <c r="Q3354" s="7">
        <f t="shared" si="931"/>
        <v>5524974.0499999998</v>
      </c>
      <c r="R3354" s="44" t="str">
        <f>VLOOKUP(F3354,'Set up'!$A$2:$E$56,5,FALSE)</f>
        <v>Cash</v>
      </c>
    </row>
    <row r="3355" spans="1:18" ht="15" customHeight="1" x14ac:dyDescent="0.3">
      <c r="A3355" s="4">
        <v>45602</v>
      </c>
      <c r="B3355" s="5">
        <f t="shared" si="925"/>
        <v>11</v>
      </c>
      <c r="C3355" s="5">
        <f t="shared" si="926"/>
        <v>2024</v>
      </c>
      <c r="D3355" s="5" t="s">
        <v>2958</v>
      </c>
      <c r="E3355" s="5" t="str">
        <f>VLOOKUP(F3355,'Set up'!$A$2:$C$56,2,FALSE)</f>
        <v>C00000044</v>
      </c>
      <c r="F3355" s="1" t="s">
        <v>2959</v>
      </c>
      <c r="G3355" s="116" t="s">
        <v>1716</v>
      </c>
      <c r="H3355" s="135">
        <v>1</v>
      </c>
      <c r="I3355" s="5" t="str">
        <f>VLOOKUP(F3355,'Set up'!$A$2:$C$56,3,FALSE)</f>
        <v>Cash</v>
      </c>
      <c r="J3355" s="5">
        <f>VLOOKUP(F3355,'Set up'!$A$2:$D$56,4,FALSE)</f>
        <v>0</v>
      </c>
      <c r="K3355" s="4">
        <f t="shared" si="927"/>
        <v>45602</v>
      </c>
      <c r="L3355" s="5">
        <f t="shared" si="928"/>
        <v>11</v>
      </c>
      <c r="M3355" s="5">
        <f t="shared" si="929"/>
        <v>2024</v>
      </c>
      <c r="N3355" s="12">
        <v>165</v>
      </c>
      <c r="O3355" s="12"/>
      <c r="P3355" s="12">
        <f t="shared" si="930"/>
        <v>165</v>
      </c>
      <c r="Q3355" s="7">
        <f t="shared" si="931"/>
        <v>5525139.0499999998</v>
      </c>
      <c r="R3355" s="44" t="str">
        <f>VLOOKUP(F3355,'Set up'!$A$2:$E$56,5,FALSE)</f>
        <v>Cash</v>
      </c>
    </row>
    <row r="3356" spans="1:18" ht="15" customHeight="1" x14ac:dyDescent="0.3">
      <c r="A3356" s="4">
        <v>45602</v>
      </c>
      <c r="B3356" s="5">
        <f t="shared" si="925"/>
        <v>11</v>
      </c>
      <c r="C3356" s="5">
        <f t="shared" si="926"/>
        <v>2024</v>
      </c>
      <c r="D3356" s="5" t="s">
        <v>2958</v>
      </c>
      <c r="E3356" s="5" t="str">
        <f>VLOOKUP(F3356,'Set up'!$A$2:$C$56,2,FALSE)</f>
        <v>C00000044</v>
      </c>
      <c r="F3356" s="1" t="s">
        <v>2959</v>
      </c>
      <c r="G3356" s="116" t="s">
        <v>2957</v>
      </c>
      <c r="H3356" s="135">
        <v>1</v>
      </c>
      <c r="I3356" s="5" t="str">
        <f>VLOOKUP(F3356,'Set up'!$A$2:$C$56,3,FALSE)</f>
        <v>Cash</v>
      </c>
      <c r="J3356" s="5">
        <f>VLOOKUP(F3356,'Set up'!$A$2:$D$56,4,FALSE)</f>
        <v>0</v>
      </c>
      <c r="K3356" s="4">
        <f t="shared" si="927"/>
        <v>45602</v>
      </c>
      <c r="L3356" s="5">
        <f t="shared" si="928"/>
        <v>11</v>
      </c>
      <c r="M3356" s="5">
        <f t="shared" si="929"/>
        <v>2024</v>
      </c>
      <c r="N3356" s="12">
        <v>240</v>
      </c>
      <c r="O3356" s="12"/>
      <c r="P3356" s="12">
        <f t="shared" si="930"/>
        <v>240</v>
      </c>
      <c r="Q3356" s="7">
        <f t="shared" si="931"/>
        <v>5525379.0499999998</v>
      </c>
      <c r="R3356" s="44" t="str">
        <f>VLOOKUP(F3356,'Set up'!$A$2:$E$56,5,FALSE)</f>
        <v>Cash</v>
      </c>
    </row>
    <row r="3357" spans="1:18" ht="15" customHeight="1" x14ac:dyDescent="0.3">
      <c r="A3357" s="4">
        <v>45601</v>
      </c>
      <c r="B3357" s="5">
        <f t="shared" si="925"/>
        <v>11</v>
      </c>
      <c r="C3357" s="5">
        <f t="shared" si="926"/>
        <v>2024</v>
      </c>
      <c r="D3357" s="5" t="s">
        <v>2960</v>
      </c>
      <c r="E3357" s="5" t="str">
        <f>VLOOKUP(F3357,'Set up'!$A$2:$C$56,2,FALSE)</f>
        <v>C00000042</v>
      </c>
      <c r="F3357" s="1" t="s">
        <v>2013</v>
      </c>
      <c r="G3357" s="102" t="s">
        <v>1074</v>
      </c>
      <c r="H3357" s="135">
        <v>2</v>
      </c>
      <c r="I3357" s="5" t="str">
        <f>VLOOKUP(F3357,'Set up'!$A$2:$C$56,3,FALSE)</f>
        <v>Cash</v>
      </c>
      <c r="J3357" s="5">
        <f>VLOOKUP(F3357,'Set up'!$A$2:$D$56,4,FALSE)</f>
        <v>0</v>
      </c>
      <c r="K3357" s="4">
        <f t="shared" si="927"/>
        <v>45601</v>
      </c>
      <c r="L3357" s="5">
        <f t="shared" si="928"/>
        <v>11</v>
      </c>
      <c r="M3357" s="5">
        <f t="shared" si="929"/>
        <v>2024</v>
      </c>
      <c r="N3357" s="12">
        <v>2000</v>
      </c>
      <c r="O3357" s="12"/>
      <c r="P3357" s="12">
        <f t="shared" si="930"/>
        <v>2000</v>
      </c>
      <c r="Q3357" s="7">
        <f t="shared" si="931"/>
        <v>5527379.0499999998</v>
      </c>
      <c r="R3357" s="44" t="str">
        <f>VLOOKUP(F3357,'Set up'!$A$2:$E$56,5,FALSE)</f>
        <v>Trsf</v>
      </c>
    </row>
    <row r="3358" spans="1:18" ht="15" customHeight="1" x14ac:dyDescent="0.3">
      <c r="A3358" s="4">
        <v>45603</v>
      </c>
      <c r="B3358" s="5">
        <f t="shared" si="925"/>
        <v>11</v>
      </c>
      <c r="C3358" s="5">
        <f t="shared" si="926"/>
        <v>2024</v>
      </c>
      <c r="D3358" s="5" t="s">
        <v>2961</v>
      </c>
      <c r="E3358" s="5" t="str">
        <f>VLOOKUP(F3358,'Set up'!$A$2:$C$56,2,FALSE)</f>
        <v>C00000042</v>
      </c>
      <c r="F3358" s="1" t="s">
        <v>2013</v>
      </c>
      <c r="G3358" s="102" t="s">
        <v>2722</v>
      </c>
      <c r="H3358" s="135">
        <v>8</v>
      </c>
      <c r="I3358" s="5" t="str">
        <f>VLOOKUP(F3358,'Set up'!$A$2:$C$56,3,FALSE)</f>
        <v>Cash</v>
      </c>
      <c r="J3358" s="5">
        <f>VLOOKUP(F3358,'Set up'!$A$2:$D$56,4,FALSE)</f>
        <v>0</v>
      </c>
      <c r="K3358" s="4">
        <f t="shared" si="927"/>
        <v>45603</v>
      </c>
      <c r="L3358" s="5">
        <f t="shared" si="928"/>
        <v>11</v>
      </c>
      <c r="M3358" s="5">
        <f t="shared" si="929"/>
        <v>2024</v>
      </c>
      <c r="N3358" s="12">
        <v>500</v>
      </c>
      <c r="O3358" s="12"/>
      <c r="P3358" s="12">
        <f t="shared" si="930"/>
        <v>500</v>
      </c>
      <c r="Q3358" s="7">
        <f t="shared" si="931"/>
        <v>5527879.0499999998</v>
      </c>
      <c r="R3358" s="44" t="str">
        <f>VLOOKUP(F3358,'Set up'!$A$2:$E$56,5,FALSE)</f>
        <v>Trsf</v>
      </c>
    </row>
    <row r="3359" spans="1:18" ht="15" customHeight="1" x14ac:dyDescent="0.3">
      <c r="A3359" s="4">
        <v>45603</v>
      </c>
      <c r="B3359" s="5">
        <f t="shared" si="925"/>
        <v>11</v>
      </c>
      <c r="C3359" s="5">
        <f t="shared" si="926"/>
        <v>2024</v>
      </c>
      <c r="D3359" s="5" t="s">
        <v>2963</v>
      </c>
      <c r="E3359" s="5" t="str">
        <f>VLOOKUP(F3359,'Set up'!$A$2:$C$56,2,FALSE)</f>
        <v>C00000042</v>
      </c>
      <c r="F3359" s="1" t="s">
        <v>2013</v>
      </c>
      <c r="G3359" s="124" t="s">
        <v>2625</v>
      </c>
      <c r="H3359" s="135">
        <v>7</v>
      </c>
      <c r="I3359" s="5" t="str">
        <f>VLOOKUP(F3359,'Set up'!$A$2:$C$56,3,FALSE)</f>
        <v>Cash</v>
      </c>
      <c r="J3359" s="5">
        <f>VLOOKUP(F3359,'Set up'!$A$2:$D$56,4,FALSE)</f>
        <v>0</v>
      </c>
      <c r="K3359" s="4">
        <f t="shared" si="927"/>
        <v>45603</v>
      </c>
      <c r="L3359" s="5">
        <f t="shared" si="928"/>
        <v>11</v>
      </c>
      <c r="M3359" s="5">
        <f t="shared" si="929"/>
        <v>2024</v>
      </c>
      <c r="N3359" s="12">
        <v>11242</v>
      </c>
      <c r="O3359" s="12"/>
      <c r="P3359" s="12">
        <f t="shared" si="930"/>
        <v>11242</v>
      </c>
      <c r="Q3359" s="7">
        <f t="shared" si="931"/>
        <v>5539121.0499999998</v>
      </c>
      <c r="R3359" s="44" t="str">
        <f>VLOOKUP(F3359,'Set up'!$A$2:$E$56,5,FALSE)</f>
        <v>Trsf</v>
      </c>
    </row>
    <row r="3360" spans="1:18" ht="15" customHeight="1" x14ac:dyDescent="0.3">
      <c r="A3360" s="4">
        <v>45603</v>
      </c>
      <c r="B3360" s="5">
        <f t="shared" si="925"/>
        <v>11</v>
      </c>
      <c r="C3360" s="5">
        <f t="shared" si="926"/>
        <v>2024</v>
      </c>
      <c r="D3360" s="5" t="s">
        <v>2963</v>
      </c>
      <c r="E3360" s="5" t="str">
        <f>VLOOKUP(F3360,'Set up'!$A$2:$C$56,2,FALSE)</f>
        <v>C00000042</v>
      </c>
      <c r="F3360" s="1" t="s">
        <v>2013</v>
      </c>
      <c r="G3360" s="124" t="s">
        <v>2962</v>
      </c>
      <c r="H3360" s="135">
        <v>1</v>
      </c>
      <c r="I3360" s="5" t="str">
        <f>VLOOKUP(F3360,'Set up'!$A$2:$C$56,3,FALSE)</f>
        <v>Cash</v>
      </c>
      <c r="J3360" s="5">
        <f>VLOOKUP(F3360,'Set up'!$A$2:$D$56,4,FALSE)</f>
        <v>0</v>
      </c>
      <c r="K3360" s="4">
        <f t="shared" si="927"/>
        <v>45603</v>
      </c>
      <c r="L3360" s="5">
        <f t="shared" si="928"/>
        <v>11</v>
      </c>
      <c r="M3360" s="5">
        <f t="shared" si="929"/>
        <v>2024</v>
      </c>
      <c r="N3360" s="12">
        <v>1642.5</v>
      </c>
      <c r="O3360" s="12"/>
      <c r="P3360" s="12">
        <f t="shared" si="930"/>
        <v>1642.5</v>
      </c>
      <c r="Q3360" s="7">
        <f t="shared" si="931"/>
        <v>5540763.5499999998</v>
      </c>
      <c r="R3360" s="44" t="str">
        <f>VLOOKUP(F3360,'Set up'!$A$2:$E$56,5,FALSE)</f>
        <v>Trsf</v>
      </c>
    </row>
    <row r="3361" spans="1:18" ht="15" customHeight="1" x14ac:dyDescent="0.3">
      <c r="A3361" s="4">
        <v>45603</v>
      </c>
      <c r="B3361" s="5">
        <f t="shared" si="925"/>
        <v>11</v>
      </c>
      <c r="C3361" s="5">
        <f t="shared" si="926"/>
        <v>2024</v>
      </c>
      <c r="D3361" s="5" t="s">
        <v>2963</v>
      </c>
      <c r="E3361" s="5" t="str">
        <f>VLOOKUP(F3361,'Set up'!$A$2:$C$56,2,FALSE)</f>
        <v>C00000042</v>
      </c>
      <c r="F3361" s="1" t="s">
        <v>2013</v>
      </c>
      <c r="G3361" s="90" t="s">
        <v>1544</v>
      </c>
      <c r="H3361" s="135">
        <v>13</v>
      </c>
      <c r="I3361" s="5" t="str">
        <f>VLOOKUP(F3361,'Set up'!$A$2:$C$56,3,FALSE)</f>
        <v>Cash</v>
      </c>
      <c r="J3361" s="5">
        <f>VLOOKUP(F3361,'Set up'!$A$2:$D$56,4,FALSE)</f>
        <v>0</v>
      </c>
      <c r="K3361" s="4">
        <f t="shared" si="927"/>
        <v>45603</v>
      </c>
      <c r="L3361" s="5">
        <f t="shared" si="928"/>
        <v>11</v>
      </c>
      <c r="M3361" s="5">
        <f t="shared" si="929"/>
        <v>2024</v>
      </c>
      <c r="N3361" s="12">
        <v>2262</v>
      </c>
      <c r="O3361" s="12"/>
      <c r="P3361" s="12">
        <f t="shared" si="930"/>
        <v>2262</v>
      </c>
      <c r="Q3361" s="7">
        <f t="shared" si="931"/>
        <v>5543025.5499999998</v>
      </c>
      <c r="R3361" s="44" t="str">
        <f>VLOOKUP(F3361,'Set up'!$A$2:$E$56,5,FALSE)</f>
        <v>Trsf</v>
      </c>
    </row>
    <row r="3362" spans="1:18" ht="15" customHeight="1" x14ac:dyDescent="0.3">
      <c r="A3362" s="4">
        <v>45603</v>
      </c>
      <c r="B3362" s="5">
        <f t="shared" si="925"/>
        <v>11</v>
      </c>
      <c r="C3362" s="5">
        <f t="shared" si="926"/>
        <v>2024</v>
      </c>
      <c r="D3362" s="5" t="s">
        <v>2963</v>
      </c>
      <c r="E3362" s="5" t="str">
        <f>VLOOKUP(F3362,'Set up'!$A$2:$C$56,2,FALSE)</f>
        <v>C00000042</v>
      </c>
      <c r="F3362" s="1" t="s">
        <v>2013</v>
      </c>
      <c r="G3362" s="90" t="s">
        <v>1923</v>
      </c>
      <c r="H3362" s="135">
        <v>7</v>
      </c>
      <c r="I3362" s="5" t="str">
        <f>VLOOKUP(F3362,'Set up'!$A$2:$C$56,3,FALSE)</f>
        <v>Cash</v>
      </c>
      <c r="J3362" s="5">
        <f>VLOOKUP(F3362,'Set up'!$A$2:$D$56,4,FALSE)</f>
        <v>0</v>
      </c>
      <c r="K3362" s="4">
        <f t="shared" si="927"/>
        <v>45603</v>
      </c>
      <c r="L3362" s="5">
        <f t="shared" si="928"/>
        <v>11</v>
      </c>
      <c r="M3362" s="5">
        <f t="shared" si="929"/>
        <v>2024</v>
      </c>
      <c r="N3362" s="12">
        <v>1669.5</v>
      </c>
      <c r="O3362" s="12"/>
      <c r="P3362" s="12">
        <f t="shared" si="930"/>
        <v>1669.5</v>
      </c>
      <c r="Q3362" s="7">
        <f t="shared" si="931"/>
        <v>5544695.0499999998</v>
      </c>
      <c r="R3362" s="44" t="str">
        <f>VLOOKUP(F3362,'Set up'!$A$2:$E$56,5,FALSE)</f>
        <v>Trsf</v>
      </c>
    </row>
    <row r="3363" spans="1:18" ht="15" customHeight="1" x14ac:dyDescent="0.3">
      <c r="A3363" s="4">
        <v>45603</v>
      </c>
      <c r="B3363" s="5">
        <f t="shared" si="925"/>
        <v>11</v>
      </c>
      <c r="C3363" s="5">
        <f t="shared" si="926"/>
        <v>2024</v>
      </c>
      <c r="D3363" s="5" t="s">
        <v>2963</v>
      </c>
      <c r="E3363" s="5" t="str">
        <f>VLOOKUP(F3363,'Set up'!$A$2:$C$56,2,FALSE)</f>
        <v>C00000042</v>
      </c>
      <c r="F3363" s="1" t="s">
        <v>2013</v>
      </c>
      <c r="G3363" s="90" t="s">
        <v>1062</v>
      </c>
      <c r="H3363" s="135">
        <v>4</v>
      </c>
      <c r="I3363" s="5" t="str">
        <f>VLOOKUP(F3363,'Set up'!$A$2:$C$56,3,FALSE)</f>
        <v>Cash</v>
      </c>
      <c r="J3363" s="5">
        <f>VLOOKUP(F3363,'Set up'!$A$2:$D$56,4,FALSE)</f>
        <v>0</v>
      </c>
      <c r="K3363" s="4">
        <f t="shared" si="927"/>
        <v>45603</v>
      </c>
      <c r="L3363" s="5">
        <f t="shared" si="928"/>
        <v>11</v>
      </c>
      <c r="M3363" s="5">
        <f t="shared" si="929"/>
        <v>2024</v>
      </c>
      <c r="N3363" s="12">
        <v>380</v>
      </c>
      <c r="O3363" s="12"/>
      <c r="P3363" s="12">
        <f t="shared" si="930"/>
        <v>380</v>
      </c>
      <c r="Q3363" s="7">
        <f t="shared" si="931"/>
        <v>5545075.0499999998</v>
      </c>
      <c r="R3363" s="44" t="str">
        <f>VLOOKUP(F3363,'Set up'!$A$2:$E$56,5,FALSE)</f>
        <v>Trsf</v>
      </c>
    </row>
    <row r="3364" spans="1:18" ht="15" customHeight="1" x14ac:dyDescent="0.3">
      <c r="A3364" s="4">
        <v>45604</v>
      </c>
      <c r="B3364" s="5">
        <f t="shared" si="925"/>
        <v>11</v>
      </c>
      <c r="C3364" s="5">
        <f t="shared" si="926"/>
        <v>2024</v>
      </c>
      <c r="D3364" s="5" t="s">
        <v>2966</v>
      </c>
      <c r="E3364" s="5" t="str">
        <f>VLOOKUP(F3364,'Set up'!$A$2:$C$56,2,FALSE)</f>
        <v>C00000050</v>
      </c>
      <c r="F3364" s="1" t="s">
        <v>2732</v>
      </c>
      <c r="G3364" s="132" t="s">
        <v>2964</v>
      </c>
      <c r="H3364" s="135">
        <v>1</v>
      </c>
      <c r="I3364" s="5" t="str">
        <f>VLOOKUP(F3364,'Set up'!$A$2:$C$56,3,FALSE)</f>
        <v>Cash</v>
      </c>
      <c r="J3364" s="5">
        <f>VLOOKUP(F3364,'Set up'!$A$2:$D$56,4,FALSE)</f>
        <v>0</v>
      </c>
      <c r="K3364" s="4">
        <f t="shared" si="927"/>
        <v>45604</v>
      </c>
      <c r="L3364" s="5">
        <f t="shared" si="928"/>
        <v>11</v>
      </c>
      <c r="M3364" s="5">
        <f t="shared" si="929"/>
        <v>2024</v>
      </c>
      <c r="N3364" s="12">
        <v>1738</v>
      </c>
      <c r="O3364" s="12"/>
      <c r="P3364" s="12">
        <f t="shared" si="930"/>
        <v>1738</v>
      </c>
      <c r="Q3364" s="7">
        <f t="shared" si="931"/>
        <v>5546813.0499999998</v>
      </c>
      <c r="R3364" s="44" t="str">
        <f>VLOOKUP(F3364,'Set up'!$A$2:$E$56,5,FALSE)</f>
        <v>Cash</v>
      </c>
    </row>
    <row r="3365" spans="1:18" ht="15" customHeight="1" x14ac:dyDescent="0.3">
      <c r="A3365" s="4">
        <v>45604</v>
      </c>
      <c r="B3365" s="5">
        <f t="shared" si="925"/>
        <v>11</v>
      </c>
      <c r="C3365" s="5">
        <f t="shared" si="926"/>
        <v>2024</v>
      </c>
      <c r="D3365" s="5" t="s">
        <v>2966</v>
      </c>
      <c r="E3365" s="5" t="str">
        <f>VLOOKUP(F3365,'Set up'!$A$2:$C$56,2,FALSE)</f>
        <v>C00000050</v>
      </c>
      <c r="F3365" s="1" t="s">
        <v>2732</v>
      </c>
      <c r="G3365" s="98" t="s">
        <v>2965</v>
      </c>
      <c r="H3365" s="135">
        <v>2</v>
      </c>
      <c r="I3365" s="5" t="str">
        <f>VLOOKUP(F3365,'Set up'!$A$2:$C$56,3,FALSE)</f>
        <v>Cash</v>
      </c>
      <c r="J3365" s="5">
        <f>VLOOKUP(F3365,'Set up'!$A$2:$D$56,4,FALSE)</f>
        <v>0</v>
      </c>
      <c r="K3365" s="4">
        <f t="shared" si="927"/>
        <v>45604</v>
      </c>
      <c r="L3365" s="5">
        <f t="shared" si="928"/>
        <v>11</v>
      </c>
      <c r="M3365" s="5">
        <f t="shared" si="929"/>
        <v>2024</v>
      </c>
      <c r="N3365" s="12">
        <v>555</v>
      </c>
      <c r="O3365" s="12"/>
      <c r="P3365" s="12">
        <f t="shared" si="930"/>
        <v>555</v>
      </c>
      <c r="Q3365" s="7">
        <f t="shared" si="931"/>
        <v>5547368.0499999998</v>
      </c>
      <c r="R3365" s="44" t="str">
        <f>VLOOKUP(F3365,'Set up'!$A$2:$E$56,5,FALSE)</f>
        <v>Cash</v>
      </c>
    </row>
    <row r="3366" spans="1:18" ht="15" customHeight="1" x14ac:dyDescent="0.3">
      <c r="A3366" s="4">
        <v>45604</v>
      </c>
      <c r="B3366" s="5">
        <f t="shared" si="925"/>
        <v>11</v>
      </c>
      <c r="C3366" s="5">
        <f t="shared" si="926"/>
        <v>2024</v>
      </c>
      <c r="D3366" s="5" t="s">
        <v>2966</v>
      </c>
      <c r="E3366" s="5" t="str">
        <f>VLOOKUP(F3366,'Set up'!$A$2:$C$56,2,FALSE)</f>
        <v>C00000050</v>
      </c>
      <c r="F3366" s="1" t="s">
        <v>2732</v>
      </c>
      <c r="G3366" s="98" t="s">
        <v>1062</v>
      </c>
      <c r="H3366" s="135">
        <v>1</v>
      </c>
      <c r="I3366" s="5" t="str">
        <f>VLOOKUP(F3366,'Set up'!$A$2:$C$56,3,FALSE)</f>
        <v>Cash</v>
      </c>
      <c r="J3366" s="5">
        <f>VLOOKUP(F3366,'Set up'!$A$2:$D$56,4,FALSE)</f>
        <v>0</v>
      </c>
      <c r="K3366" s="4">
        <f t="shared" si="927"/>
        <v>45604</v>
      </c>
      <c r="L3366" s="5">
        <f t="shared" si="928"/>
        <v>11</v>
      </c>
      <c r="M3366" s="5">
        <f t="shared" si="929"/>
        <v>2024</v>
      </c>
      <c r="N3366" s="12">
        <v>95</v>
      </c>
      <c r="O3366" s="12"/>
      <c r="P3366" s="12">
        <f t="shared" si="930"/>
        <v>95</v>
      </c>
      <c r="Q3366" s="7">
        <f t="shared" si="931"/>
        <v>5547463.0499999998</v>
      </c>
      <c r="R3366" s="44" t="str">
        <f>VLOOKUP(F3366,'Set up'!$A$2:$E$56,5,FALSE)</f>
        <v>Cash</v>
      </c>
    </row>
    <row r="3367" spans="1:18" ht="15" customHeight="1" x14ac:dyDescent="0.3">
      <c r="A3367" s="4">
        <v>45604</v>
      </c>
      <c r="B3367" s="5">
        <f t="shared" si="925"/>
        <v>11</v>
      </c>
      <c r="C3367" s="5">
        <f t="shared" si="926"/>
        <v>2024</v>
      </c>
      <c r="D3367" s="5" t="s">
        <v>2966</v>
      </c>
      <c r="E3367" s="5" t="str">
        <f>VLOOKUP(F3367,'Set up'!$A$2:$C$56,2,FALSE)</f>
        <v>C00000050</v>
      </c>
      <c r="F3367" s="1" t="s">
        <v>2732</v>
      </c>
      <c r="G3367" s="90" t="s">
        <v>2722</v>
      </c>
      <c r="H3367" s="135">
        <v>5</v>
      </c>
      <c r="I3367" s="5" t="str">
        <f>VLOOKUP(F3367,'Set up'!$A$2:$C$56,3,FALSE)</f>
        <v>Cash</v>
      </c>
      <c r="J3367" s="5">
        <f>VLOOKUP(F3367,'Set up'!$A$2:$D$56,4,FALSE)</f>
        <v>0</v>
      </c>
      <c r="K3367" s="4">
        <f t="shared" si="927"/>
        <v>45604</v>
      </c>
      <c r="L3367" s="5">
        <f t="shared" si="928"/>
        <v>11</v>
      </c>
      <c r="M3367" s="5">
        <f t="shared" si="929"/>
        <v>2024</v>
      </c>
      <c r="N3367" s="12">
        <v>312.5</v>
      </c>
      <c r="O3367" s="12"/>
      <c r="P3367" s="12">
        <f t="shared" si="930"/>
        <v>312.5</v>
      </c>
      <c r="Q3367" s="7">
        <f t="shared" si="931"/>
        <v>5547775.5499999998</v>
      </c>
      <c r="R3367" s="44" t="str">
        <f>VLOOKUP(F3367,'Set up'!$A$2:$E$56,5,FALSE)</f>
        <v>Cash</v>
      </c>
    </row>
    <row r="3368" spans="1:18" ht="15" customHeight="1" x14ac:dyDescent="0.3">
      <c r="A3368" s="4">
        <v>45605</v>
      </c>
      <c r="B3368" s="5">
        <f t="shared" si="925"/>
        <v>11</v>
      </c>
      <c r="C3368" s="5">
        <f t="shared" si="926"/>
        <v>2024</v>
      </c>
      <c r="D3368" s="5" t="s">
        <v>2967</v>
      </c>
      <c r="E3368" s="5" t="str">
        <f>VLOOKUP(F3368,'Set up'!$A$2:$C$56,2,FALSE)</f>
        <v>C00000019</v>
      </c>
      <c r="F3368" s="1" t="s">
        <v>401</v>
      </c>
      <c r="G3368" s="90" t="s">
        <v>46</v>
      </c>
      <c r="H3368" s="135">
        <v>1</v>
      </c>
      <c r="I3368" s="5" t="str">
        <f>VLOOKUP(F3368,'Set up'!$A$2:$C$56,3,FALSE)</f>
        <v>Cash</v>
      </c>
      <c r="J3368" s="5">
        <f>VLOOKUP(F3368,'Set up'!$A$2:$D$56,4,FALSE)</f>
        <v>0</v>
      </c>
      <c r="K3368" s="4">
        <f t="shared" si="927"/>
        <v>45605</v>
      </c>
      <c r="L3368" s="5">
        <f t="shared" si="928"/>
        <v>11</v>
      </c>
      <c r="M3368" s="5">
        <f t="shared" si="929"/>
        <v>2024</v>
      </c>
      <c r="N3368" s="12">
        <v>110</v>
      </c>
      <c r="O3368" s="12"/>
      <c r="P3368" s="12">
        <f t="shared" si="930"/>
        <v>110</v>
      </c>
      <c r="Q3368" s="7">
        <f t="shared" si="931"/>
        <v>5547885.5499999998</v>
      </c>
      <c r="R3368" s="44" t="str">
        <f>VLOOKUP(F3368,'Set up'!$A$2:$E$56,5,FALSE)</f>
        <v>Trsf</v>
      </c>
    </row>
    <row r="3369" spans="1:18" ht="15" customHeight="1" x14ac:dyDescent="0.3">
      <c r="A3369" s="4">
        <v>45605</v>
      </c>
      <c r="B3369" s="5">
        <f t="shared" si="925"/>
        <v>11</v>
      </c>
      <c r="C3369" s="5">
        <f t="shared" si="926"/>
        <v>2024</v>
      </c>
      <c r="D3369" s="5" t="s">
        <v>2967</v>
      </c>
      <c r="E3369" s="5" t="str">
        <f>VLOOKUP(F3369,'Set up'!$A$2:$C$56,2,FALSE)</f>
        <v>C00000019</v>
      </c>
      <c r="F3369" s="1" t="s">
        <v>401</v>
      </c>
      <c r="G3369" s="90" t="s">
        <v>1470</v>
      </c>
      <c r="H3369" s="135">
        <v>1</v>
      </c>
      <c r="I3369" s="5" t="str">
        <f>VLOOKUP(F3369,'Set up'!$A$2:$C$56,3,FALSE)</f>
        <v>Cash</v>
      </c>
      <c r="J3369" s="5">
        <f>VLOOKUP(F3369,'Set up'!$A$2:$D$56,4,FALSE)</f>
        <v>0</v>
      </c>
      <c r="K3369" s="4">
        <f t="shared" si="927"/>
        <v>45605</v>
      </c>
      <c r="L3369" s="5">
        <f t="shared" si="928"/>
        <v>11</v>
      </c>
      <c r="M3369" s="5">
        <f t="shared" si="929"/>
        <v>2024</v>
      </c>
      <c r="N3369" s="12">
        <v>390</v>
      </c>
      <c r="O3369" s="12"/>
      <c r="P3369" s="12">
        <f t="shared" si="930"/>
        <v>390</v>
      </c>
      <c r="Q3369" s="7">
        <f t="shared" si="931"/>
        <v>5548275.5499999998</v>
      </c>
      <c r="R3369" s="44" t="str">
        <f>VLOOKUP(F3369,'Set up'!$A$2:$E$56,5,FALSE)</f>
        <v>Trsf</v>
      </c>
    </row>
    <row r="3370" spans="1:18" ht="15" customHeight="1" x14ac:dyDescent="0.3">
      <c r="A3370" s="4">
        <v>45605</v>
      </c>
      <c r="B3370" s="5">
        <f t="shared" si="925"/>
        <v>11</v>
      </c>
      <c r="C3370" s="5">
        <f t="shared" si="926"/>
        <v>2024</v>
      </c>
      <c r="D3370" s="5" t="s">
        <v>2967</v>
      </c>
      <c r="E3370" s="5" t="str">
        <f>VLOOKUP(F3370,'Set up'!$A$2:$C$56,2,FALSE)</f>
        <v>C00000019</v>
      </c>
      <c r="F3370" s="1" t="s">
        <v>401</v>
      </c>
      <c r="G3370" s="90" t="s">
        <v>2711</v>
      </c>
      <c r="H3370" s="135">
        <v>5</v>
      </c>
      <c r="I3370" s="5" t="str">
        <f>VLOOKUP(F3370,'Set up'!$A$2:$C$56,3,FALSE)</f>
        <v>Cash</v>
      </c>
      <c r="J3370" s="5">
        <f>VLOOKUP(F3370,'Set up'!$A$2:$D$56,4,FALSE)</f>
        <v>0</v>
      </c>
      <c r="K3370" s="4">
        <f t="shared" si="927"/>
        <v>45605</v>
      </c>
      <c r="L3370" s="5">
        <f t="shared" si="928"/>
        <v>11</v>
      </c>
      <c r="M3370" s="5">
        <f t="shared" si="929"/>
        <v>2024</v>
      </c>
      <c r="N3370" s="12">
        <v>312.5</v>
      </c>
      <c r="O3370" s="12"/>
      <c r="P3370" s="12">
        <f t="shared" si="930"/>
        <v>312.5</v>
      </c>
      <c r="Q3370" s="7">
        <f t="shared" si="931"/>
        <v>5548588.0499999998</v>
      </c>
      <c r="R3370" s="44" t="str">
        <f>VLOOKUP(F3370,'Set up'!$A$2:$E$56,5,FALSE)</f>
        <v>Trsf</v>
      </c>
    </row>
    <row r="3371" spans="1:18" ht="15" customHeight="1" x14ac:dyDescent="0.3">
      <c r="A3371" s="4">
        <v>45605</v>
      </c>
      <c r="B3371" s="5">
        <f t="shared" si="925"/>
        <v>11</v>
      </c>
      <c r="C3371" s="5">
        <f t="shared" si="926"/>
        <v>2024</v>
      </c>
      <c r="D3371" s="5" t="s">
        <v>2967</v>
      </c>
      <c r="E3371" s="5" t="str">
        <f>VLOOKUP(F3371,'Set up'!$A$2:$C$56,2,FALSE)</f>
        <v>C00000019</v>
      </c>
      <c r="F3371" s="1" t="s">
        <v>401</v>
      </c>
      <c r="G3371" s="98" t="s">
        <v>1661</v>
      </c>
      <c r="H3371" s="135">
        <v>1</v>
      </c>
      <c r="I3371" s="5" t="str">
        <f>VLOOKUP(F3371,'Set up'!$A$2:$C$56,3,FALSE)</f>
        <v>Cash</v>
      </c>
      <c r="J3371" s="5">
        <f>VLOOKUP(F3371,'Set up'!$A$2:$D$56,4,FALSE)</f>
        <v>0</v>
      </c>
      <c r="K3371" s="4">
        <f t="shared" si="927"/>
        <v>45605</v>
      </c>
      <c r="L3371" s="5">
        <f t="shared" si="928"/>
        <v>11</v>
      </c>
      <c r="M3371" s="5">
        <f t="shared" si="929"/>
        <v>2024</v>
      </c>
      <c r="N3371" s="12">
        <v>160</v>
      </c>
      <c r="O3371" s="12"/>
      <c r="P3371" s="12">
        <f t="shared" si="930"/>
        <v>160</v>
      </c>
      <c r="Q3371" s="7">
        <f t="shared" si="931"/>
        <v>5548748.0499999998</v>
      </c>
      <c r="R3371" s="44" t="str">
        <f>VLOOKUP(F3371,'Set up'!$A$2:$E$56,5,FALSE)</f>
        <v>Trsf</v>
      </c>
    </row>
    <row r="3372" spans="1:18" ht="15" customHeight="1" x14ac:dyDescent="0.3">
      <c r="A3372" s="4">
        <v>45605</v>
      </c>
      <c r="B3372" s="5">
        <f t="shared" si="925"/>
        <v>11</v>
      </c>
      <c r="C3372" s="5">
        <f t="shared" si="926"/>
        <v>2024</v>
      </c>
      <c r="D3372" s="5" t="s">
        <v>2967</v>
      </c>
      <c r="E3372" s="5" t="str">
        <f>VLOOKUP(F3372,'Set up'!$A$2:$C$56,2,FALSE)</f>
        <v>C00000019</v>
      </c>
      <c r="F3372" s="1" t="s">
        <v>401</v>
      </c>
      <c r="G3372" s="98" t="s">
        <v>895</v>
      </c>
      <c r="H3372" s="135">
        <v>1</v>
      </c>
      <c r="I3372" s="5" t="str">
        <f>VLOOKUP(F3372,'Set up'!$A$2:$C$56,3,FALSE)</f>
        <v>Cash</v>
      </c>
      <c r="J3372" s="5">
        <f>VLOOKUP(F3372,'Set up'!$A$2:$D$56,4,FALSE)</f>
        <v>0</v>
      </c>
      <c r="K3372" s="4">
        <f t="shared" si="927"/>
        <v>45605</v>
      </c>
      <c r="L3372" s="5">
        <f t="shared" si="928"/>
        <v>11</v>
      </c>
      <c r="M3372" s="5">
        <f t="shared" si="929"/>
        <v>2024</v>
      </c>
      <c r="N3372" s="12">
        <v>150</v>
      </c>
      <c r="O3372" s="12"/>
      <c r="P3372" s="12">
        <f t="shared" si="930"/>
        <v>150</v>
      </c>
      <c r="Q3372" s="7">
        <f t="shared" si="931"/>
        <v>5548898.0499999998</v>
      </c>
      <c r="R3372" s="44" t="str">
        <f>VLOOKUP(F3372,'Set up'!$A$2:$E$56,5,FALSE)</f>
        <v>Trsf</v>
      </c>
    </row>
    <row r="3373" spans="1:18" ht="15" customHeight="1" x14ac:dyDescent="0.3">
      <c r="A3373" s="4">
        <v>45605</v>
      </c>
      <c r="B3373" s="5">
        <f t="shared" si="925"/>
        <v>11</v>
      </c>
      <c r="C3373" s="5">
        <f t="shared" si="926"/>
        <v>2024</v>
      </c>
      <c r="D3373" s="5" t="s">
        <v>2967</v>
      </c>
      <c r="E3373" s="5" t="str">
        <f>VLOOKUP(F3373,'Set up'!$A$2:$C$56,2,FALSE)</f>
        <v>C00000019</v>
      </c>
      <c r="F3373" s="1" t="s">
        <v>401</v>
      </c>
      <c r="G3373" s="90" t="s">
        <v>2128</v>
      </c>
      <c r="H3373" s="135">
        <v>1</v>
      </c>
      <c r="I3373" s="5" t="str">
        <f>VLOOKUP(F3373,'Set up'!$A$2:$C$56,3,FALSE)</f>
        <v>Cash</v>
      </c>
      <c r="J3373" s="5">
        <f>VLOOKUP(F3373,'Set up'!$A$2:$D$56,4,FALSE)</f>
        <v>0</v>
      </c>
      <c r="K3373" s="4">
        <f t="shared" si="927"/>
        <v>45605</v>
      </c>
      <c r="L3373" s="5">
        <f t="shared" si="928"/>
        <v>11</v>
      </c>
      <c r="M3373" s="5">
        <f t="shared" si="929"/>
        <v>2024</v>
      </c>
      <c r="N3373" s="12">
        <v>283.8</v>
      </c>
      <c r="O3373" s="12"/>
      <c r="P3373" s="12">
        <f t="shared" si="930"/>
        <v>283.8</v>
      </c>
      <c r="Q3373" s="7">
        <f t="shared" si="931"/>
        <v>5549181.8499999996</v>
      </c>
      <c r="R3373" s="44" t="str">
        <f>VLOOKUP(F3373,'Set up'!$A$2:$E$56,5,FALSE)</f>
        <v>Trsf</v>
      </c>
    </row>
    <row r="3374" spans="1:18" ht="15" customHeight="1" x14ac:dyDescent="0.3">
      <c r="A3374" s="4">
        <v>45607</v>
      </c>
      <c r="B3374" s="5">
        <f t="shared" si="925"/>
        <v>11</v>
      </c>
      <c r="C3374" s="5">
        <f t="shared" si="926"/>
        <v>2024</v>
      </c>
      <c r="D3374" s="5" t="s">
        <v>2969</v>
      </c>
      <c r="E3374" s="5" t="str">
        <f>VLOOKUP(F3374,'Set up'!$A$2:$C$56,2,FALSE)</f>
        <v>C00000010</v>
      </c>
      <c r="F3374" s="1" t="s">
        <v>62</v>
      </c>
      <c r="G3374" s="134" t="s">
        <v>1179</v>
      </c>
      <c r="H3374" s="136">
        <v>8</v>
      </c>
      <c r="I3374" s="5">
        <f>VLOOKUP(F3374,'Set up'!$A$2:$C$56,3,FALSE)</f>
        <v>120</v>
      </c>
      <c r="J3374" s="5">
        <f>VLOOKUP(F3374,'Set up'!$A$2:$D$56,4,FALSE)</f>
        <v>120</v>
      </c>
      <c r="K3374" s="4">
        <f t="shared" si="927"/>
        <v>45727</v>
      </c>
      <c r="L3374" s="5">
        <f t="shared" si="928"/>
        <v>3</v>
      </c>
      <c r="M3374" s="5">
        <f t="shared" si="929"/>
        <v>2025</v>
      </c>
      <c r="N3374" s="12">
        <v>12848</v>
      </c>
      <c r="O3374" s="12"/>
      <c r="P3374" s="12">
        <f t="shared" si="930"/>
        <v>12848</v>
      </c>
      <c r="Q3374" s="7">
        <f t="shared" si="931"/>
        <v>5562029.8499999996</v>
      </c>
      <c r="R3374" s="44" t="str">
        <f>VLOOKUP(F3374,'Set up'!$A$2:$E$56,5,FALSE)</f>
        <v>Trsf</v>
      </c>
    </row>
    <row r="3375" spans="1:18" ht="15" customHeight="1" x14ac:dyDescent="0.3">
      <c r="A3375" s="4">
        <v>45607</v>
      </c>
      <c r="B3375" s="5">
        <f t="shared" si="925"/>
        <v>11</v>
      </c>
      <c r="C3375" s="5">
        <f t="shared" si="926"/>
        <v>2024</v>
      </c>
      <c r="D3375" s="5" t="s">
        <v>2969</v>
      </c>
      <c r="E3375" s="5" t="str">
        <f>VLOOKUP(F3375,'Set up'!$A$2:$C$56,2,FALSE)</f>
        <v>C00000010</v>
      </c>
      <c r="F3375" s="1" t="s">
        <v>62</v>
      </c>
      <c r="G3375" s="134" t="s">
        <v>2968</v>
      </c>
      <c r="H3375" s="137">
        <v>2</v>
      </c>
      <c r="I3375" s="5">
        <f>VLOOKUP(F3375,'Set up'!$A$2:$C$56,3,FALSE)</f>
        <v>120</v>
      </c>
      <c r="J3375" s="5">
        <f>VLOOKUP(F3375,'Set up'!$A$2:$D$56,4,FALSE)</f>
        <v>120</v>
      </c>
      <c r="K3375" s="4">
        <f t="shared" si="927"/>
        <v>45727</v>
      </c>
      <c r="L3375" s="5">
        <f t="shared" si="928"/>
        <v>3</v>
      </c>
      <c r="M3375" s="5">
        <f t="shared" si="929"/>
        <v>2025</v>
      </c>
      <c r="N3375" s="12">
        <v>3240</v>
      </c>
      <c r="O3375" s="12"/>
      <c r="P3375" s="12">
        <f t="shared" si="930"/>
        <v>3240</v>
      </c>
      <c r="Q3375" s="7">
        <f t="shared" si="931"/>
        <v>5565269.8499999996</v>
      </c>
      <c r="R3375" s="44" t="str">
        <f>VLOOKUP(F3375,'Set up'!$A$2:$E$56,5,FALSE)</f>
        <v>Trsf</v>
      </c>
    </row>
    <row r="3376" spans="1:18" ht="15" customHeight="1" x14ac:dyDescent="0.3">
      <c r="A3376" s="4">
        <v>45607</v>
      </c>
      <c r="B3376" s="5">
        <f t="shared" si="925"/>
        <v>11</v>
      </c>
      <c r="C3376" s="5">
        <f t="shared" si="926"/>
        <v>2024</v>
      </c>
      <c r="D3376" s="5" t="s">
        <v>2969</v>
      </c>
      <c r="E3376" s="5" t="str">
        <f>VLOOKUP(F3376,'Set up'!$A$2:$C$56,2,FALSE)</f>
        <v>C00000010</v>
      </c>
      <c r="F3376" s="1" t="s">
        <v>62</v>
      </c>
      <c r="G3376" s="90" t="s">
        <v>1544</v>
      </c>
      <c r="H3376" s="137">
        <v>15</v>
      </c>
      <c r="I3376" s="5">
        <f>VLOOKUP(F3376,'Set up'!$A$2:$C$56,3,FALSE)</f>
        <v>120</v>
      </c>
      <c r="J3376" s="5">
        <f>VLOOKUP(F3376,'Set up'!$A$2:$D$56,4,FALSE)</f>
        <v>120</v>
      </c>
      <c r="K3376" s="4">
        <f t="shared" si="927"/>
        <v>45727</v>
      </c>
      <c r="L3376" s="5">
        <f t="shared" si="928"/>
        <v>3</v>
      </c>
      <c r="M3376" s="5">
        <f t="shared" si="929"/>
        <v>2025</v>
      </c>
      <c r="N3376" s="12">
        <v>2610</v>
      </c>
      <c r="O3376" s="12"/>
      <c r="P3376" s="12">
        <f t="shared" si="930"/>
        <v>2610</v>
      </c>
      <c r="Q3376" s="7">
        <f t="shared" si="931"/>
        <v>5567879.8499999996</v>
      </c>
      <c r="R3376" s="44" t="str">
        <f>VLOOKUP(F3376,'Set up'!$A$2:$E$56,5,FALSE)</f>
        <v>Trsf</v>
      </c>
    </row>
    <row r="3377" spans="1:18" ht="15" customHeight="1" x14ac:dyDescent="0.3">
      <c r="A3377" s="4">
        <v>45607</v>
      </c>
      <c r="B3377" s="5">
        <f t="shared" si="925"/>
        <v>11</v>
      </c>
      <c r="C3377" s="5">
        <f t="shared" si="926"/>
        <v>2024</v>
      </c>
      <c r="D3377" s="5" t="s">
        <v>2969</v>
      </c>
      <c r="E3377" s="5" t="str">
        <f>VLOOKUP(F3377,'Set up'!$A$2:$C$56,2,FALSE)</f>
        <v>C00000010</v>
      </c>
      <c r="F3377" s="1" t="s">
        <v>62</v>
      </c>
      <c r="G3377" s="90" t="s">
        <v>2711</v>
      </c>
      <c r="H3377" s="137">
        <v>30</v>
      </c>
      <c r="I3377" s="5">
        <f>VLOOKUP(F3377,'Set up'!$A$2:$C$56,3,FALSE)</f>
        <v>120</v>
      </c>
      <c r="J3377" s="5">
        <f>VLOOKUP(F3377,'Set up'!$A$2:$D$56,4,FALSE)</f>
        <v>120</v>
      </c>
      <c r="K3377" s="4">
        <f t="shared" si="927"/>
        <v>45727</v>
      </c>
      <c r="L3377" s="5">
        <f t="shared" si="928"/>
        <v>3</v>
      </c>
      <c r="M3377" s="5">
        <f t="shared" si="929"/>
        <v>2025</v>
      </c>
      <c r="N3377" s="12">
        <v>1725</v>
      </c>
      <c r="O3377" s="12"/>
      <c r="P3377" s="12">
        <f t="shared" si="930"/>
        <v>1725</v>
      </c>
      <c r="Q3377" s="7">
        <f t="shared" si="931"/>
        <v>5569604.8499999996</v>
      </c>
      <c r="R3377" s="44" t="str">
        <f>VLOOKUP(F3377,'Set up'!$A$2:$E$56,5,FALSE)</f>
        <v>Trsf</v>
      </c>
    </row>
    <row r="3378" spans="1:18" ht="15" customHeight="1" x14ac:dyDescent="0.3">
      <c r="A3378" s="4">
        <v>45607</v>
      </c>
      <c r="B3378" s="5">
        <f t="shared" si="925"/>
        <v>11</v>
      </c>
      <c r="C3378" s="5">
        <f t="shared" si="926"/>
        <v>2024</v>
      </c>
      <c r="D3378" s="5" t="s">
        <v>2969</v>
      </c>
      <c r="E3378" s="5" t="str">
        <f>VLOOKUP(F3378,'Set up'!$A$2:$C$56,2,FALSE)</f>
        <v>C00000010</v>
      </c>
      <c r="F3378" s="1" t="s">
        <v>62</v>
      </c>
      <c r="G3378" s="11" t="s">
        <v>46</v>
      </c>
      <c r="H3378" s="137">
        <v>12</v>
      </c>
      <c r="I3378" s="5">
        <f>VLOOKUP(F3378,'Set up'!$A$2:$C$56,3,FALSE)</f>
        <v>120</v>
      </c>
      <c r="J3378" s="5">
        <f>VLOOKUP(F3378,'Set up'!$A$2:$D$56,4,FALSE)</f>
        <v>120</v>
      </c>
      <c r="K3378" s="4">
        <f t="shared" si="927"/>
        <v>45727</v>
      </c>
      <c r="L3378" s="5">
        <f t="shared" si="928"/>
        <v>3</v>
      </c>
      <c r="M3378" s="5">
        <f t="shared" si="929"/>
        <v>2025</v>
      </c>
      <c r="N3378" s="12">
        <v>1320</v>
      </c>
      <c r="O3378" s="12"/>
      <c r="P3378" s="12">
        <f t="shared" si="930"/>
        <v>1320</v>
      </c>
      <c r="Q3378" s="7">
        <f t="shared" si="931"/>
        <v>5570924.8499999996</v>
      </c>
      <c r="R3378" s="44" t="str">
        <f>VLOOKUP(F3378,'Set up'!$A$2:$E$56,5,FALSE)</f>
        <v>Trsf</v>
      </c>
    </row>
    <row r="3379" spans="1:18" ht="15" customHeight="1" x14ac:dyDescent="0.3">
      <c r="A3379" s="4">
        <v>45607</v>
      </c>
      <c r="B3379" s="5">
        <f t="shared" si="925"/>
        <v>11</v>
      </c>
      <c r="C3379" s="5">
        <f t="shared" si="926"/>
        <v>2024</v>
      </c>
      <c r="D3379" s="5" t="s">
        <v>2969</v>
      </c>
      <c r="E3379" s="5" t="str">
        <f>VLOOKUP(F3379,'Set up'!$A$2:$C$56,2,FALSE)</f>
        <v>C00000010</v>
      </c>
      <c r="F3379" s="1" t="s">
        <v>62</v>
      </c>
      <c r="G3379" s="134" t="s">
        <v>947</v>
      </c>
      <c r="H3379" s="136">
        <v>4</v>
      </c>
      <c r="I3379" s="5">
        <f>VLOOKUP(F3379,'Set up'!$A$2:$C$56,3,FALSE)</f>
        <v>120</v>
      </c>
      <c r="J3379" s="5">
        <f>VLOOKUP(F3379,'Set up'!$A$2:$D$56,4,FALSE)</f>
        <v>120</v>
      </c>
      <c r="K3379" s="4">
        <f t="shared" si="927"/>
        <v>45727</v>
      </c>
      <c r="L3379" s="5">
        <f t="shared" si="928"/>
        <v>3</v>
      </c>
      <c r="M3379" s="5">
        <f t="shared" si="929"/>
        <v>2025</v>
      </c>
      <c r="N3379" s="12">
        <v>230.4</v>
      </c>
      <c r="O3379" s="12"/>
      <c r="P3379" s="12">
        <f t="shared" si="930"/>
        <v>230.4</v>
      </c>
      <c r="Q3379" s="7">
        <f t="shared" si="931"/>
        <v>5571155.25</v>
      </c>
      <c r="R3379" s="44" t="str">
        <f>VLOOKUP(F3379,'Set up'!$A$2:$E$56,5,FALSE)</f>
        <v>Trsf</v>
      </c>
    </row>
    <row r="3380" spans="1:18" ht="15" customHeight="1" x14ac:dyDescent="0.3">
      <c r="A3380" s="4">
        <v>45607</v>
      </c>
      <c r="B3380" s="5">
        <f t="shared" si="925"/>
        <v>11</v>
      </c>
      <c r="C3380" s="5">
        <f t="shared" si="926"/>
        <v>2024</v>
      </c>
      <c r="D3380" s="5" t="s">
        <v>2969</v>
      </c>
      <c r="E3380" s="5" t="str">
        <f>VLOOKUP(F3380,'Set up'!$A$2:$C$56,2,FALSE)</f>
        <v>C00000010</v>
      </c>
      <c r="F3380" s="1" t="s">
        <v>62</v>
      </c>
      <c r="G3380" s="98" t="s">
        <v>615</v>
      </c>
      <c r="H3380" s="137">
        <v>1</v>
      </c>
      <c r="I3380" s="5">
        <f>VLOOKUP(F3380,'Set up'!$A$2:$C$56,3,FALSE)</f>
        <v>120</v>
      </c>
      <c r="J3380" s="5">
        <f>VLOOKUP(F3380,'Set up'!$A$2:$D$56,4,FALSE)</f>
        <v>120</v>
      </c>
      <c r="K3380" s="4">
        <f t="shared" si="927"/>
        <v>45727</v>
      </c>
      <c r="L3380" s="5">
        <f t="shared" si="928"/>
        <v>3</v>
      </c>
      <c r="M3380" s="5">
        <f t="shared" si="929"/>
        <v>2025</v>
      </c>
      <c r="N3380" s="12">
        <v>395</v>
      </c>
      <c r="O3380" s="12"/>
      <c r="P3380" s="12">
        <f t="shared" si="930"/>
        <v>395</v>
      </c>
      <c r="Q3380" s="7">
        <f t="shared" si="931"/>
        <v>5571550.25</v>
      </c>
      <c r="R3380" s="44" t="str">
        <f>VLOOKUP(F3380,'Set up'!$A$2:$E$56,5,FALSE)</f>
        <v>Trsf</v>
      </c>
    </row>
    <row r="3381" spans="1:18" ht="15" customHeight="1" x14ac:dyDescent="0.3">
      <c r="A3381" s="4">
        <v>45607</v>
      </c>
      <c r="B3381" s="5">
        <f t="shared" si="925"/>
        <v>11</v>
      </c>
      <c r="C3381" s="5">
        <f t="shared" si="926"/>
        <v>2024</v>
      </c>
      <c r="D3381" s="5" t="s">
        <v>2969</v>
      </c>
      <c r="E3381" s="5" t="str">
        <f>VLOOKUP(F3381,'Set up'!$A$2:$C$56,2,FALSE)</f>
        <v>C00000010</v>
      </c>
      <c r="F3381" s="1" t="s">
        <v>62</v>
      </c>
      <c r="G3381" s="90" t="s">
        <v>2522</v>
      </c>
      <c r="H3381" s="137">
        <v>1</v>
      </c>
      <c r="I3381" s="5">
        <f>VLOOKUP(F3381,'Set up'!$A$2:$C$56,3,FALSE)</f>
        <v>120</v>
      </c>
      <c r="J3381" s="5">
        <f>VLOOKUP(F3381,'Set up'!$A$2:$D$56,4,FALSE)</f>
        <v>120</v>
      </c>
      <c r="K3381" s="4">
        <f t="shared" si="927"/>
        <v>45727</v>
      </c>
      <c r="L3381" s="5">
        <f t="shared" si="928"/>
        <v>3</v>
      </c>
      <c r="M3381" s="5">
        <f t="shared" si="929"/>
        <v>2025</v>
      </c>
      <c r="N3381" s="12">
        <v>420</v>
      </c>
      <c r="O3381" s="12"/>
      <c r="P3381" s="12">
        <f t="shared" si="930"/>
        <v>420</v>
      </c>
      <c r="Q3381" s="7">
        <f t="shared" si="931"/>
        <v>5571970.25</v>
      </c>
      <c r="R3381" s="44" t="str">
        <f>VLOOKUP(F3381,'Set up'!$A$2:$E$56,5,FALSE)</f>
        <v>Trsf</v>
      </c>
    </row>
    <row r="3382" spans="1:18" ht="15" customHeight="1" x14ac:dyDescent="0.3">
      <c r="A3382" s="4">
        <v>45608</v>
      </c>
      <c r="B3382" s="5">
        <f t="shared" si="925"/>
        <v>11</v>
      </c>
      <c r="C3382" s="5">
        <f t="shared" si="926"/>
        <v>2024</v>
      </c>
      <c r="D3382" s="5" t="s">
        <v>2970</v>
      </c>
      <c r="E3382" s="5" t="str">
        <f>VLOOKUP(F3382,'Set up'!$A$2:$C$56,2,FALSE)</f>
        <v>C00000019</v>
      </c>
      <c r="F3382" s="1" t="s">
        <v>401</v>
      </c>
      <c r="G3382" s="90" t="s">
        <v>95</v>
      </c>
      <c r="H3382" s="135">
        <v>1</v>
      </c>
      <c r="I3382" s="5" t="str">
        <f>VLOOKUP(F3382,'Set up'!$A$2:$C$56,3,FALSE)</f>
        <v>Cash</v>
      </c>
      <c r="J3382" s="5">
        <f>VLOOKUP(F3382,'Set up'!$A$2:$D$56,4,FALSE)</f>
        <v>0</v>
      </c>
      <c r="K3382" s="4">
        <f t="shared" si="927"/>
        <v>45608</v>
      </c>
      <c r="L3382" s="5">
        <f t="shared" si="928"/>
        <v>11</v>
      </c>
      <c r="M3382" s="5">
        <f t="shared" si="929"/>
        <v>2024</v>
      </c>
      <c r="N3382" s="97">
        <v>1738</v>
      </c>
      <c r="O3382" s="12"/>
      <c r="P3382" s="12">
        <f t="shared" si="930"/>
        <v>1738</v>
      </c>
      <c r="Q3382" s="7">
        <f t="shared" si="931"/>
        <v>5573708.25</v>
      </c>
      <c r="R3382" s="44" t="str">
        <f>VLOOKUP(F3382,'Set up'!$A$2:$E$56,5,FALSE)</f>
        <v>Trsf</v>
      </c>
    </row>
    <row r="3383" spans="1:18" ht="15" customHeight="1" x14ac:dyDescent="0.3">
      <c r="A3383" s="4">
        <v>45608</v>
      </c>
      <c r="B3383" s="5">
        <f t="shared" si="925"/>
        <v>11</v>
      </c>
      <c r="C3383" s="5">
        <f t="shared" si="926"/>
        <v>2024</v>
      </c>
      <c r="D3383" s="5" t="s">
        <v>2970</v>
      </c>
      <c r="E3383" s="5" t="str">
        <f>VLOOKUP(F3383,'Set up'!$A$2:$C$56,2,FALSE)</f>
        <v>C00000019</v>
      </c>
      <c r="F3383" s="1" t="s">
        <v>401</v>
      </c>
      <c r="G3383" s="90" t="s">
        <v>1412</v>
      </c>
      <c r="H3383" s="135">
        <v>1</v>
      </c>
      <c r="I3383" s="5" t="str">
        <f>VLOOKUP(F3383,'Set up'!$A$2:$C$56,3,FALSE)</f>
        <v>Cash</v>
      </c>
      <c r="J3383" s="5">
        <f>VLOOKUP(F3383,'Set up'!$A$2:$D$56,4,FALSE)</f>
        <v>0</v>
      </c>
      <c r="K3383" s="4">
        <f t="shared" si="927"/>
        <v>45608</v>
      </c>
      <c r="L3383" s="5">
        <f t="shared" si="928"/>
        <v>11</v>
      </c>
      <c r="M3383" s="5">
        <f t="shared" si="929"/>
        <v>2024</v>
      </c>
      <c r="N3383" s="97">
        <v>405</v>
      </c>
      <c r="O3383" s="12"/>
      <c r="P3383" s="12">
        <f t="shared" si="930"/>
        <v>405</v>
      </c>
      <c r="Q3383" s="7">
        <f t="shared" si="931"/>
        <v>5574113.25</v>
      </c>
      <c r="R3383" s="44" t="str">
        <f>VLOOKUP(F3383,'Set up'!$A$2:$E$56,5,FALSE)</f>
        <v>Trsf</v>
      </c>
    </row>
    <row r="3384" spans="1:18" ht="15" customHeight="1" x14ac:dyDescent="0.3">
      <c r="A3384" s="4">
        <v>45610</v>
      </c>
      <c r="B3384" s="5">
        <f t="shared" si="925"/>
        <v>11</v>
      </c>
      <c r="C3384" s="5">
        <f t="shared" si="926"/>
        <v>2024</v>
      </c>
      <c r="D3384" s="5" t="s">
        <v>2972</v>
      </c>
      <c r="E3384" s="5" t="str">
        <f>VLOOKUP(F3384,'Set up'!$A$2:$C$56,2,FALSE)</f>
        <v>C00000050</v>
      </c>
      <c r="F3384" s="1" t="s">
        <v>2732</v>
      </c>
      <c r="G3384" s="132" t="s">
        <v>2971</v>
      </c>
      <c r="H3384" s="138">
        <v>1</v>
      </c>
      <c r="I3384" s="5" t="str">
        <f>VLOOKUP(F3384,'Set up'!$A$2:$C$56,3,FALSE)</f>
        <v>Cash</v>
      </c>
      <c r="J3384" s="5">
        <f>VLOOKUP(F3384,'Set up'!$A$2:$D$56,4,FALSE)</f>
        <v>0</v>
      </c>
      <c r="K3384" s="4">
        <f t="shared" si="927"/>
        <v>45610</v>
      </c>
      <c r="L3384" s="5">
        <f t="shared" si="928"/>
        <v>11</v>
      </c>
      <c r="M3384" s="5">
        <f t="shared" si="929"/>
        <v>2024</v>
      </c>
      <c r="N3384" s="12">
        <v>1755</v>
      </c>
      <c r="O3384" s="12"/>
      <c r="P3384" s="12">
        <f t="shared" si="930"/>
        <v>1755</v>
      </c>
      <c r="Q3384" s="7">
        <f t="shared" si="931"/>
        <v>5575868.25</v>
      </c>
      <c r="R3384" s="44" t="str">
        <f>VLOOKUP(F3384,'Set up'!$A$2:$E$56,5,FALSE)</f>
        <v>Cash</v>
      </c>
    </row>
    <row r="3385" spans="1:18" ht="15" customHeight="1" x14ac:dyDescent="0.3">
      <c r="A3385" s="4">
        <v>45610</v>
      </c>
      <c r="B3385" s="5">
        <f t="shared" si="925"/>
        <v>11</v>
      </c>
      <c r="C3385" s="5">
        <f t="shared" si="926"/>
        <v>2024</v>
      </c>
      <c r="D3385" s="5" t="s">
        <v>2972</v>
      </c>
      <c r="E3385" s="5" t="str">
        <f>VLOOKUP(F3385,'Set up'!$A$2:$C$56,2,FALSE)</f>
        <v>C00000050</v>
      </c>
      <c r="F3385" s="1" t="s">
        <v>2732</v>
      </c>
      <c r="G3385" s="98" t="s">
        <v>2965</v>
      </c>
      <c r="H3385" s="138">
        <v>2</v>
      </c>
      <c r="I3385" s="5" t="str">
        <f>VLOOKUP(F3385,'Set up'!$A$2:$C$56,3,FALSE)</f>
        <v>Cash</v>
      </c>
      <c r="J3385" s="5">
        <f>VLOOKUP(F3385,'Set up'!$A$2:$D$56,4,FALSE)</f>
        <v>0</v>
      </c>
      <c r="K3385" s="4">
        <f t="shared" si="927"/>
        <v>45610</v>
      </c>
      <c r="L3385" s="5">
        <f t="shared" si="928"/>
        <v>11</v>
      </c>
      <c r="M3385" s="5">
        <f t="shared" si="929"/>
        <v>2024</v>
      </c>
      <c r="N3385" s="12">
        <v>555</v>
      </c>
      <c r="O3385" s="12"/>
      <c r="P3385" s="12">
        <f t="shared" si="930"/>
        <v>555</v>
      </c>
      <c r="Q3385" s="7">
        <f t="shared" si="931"/>
        <v>5576423.25</v>
      </c>
      <c r="R3385" s="44" t="str">
        <f>VLOOKUP(F3385,'Set up'!$A$2:$E$56,5,FALSE)</f>
        <v>Cash</v>
      </c>
    </row>
    <row r="3386" spans="1:18" ht="15" customHeight="1" x14ac:dyDescent="0.3">
      <c r="A3386" s="4">
        <v>45610</v>
      </c>
      <c r="B3386" s="5">
        <f t="shared" si="925"/>
        <v>11</v>
      </c>
      <c r="C3386" s="5">
        <f t="shared" si="926"/>
        <v>2024</v>
      </c>
      <c r="D3386" s="5" t="s">
        <v>2972</v>
      </c>
      <c r="E3386" s="5" t="str">
        <f>VLOOKUP(F3386,'Set up'!$A$2:$C$56,2,FALSE)</f>
        <v>C00000050</v>
      </c>
      <c r="F3386" s="1" t="s">
        <v>2732</v>
      </c>
      <c r="G3386" s="98" t="s">
        <v>1062</v>
      </c>
      <c r="H3386" s="138">
        <v>1</v>
      </c>
      <c r="I3386" s="5" t="str">
        <f>VLOOKUP(F3386,'Set up'!$A$2:$C$56,3,FALSE)</f>
        <v>Cash</v>
      </c>
      <c r="J3386" s="5">
        <f>VLOOKUP(F3386,'Set up'!$A$2:$D$56,4,FALSE)</f>
        <v>0</v>
      </c>
      <c r="K3386" s="4">
        <f t="shared" si="927"/>
        <v>45610</v>
      </c>
      <c r="L3386" s="5">
        <f t="shared" si="928"/>
        <v>11</v>
      </c>
      <c r="M3386" s="5">
        <f t="shared" si="929"/>
        <v>2024</v>
      </c>
      <c r="N3386" s="12">
        <v>95</v>
      </c>
      <c r="O3386" s="12"/>
      <c r="P3386" s="12">
        <f t="shared" si="930"/>
        <v>95</v>
      </c>
      <c r="Q3386" s="7">
        <f t="shared" si="931"/>
        <v>5576518.25</v>
      </c>
      <c r="R3386" s="44" t="str">
        <f>VLOOKUP(F3386,'Set up'!$A$2:$E$56,5,FALSE)</f>
        <v>Cash</v>
      </c>
    </row>
    <row r="3387" spans="1:18" ht="15" customHeight="1" x14ac:dyDescent="0.3">
      <c r="A3387" s="4">
        <v>45610</v>
      </c>
      <c r="B3387" s="5">
        <f t="shared" si="925"/>
        <v>11</v>
      </c>
      <c r="C3387" s="5">
        <f t="shared" si="926"/>
        <v>2024</v>
      </c>
      <c r="D3387" s="5" t="s">
        <v>2972</v>
      </c>
      <c r="E3387" s="5" t="str">
        <f>VLOOKUP(F3387,'Set up'!$A$2:$C$56,2,FALSE)</f>
        <v>C00000050</v>
      </c>
      <c r="F3387" s="1" t="s">
        <v>2732</v>
      </c>
      <c r="G3387" s="90" t="s">
        <v>2722</v>
      </c>
      <c r="H3387" s="138">
        <v>10</v>
      </c>
      <c r="I3387" s="5" t="str">
        <f>VLOOKUP(F3387,'Set up'!$A$2:$C$56,3,FALSE)</f>
        <v>Cash</v>
      </c>
      <c r="J3387" s="5">
        <f>VLOOKUP(F3387,'Set up'!$A$2:$D$56,4,FALSE)</f>
        <v>0</v>
      </c>
      <c r="K3387" s="4">
        <f t="shared" si="927"/>
        <v>45610</v>
      </c>
      <c r="L3387" s="5">
        <f t="shared" si="928"/>
        <v>11</v>
      </c>
      <c r="M3387" s="5">
        <f t="shared" si="929"/>
        <v>2024</v>
      </c>
      <c r="N3387" s="12">
        <v>625</v>
      </c>
      <c r="O3387" s="12"/>
      <c r="P3387" s="12">
        <f t="shared" si="930"/>
        <v>625</v>
      </c>
      <c r="Q3387" s="7">
        <f t="shared" si="931"/>
        <v>5577143.25</v>
      </c>
      <c r="R3387" s="44" t="str">
        <f>VLOOKUP(F3387,'Set up'!$A$2:$E$56,5,FALSE)</f>
        <v>Cash</v>
      </c>
    </row>
    <row r="3388" spans="1:18" ht="15" customHeight="1" x14ac:dyDescent="0.3">
      <c r="A3388" s="4">
        <v>45612</v>
      </c>
      <c r="B3388" s="5">
        <f t="shared" si="925"/>
        <v>11</v>
      </c>
      <c r="C3388" s="5">
        <f t="shared" si="926"/>
        <v>2024</v>
      </c>
      <c r="D3388" s="5" t="s">
        <v>2973</v>
      </c>
      <c r="E3388" s="5" t="str">
        <f>VLOOKUP(F3388,'Set up'!$A$2:$C$56,2,FALSE)</f>
        <v>C00000003</v>
      </c>
      <c r="F3388" s="1" t="s">
        <v>20</v>
      </c>
      <c r="G3388" s="132" t="s">
        <v>717</v>
      </c>
      <c r="H3388" s="139">
        <v>1</v>
      </c>
      <c r="I3388" s="5">
        <f>VLOOKUP(F3388,'Set up'!$A$2:$C$56,3,FALSE)</f>
        <v>45</v>
      </c>
      <c r="J3388" s="5">
        <f>VLOOKUP(F3388,'Set up'!$A$2:$D$56,4,FALSE)</f>
        <v>45</v>
      </c>
      <c r="K3388" s="4">
        <f t="shared" si="927"/>
        <v>45657</v>
      </c>
      <c r="L3388" s="5">
        <f t="shared" si="928"/>
        <v>12</v>
      </c>
      <c r="M3388" s="5">
        <f t="shared" si="929"/>
        <v>2024</v>
      </c>
      <c r="N3388" s="12">
        <v>1738</v>
      </c>
      <c r="O3388" s="12"/>
      <c r="P3388" s="12">
        <f t="shared" si="930"/>
        <v>1738</v>
      </c>
      <c r="Q3388" s="7">
        <f t="shared" si="931"/>
        <v>5578881.25</v>
      </c>
      <c r="R3388" s="44" t="str">
        <f>VLOOKUP(F3388,'Set up'!$A$2:$E$56,5,FALSE)</f>
        <v>PD Chq</v>
      </c>
    </row>
    <row r="3389" spans="1:18" ht="15" customHeight="1" x14ac:dyDescent="0.3">
      <c r="A3389" s="4">
        <v>45612</v>
      </c>
      <c r="B3389" s="5">
        <f t="shared" si="925"/>
        <v>11</v>
      </c>
      <c r="C3389" s="5">
        <f t="shared" si="926"/>
        <v>2024</v>
      </c>
      <c r="D3389" s="5" t="s">
        <v>2973</v>
      </c>
      <c r="E3389" s="5" t="str">
        <f>VLOOKUP(F3389,'Set up'!$A$2:$C$56,2,FALSE)</f>
        <v>C00000003</v>
      </c>
      <c r="F3389" s="1" t="s">
        <v>20</v>
      </c>
      <c r="G3389" s="98" t="s">
        <v>17</v>
      </c>
      <c r="H3389" s="138">
        <v>2</v>
      </c>
      <c r="I3389" s="5">
        <f>VLOOKUP(F3389,'Set up'!$A$2:$C$56,3,FALSE)</f>
        <v>45</v>
      </c>
      <c r="J3389" s="5">
        <f>VLOOKUP(F3389,'Set up'!$A$2:$D$56,4,FALSE)</f>
        <v>45</v>
      </c>
      <c r="K3389" s="4">
        <f t="shared" si="927"/>
        <v>45657</v>
      </c>
      <c r="L3389" s="5">
        <f t="shared" si="928"/>
        <v>12</v>
      </c>
      <c r="M3389" s="5">
        <f t="shared" si="929"/>
        <v>2024</v>
      </c>
      <c r="N3389" s="12">
        <v>220</v>
      </c>
      <c r="O3389" s="12"/>
      <c r="P3389" s="12">
        <f t="shared" si="930"/>
        <v>220</v>
      </c>
      <c r="Q3389" s="7">
        <f t="shared" si="931"/>
        <v>5579101.25</v>
      </c>
      <c r="R3389" s="44" t="str">
        <f>VLOOKUP(F3389,'Set up'!$A$2:$E$56,5,FALSE)</f>
        <v>PD Chq</v>
      </c>
    </row>
    <row r="3390" spans="1:18" ht="15" customHeight="1" x14ac:dyDescent="0.3">
      <c r="A3390" s="4">
        <v>45612</v>
      </c>
      <c r="B3390" s="5">
        <f t="shared" si="925"/>
        <v>11</v>
      </c>
      <c r="C3390" s="5">
        <f t="shared" si="926"/>
        <v>2024</v>
      </c>
      <c r="D3390" s="5" t="s">
        <v>2973</v>
      </c>
      <c r="E3390" s="5" t="str">
        <f>VLOOKUP(F3390,'Set up'!$A$2:$C$56,2,FALSE)</f>
        <v>C00000003</v>
      </c>
      <c r="F3390" s="1" t="s">
        <v>20</v>
      </c>
      <c r="G3390" s="98" t="s">
        <v>2711</v>
      </c>
      <c r="H3390" s="138">
        <v>2</v>
      </c>
      <c r="I3390" s="5">
        <f>VLOOKUP(F3390,'Set up'!$A$2:$C$56,3,FALSE)</f>
        <v>45</v>
      </c>
      <c r="J3390" s="5">
        <f>VLOOKUP(F3390,'Set up'!$A$2:$D$56,4,FALSE)</f>
        <v>45</v>
      </c>
      <c r="K3390" s="4">
        <f t="shared" si="927"/>
        <v>45657</v>
      </c>
      <c r="L3390" s="5">
        <f t="shared" si="928"/>
        <v>12</v>
      </c>
      <c r="M3390" s="5">
        <f t="shared" si="929"/>
        <v>2024</v>
      </c>
      <c r="N3390" s="12">
        <v>130</v>
      </c>
      <c r="O3390" s="12"/>
      <c r="P3390" s="12">
        <f t="shared" si="930"/>
        <v>130</v>
      </c>
      <c r="Q3390" s="7">
        <f t="shared" si="931"/>
        <v>5579231.25</v>
      </c>
      <c r="R3390" s="44" t="str">
        <f>VLOOKUP(F3390,'Set up'!$A$2:$E$56,5,FALSE)</f>
        <v>PD Chq</v>
      </c>
    </row>
    <row r="3391" spans="1:18" ht="15" customHeight="1" x14ac:dyDescent="0.3">
      <c r="A3391" s="4">
        <v>45612</v>
      </c>
      <c r="B3391" s="5">
        <f t="shared" si="925"/>
        <v>11</v>
      </c>
      <c r="C3391" s="5">
        <f t="shared" si="926"/>
        <v>2024</v>
      </c>
      <c r="D3391" s="5" t="s">
        <v>2973</v>
      </c>
      <c r="E3391" s="5" t="str">
        <f>VLOOKUP(F3391,'Set up'!$A$2:$C$56,2,FALSE)</f>
        <v>C00000003</v>
      </c>
      <c r="F3391" s="1" t="s">
        <v>20</v>
      </c>
      <c r="G3391" s="98" t="s">
        <v>2974</v>
      </c>
      <c r="H3391" s="138">
        <v>1</v>
      </c>
      <c r="I3391" s="5">
        <f>VLOOKUP(F3391,'Set up'!$A$2:$C$56,3,FALSE)</f>
        <v>45</v>
      </c>
      <c r="J3391" s="5">
        <f>VLOOKUP(F3391,'Set up'!$A$2:$D$56,4,FALSE)</f>
        <v>45</v>
      </c>
      <c r="K3391" s="4">
        <f t="shared" si="927"/>
        <v>45657</v>
      </c>
      <c r="L3391" s="5">
        <f t="shared" si="928"/>
        <v>12</v>
      </c>
      <c r="M3391" s="5">
        <f t="shared" si="929"/>
        <v>2024</v>
      </c>
      <c r="N3391" s="12">
        <v>1450</v>
      </c>
      <c r="O3391" s="12"/>
      <c r="P3391" s="12">
        <f t="shared" si="930"/>
        <v>1450</v>
      </c>
      <c r="Q3391" s="7">
        <f t="shared" si="931"/>
        <v>5580681.25</v>
      </c>
      <c r="R3391" s="44" t="str">
        <f>VLOOKUP(F3391,'Set up'!$A$2:$E$56,5,FALSE)</f>
        <v>PD Chq</v>
      </c>
    </row>
    <row r="3392" spans="1:18" ht="15" customHeight="1" x14ac:dyDescent="0.3">
      <c r="A3392" s="4">
        <v>45612</v>
      </c>
      <c r="B3392" s="5">
        <f t="shared" si="925"/>
        <v>11</v>
      </c>
      <c r="C3392" s="5">
        <f t="shared" si="926"/>
        <v>2024</v>
      </c>
      <c r="D3392" s="5" t="s">
        <v>2973</v>
      </c>
      <c r="E3392" s="5" t="str">
        <f>VLOOKUP(F3392,'Set up'!$A$2:$C$56,2,FALSE)</f>
        <v>C00000003</v>
      </c>
      <c r="F3392" s="1" t="s">
        <v>20</v>
      </c>
      <c r="G3392" s="1" t="s">
        <v>2975</v>
      </c>
      <c r="H3392" s="138">
        <v>1</v>
      </c>
      <c r="I3392" s="5">
        <f>VLOOKUP(F3392,'Set up'!$A$2:$C$56,3,FALSE)</f>
        <v>45</v>
      </c>
      <c r="J3392" s="5">
        <f>VLOOKUP(F3392,'Set up'!$A$2:$D$56,4,FALSE)</f>
        <v>45</v>
      </c>
      <c r="K3392" s="4">
        <f t="shared" si="927"/>
        <v>45657</v>
      </c>
      <c r="L3392" s="5">
        <f t="shared" si="928"/>
        <v>12</v>
      </c>
      <c r="M3392" s="5">
        <f t="shared" si="929"/>
        <v>2024</v>
      </c>
      <c r="N3392" s="12">
        <v>0</v>
      </c>
      <c r="O3392" s="12"/>
      <c r="P3392" s="12">
        <f t="shared" si="930"/>
        <v>0</v>
      </c>
      <c r="Q3392" s="7">
        <f t="shared" si="931"/>
        <v>5580681.25</v>
      </c>
      <c r="R3392" s="44" t="str">
        <f>VLOOKUP(F3392,'Set up'!$A$2:$E$56,5,FALSE)</f>
        <v>PD Chq</v>
      </c>
    </row>
    <row r="3393" spans="1:18" ht="15" customHeight="1" x14ac:dyDescent="0.3">
      <c r="A3393" s="4">
        <v>45612</v>
      </c>
      <c r="B3393" s="5">
        <f t="shared" si="925"/>
        <v>11</v>
      </c>
      <c r="C3393" s="5">
        <f t="shared" si="926"/>
        <v>2024</v>
      </c>
      <c r="D3393" s="5" t="s">
        <v>2973</v>
      </c>
      <c r="E3393" s="5" t="str">
        <f>VLOOKUP(F3393,'Set up'!$A$2:$C$56,2,FALSE)</f>
        <v>C00000003</v>
      </c>
      <c r="F3393" s="1" t="s">
        <v>20</v>
      </c>
      <c r="G3393" s="98" t="s">
        <v>2976</v>
      </c>
      <c r="H3393" s="138">
        <v>1</v>
      </c>
      <c r="I3393" s="5">
        <f>VLOOKUP(F3393,'Set up'!$A$2:$C$56,3,FALSE)</f>
        <v>45</v>
      </c>
      <c r="J3393" s="5">
        <f>VLOOKUP(F3393,'Set up'!$A$2:$D$56,4,FALSE)</f>
        <v>45</v>
      </c>
      <c r="K3393" s="4">
        <f t="shared" si="927"/>
        <v>45657</v>
      </c>
      <c r="L3393" s="5">
        <f t="shared" si="928"/>
        <v>12</v>
      </c>
      <c r="M3393" s="5">
        <f t="shared" si="929"/>
        <v>2024</v>
      </c>
      <c r="N3393" s="12">
        <v>0</v>
      </c>
      <c r="O3393" s="12"/>
      <c r="P3393" s="12">
        <f t="shared" si="930"/>
        <v>0</v>
      </c>
      <c r="Q3393" s="7">
        <f t="shared" si="931"/>
        <v>5580681.25</v>
      </c>
      <c r="R3393" s="44" t="str">
        <f>VLOOKUP(F3393,'Set up'!$A$2:$E$56,5,FALSE)</f>
        <v>PD Chq</v>
      </c>
    </row>
    <row r="3394" spans="1:18" ht="15" customHeight="1" x14ac:dyDescent="0.3">
      <c r="A3394" s="4">
        <v>45612</v>
      </c>
      <c r="B3394" s="5">
        <f t="shared" si="925"/>
        <v>11</v>
      </c>
      <c r="C3394" s="5">
        <f t="shared" si="926"/>
        <v>2024</v>
      </c>
      <c r="D3394" s="5" t="s">
        <v>2977</v>
      </c>
      <c r="E3394" s="5" t="str">
        <f>VLOOKUP(F3394,'Set up'!$A$2:$C$56,2,FALSE)</f>
        <v>C00000042</v>
      </c>
      <c r="F3394" s="1" t="s">
        <v>2013</v>
      </c>
      <c r="G3394" s="102" t="s">
        <v>2722</v>
      </c>
      <c r="H3394" s="135">
        <v>10</v>
      </c>
      <c r="I3394" s="5" t="str">
        <f>VLOOKUP(F3394,'Set up'!$A$2:$C$56,3,FALSE)</f>
        <v>Cash</v>
      </c>
      <c r="J3394" s="5">
        <f>VLOOKUP(F3394,'Set up'!$A$2:$D$56,4,FALSE)</f>
        <v>0</v>
      </c>
      <c r="K3394" s="4">
        <f t="shared" si="927"/>
        <v>45612</v>
      </c>
      <c r="L3394" s="5">
        <f t="shared" si="928"/>
        <v>11</v>
      </c>
      <c r="M3394" s="5">
        <f t="shared" si="929"/>
        <v>2024</v>
      </c>
      <c r="N3394" s="12">
        <v>625</v>
      </c>
      <c r="O3394" s="12"/>
      <c r="P3394" s="12">
        <f t="shared" si="930"/>
        <v>625</v>
      </c>
      <c r="Q3394" s="7">
        <f t="shared" si="931"/>
        <v>5581306.25</v>
      </c>
      <c r="R3394" s="44" t="str">
        <f>VLOOKUP(F3394,'Set up'!$A$2:$E$56,5,FALSE)</f>
        <v>Trsf</v>
      </c>
    </row>
    <row r="3395" spans="1:18" ht="15" customHeight="1" x14ac:dyDescent="0.3">
      <c r="A3395" s="4">
        <v>45612</v>
      </c>
      <c r="B3395" s="5">
        <f t="shared" si="925"/>
        <v>11</v>
      </c>
      <c r="C3395" s="5">
        <f t="shared" si="926"/>
        <v>2024</v>
      </c>
      <c r="D3395" s="5" t="s">
        <v>2978</v>
      </c>
      <c r="E3395" s="5" t="str">
        <f>VLOOKUP(F3395,'Set up'!$A$2:$C$56,2,FALSE)</f>
        <v>C00000042</v>
      </c>
      <c r="F3395" s="1" t="s">
        <v>2013</v>
      </c>
      <c r="G3395" s="124" t="s">
        <v>2625</v>
      </c>
      <c r="H3395" s="137">
        <v>6</v>
      </c>
      <c r="I3395" s="5" t="str">
        <f>VLOOKUP(F3395,'Set up'!$A$2:$C$56,3,FALSE)</f>
        <v>Cash</v>
      </c>
      <c r="J3395" s="5">
        <f>VLOOKUP(F3395,'Set up'!$A$2:$D$56,4,FALSE)</f>
        <v>0</v>
      </c>
      <c r="K3395" s="4">
        <f t="shared" si="927"/>
        <v>45612</v>
      </c>
      <c r="L3395" s="5">
        <f t="shared" si="928"/>
        <v>11</v>
      </c>
      <c r="M3395" s="5">
        <f t="shared" si="929"/>
        <v>2024</v>
      </c>
      <c r="N3395" s="12">
        <v>9636</v>
      </c>
      <c r="O3395" s="12"/>
      <c r="P3395" s="12">
        <f t="shared" si="930"/>
        <v>9636</v>
      </c>
      <c r="Q3395" s="7">
        <f t="shared" si="931"/>
        <v>5590942.25</v>
      </c>
      <c r="R3395" s="44" t="str">
        <f>VLOOKUP(F3395,'Set up'!$A$2:$E$56,5,FALSE)</f>
        <v>Trsf</v>
      </c>
    </row>
    <row r="3396" spans="1:18" ht="15" customHeight="1" x14ac:dyDescent="0.3">
      <c r="A3396" s="4">
        <v>45612</v>
      </c>
      <c r="B3396" s="5">
        <f t="shared" si="925"/>
        <v>11</v>
      </c>
      <c r="C3396" s="5">
        <f t="shared" si="926"/>
        <v>2024</v>
      </c>
      <c r="D3396" s="5" t="s">
        <v>2978</v>
      </c>
      <c r="E3396" s="5" t="str">
        <f>VLOOKUP(F3396,'Set up'!$A$2:$C$56,2,FALSE)</f>
        <v>C00000042</v>
      </c>
      <c r="F3396" s="1" t="s">
        <v>2013</v>
      </c>
      <c r="G3396" s="124" t="s">
        <v>2962</v>
      </c>
      <c r="H3396" s="137">
        <v>4</v>
      </c>
      <c r="I3396" s="5" t="str">
        <f>VLOOKUP(F3396,'Set up'!$A$2:$C$56,3,FALSE)</f>
        <v>Cash</v>
      </c>
      <c r="J3396" s="5">
        <f>VLOOKUP(F3396,'Set up'!$A$2:$D$56,4,FALSE)</f>
        <v>0</v>
      </c>
      <c r="K3396" s="4">
        <f t="shared" si="927"/>
        <v>45612</v>
      </c>
      <c r="L3396" s="5">
        <f t="shared" si="928"/>
        <v>11</v>
      </c>
      <c r="M3396" s="5">
        <f t="shared" si="929"/>
        <v>2024</v>
      </c>
      <c r="N3396" s="12">
        <v>6480</v>
      </c>
      <c r="O3396" s="12"/>
      <c r="P3396" s="12">
        <f t="shared" si="930"/>
        <v>6480</v>
      </c>
      <c r="Q3396" s="7">
        <f t="shared" si="931"/>
        <v>5597422.25</v>
      </c>
      <c r="R3396" s="44" t="str">
        <f>VLOOKUP(F3396,'Set up'!$A$2:$E$56,5,FALSE)</f>
        <v>Trsf</v>
      </c>
    </row>
    <row r="3397" spans="1:18" ht="15" customHeight="1" x14ac:dyDescent="0.3">
      <c r="A3397" s="4">
        <v>45612</v>
      </c>
      <c r="B3397" s="5">
        <f t="shared" si="925"/>
        <v>11</v>
      </c>
      <c r="C3397" s="5">
        <f t="shared" si="926"/>
        <v>2024</v>
      </c>
      <c r="D3397" s="5" t="s">
        <v>2978</v>
      </c>
      <c r="E3397" s="5" t="str">
        <f>VLOOKUP(F3397,'Set up'!$A$2:$C$56,2,FALSE)</f>
        <v>C00000042</v>
      </c>
      <c r="F3397" s="1" t="s">
        <v>2013</v>
      </c>
      <c r="G3397" s="90" t="s">
        <v>2507</v>
      </c>
      <c r="H3397" s="137">
        <v>30</v>
      </c>
      <c r="I3397" s="5" t="str">
        <f>VLOOKUP(F3397,'Set up'!$A$2:$C$56,3,FALSE)</f>
        <v>Cash</v>
      </c>
      <c r="J3397" s="5">
        <f>VLOOKUP(F3397,'Set up'!$A$2:$D$56,4,FALSE)</f>
        <v>0</v>
      </c>
      <c r="K3397" s="4">
        <f t="shared" si="927"/>
        <v>45612</v>
      </c>
      <c r="L3397" s="5">
        <f t="shared" si="928"/>
        <v>11</v>
      </c>
      <c r="M3397" s="5">
        <f t="shared" si="929"/>
        <v>2024</v>
      </c>
      <c r="N3397" s="12">
        <v>6438</v>
      </c>
      <c r="O3397" s="12"/>
      <c r="P3397" s="12">
        <f t="shared" si="930"/>
        <v>6438</v>
      </c>
      <c r="Q3397" s="7">
        <f t="shared" si="931"/>
        <v>5603860.25</v>
      </c>
      <c r="R3397" s="44" t="str">
        <f>VLOOKUP(F3397,'Set up'!$A$2:$E$56,5,FALSE)</f>
        <v>Trsf</v>
      </c>
    </row>
    <row r="3398" spans="1:18" ht="15" customHeight="1" x14ac:dyDescent="0.3">
      <c r="A3398" s="4">
        <v>45612</v>
      </c>
      <c r="B3398" s="5">
        <f t="shared" si="925"/>
        <v>11</v>
      </c>
      <c r="C3398" s="5">
        <f t="shared" si="926"/>
        <v>2024</v>
      </c>
      <c r="D3398" s="5" t="s">
        <v>2978</v>
      </c>
      <c r="E3398" s="5" t="str">
        <f>VLOOKUP(F3398,'Set up'!$A$2:$C$56,2,FALSE)</f>
        <v>C00000042</v>
      </c>
      <c r="F3398" s="1" t="s">
        <v>2013</v>
      </c>
      <c r="G3398" s="90" t="s">
        <v>1923</v>
      </c>
      <c r="H3398" s="137">
        <v>15</v>
      </c>
      <c r="I3398" s="5" t="str">
        <f>VLOOKUP(F3398,'Set up'!$A$2:$C$56,3,FALSE)</f>
        <v>Cash</v>
      </c>
      <c r="J3398" s="5">
        <f>VLOOKUP(F3398,'Set up'!$A$2:$D$56,4,FALSE)</f>
        <v>0</v>
      </c>
      <c r="K3398" s="4">
        <f t="shared" si="927"/>
        <v>45612</v>
      </c>
      <c r="L3398" s="5">
        <f t="shared" si="928"/>
        <v>11</v>
      </c>
      <c r="M3398" s="5">
        <f t="shared" si="929"/>
        <v>2024</v>
      </c>
      <c r="N3398" s="12">
        <v>3577.5</v>
      </c>
      <c r="O3398" s="12"/>
      <c r="P3398" s="12">
        <f t="shared" si="930"/>
        <v>3577.5</v>
      </c>
      <c r="Q3398" s="7">
        <f t="shared" si="931"/>
        <v>5607437.75</v>
      </c>
      <c r="R3398" s="44" t="str">
        <f>VLOOKUP(F3398,'Set up'!$A$2:$E$56,5,FALSE)</f>
        <v>Trsf</v>
      </c>
    </row>
    <row r="3399" spans="1:18" ht="15" customHeight="1" x14ac:dyDescent="0.3">
      <c r="A3399" s="4">
        <v>45612</v>
      </c>
      <c r="B3399" s="5">
        <f t="shared" si="925"/>
        <v>11</v>
      </c>
      <c r="C3399" s="5">
        <f t="shared" si="926"/>
        <v>2024</v>
      </c>
      <c r="D3399" s="5" t="s">
        <v>2978</v>
      </c>
      <c r="E3399" s="5" t="str">
        <f>VLOOKUP(F3399,'Set up'!$A$2:$C$56,2,FALSE)</f>
        <v>C00000042</v>
      </c>
      <c r="F3399" s="1" t="s">
        <v>2013</v>
      </c>
      <c r="G3399" s="90" t="s">
        <v>1062</v>
      </c>
      <c r="H3399" s="137">
        <v>4</v>
      </c>
      <c r="I3399" s="5" t="str">
        <f>VLOOKUP(F3399,'Set up'!$A$2:$C$56,3,FALSE)</f>
        <v>Cash</v>
      </c>
      <c r="J3399" s="5">
        <f>VLOOKUP(F3399,'Set up'!$A$2:$D$56,4,FALSE)</f>
        <v>0</v>
      </c>
      <c r="K3399" s="4">
        <f t="shared" si="927"/>
        <v>45612</v>
      </c>
      <c r="L3399" s="5">
        <f t="shared" si="928"/>
        <v>11</v>
      </c>
      <c r="M3399" s="5">
        <f t="shared" si="929"/>
        <v>2024</v>
      </c>
      <c r="N3399" s="12">
        <v>380</v>
      </c>
      <c r="O3399" s="12"/>
      <c r="P3399" s="12">
        <f t="shared" si="930"/>
        <v>380</v>
      </c>
      <c r="Q3399" s="7">
        <f t="shared" si="931"/>
        <v>5607817.75</v>
      </c>
      <c r="R3399" s="44" t="str">
        <f>VLOOKUP(F3399,'Set up'!$A$2:$E$56,5,FALSE)</f>
        <v>Trsf</v>
      </c>
    </row>
    <row r="3400" spans="1:18" ht="15" customHeight="1" x14ac:dyDescent="0.3">
      <c r="A3400" s="4">
        <v>45612</v>
      </c>
      <c r="B3400" s="5">
        <f t="shared" si="925"/>
        <v>11</v>
      </c>
      <c r="C3400" s="5">
        <f t="shared" si="926"/>
        <v>2024</v>
      </c>
      <c r="D3400" s="5" t="s">
        <v>2978</v>
      </c>
      <c r="E3400" s="5" t="str">
        <f>VLOOKUP(F3400,'Set up'!$A$2:$C$56,2,FALSE)</f>
        <v>C00000042</v>
      </c>
      <c r="F3400" s="1" t="s">
        <v>2013</v>
      </c>
      <c r="G3400" s="102" t="s">
        <v>1074</v>
      </c>
      <c r="H3400" s="137">
        <v>2</v>
      </c>
      <c r="I3400" s="5" t="str">
        <f>VLOOKUP(F3400,'Set up'!$A$2:$C$56,3,FALSE)</f>
        <v>Cash</v>
      </c>
      <c r="J3400" s="5">
        <f>VLOOKUP(F3400,'Set up'!$A$2:$D$56,4,FALSE)</f>
        <v>0</v>
      </c>
      <c r="K3400" s="4">
        <f t="shared" si="927"/>
        <v>45612</v>
      </c>
      <c r="L3400" s="5">
        <f t="shared" si="928"/>
        <v>11</v>
      </c>
      <c r="M3400" s="5">
        <f t="shared" si="929"/>
        <v>2024</v>
      </c>
      <c r="N3400" s="12">
        <v>2000</v>
      </c>
      <c r="O3400" s="12"/>
      <c r="P3400" s="12">
        <f t="shared" si="930"/>
        <v>2000</v>
      </c>
      <c r="Q3400" s="7">
        <f t="shared" si="931"/>
        <v>5609817.75</v>
      </c>
      <c r="R3400" s="44" t="str">
        <f>VLOOKUP(F3400,'Set up'!$A$2:$E$56,5,FALSE)</f>
        <v>Trsf</v>
      </c>
    </row>
    <row r="3401" spans="1:18" ht="15" customHeight="1" x14ac:dyDescent="0.3">
      <c r="A3401" s="4">
        <v>45615</v>
      </c>
      <c r="B3401" s="5">
        <f t="shared" ref="B3401:B3433" si="932">MONTH(A3401)</f>
        <v>11</v>
      </c>
      <c r="C3401" s="5">
        <f t="shared" ref="C3401:C3433" si="933">YEAR(A3401)</f>
        <v>2024</v>
      </c>
      <c r="D3401" s="5" t="s">
        <v>2979</v>
      </c>
      <c r="E3401" s="5" t="str">
        <f>VLOOKUP(F3401,'Set up'!$A$2:$C$56,2,FALSE)</f>
        <v>C00000049</v>
      </c>
      <c r="F3401" s="131" t="s">
        <v>2808</v>
      </c>
      <c r="G3401" s="123" t="s">
        <v>1716</v>
      </c>
      <c r="H3401" s="135">
        <v>1</v>
      </c>
      <c r="I3401" s="5" t="str">
        <f>VLOOKUP(F3401,'Set up'!$A$2:$C$56,3,FALSE)</f>
        <v>Cash</v>
      </c>
      <c r="J3401" s="5">
        <f>VLOOKUP(F3401,'Set up'!$A$2:$D$56,4,FALSE)</f>
        <v>0</v>
      </c>
      <c r="K3401" s="4">
        <f t="shared" ref="K3401:K3433" si="934">A3401+J3401</f>
        <v>45615</v>
      </c>
      <c r="L3401" s="5">
        <f t="shared" ref="L3401:L3433" si="935">MONTH(K3401)</f>
        <v>11</v>
      </c>
      <c r="M3401" s="5">
        <f t="shared" ref="M3401:M3433" si="936">YEAR(K3401)</f>
        <v>2024</v>
      </c>
      <c r="N3401" s="95">
        <v>180</v>
      </c>
      <c r="O3401" s="12"/>
      <c r="P3401" s="12">
        <f t="shared" ref="P3401:P3433" si="937">SUM(N3401+O3401)</f>
        <v>180</v>
      </c>
      <c r="Q3401" s="7">
        <f t="shared" ref="Q3401:Q3433" si="938">SUM(Q3400+N3401)</f>
        <v>5609997.75</v>
      </c>
      <c r="R3401" s="44" t="str">
        <f>VLOOKUP(F3401,'Set up'!$A$2:$E$56,5,FALSE)</f>
        <v>Cash</v>
      </c>
    </row>
    <row r="3402" spans="1:18" ht="15" customHeight="1" x14ac:dyDescent="0.3">
      <c r="A3402" s="4">
        <v>45615</v>
      </c>
      <c r="B3402" s="5">
        <f t="shared" si="932"/>
        <v>11</v>
      </c>
      <c r="C3402" s="5">
        <f t="shared" si="933"/>
        <v>2024</v>
      </c>
      <c r="D3402" s="5" t="s">
        <v>2979</v>
      </c>
      <c r="E3402" s="5" t="str">
        <f>VLOOKUP(F3402,'Set up'!$A$2:$C$56,2,FALSE)</f>
        <v>C00000049</v>
      </c>
      <c r="F3402" s="131" t="s">
        <v>2808</v>
      </c>
      <c r="G3402" s="90" t="s">
        <v>17</v>
      </c>
      <c r="H3402" s="135">
        <v>1</v>
      </c>
      <c r="I3402" s="5" t="str">
        <f>VLOOKUP(F3402,'Set up'!$A$2:$C$56,3,FALSE)</f>
        <v>Cash</v>
      </c>
      <c r="J3402" s="5">
        <f>VLOOKUP(F3402,'Set up'!$A$2:$D$56,4,FALSE)</f>
        <v>0</v>
      </c>
      <c r="K3402" s="4">
        <f t="shared" si="934"/>
        <v>45615</v>
      </c>
      <c r="L3402" s="5">
        <f t="shared" si="935"/>
        <v>11</v>
      </c>
      <c r="M3402" s="5">
        <f t="shared" si="936"/>
        <v>2024</v>
      </c>
      <c r="N3402" s="97">
        <v>115</v>
      </c>
      <c r="O3402" s="12"/>
      <c r="P3402" s="12">
        <f t="shared" si="937"/>
        <v>115</v>
      </c>
      <c r="Q3402" s="7">
        <f t="shared" si="938"/>
        <v>5610112.75</v>
      </c>
      <c r="R3402" s="44" t="str">
        <f>VLOOKUP(F3402,'Set up'!$A$2:$E$56,5,FALSE)</f>
        <v>Cash</v>
      </c>
    </row>
    <row r="3403" spans="1:18" ht="15" customHeight="1" x14ac:dyDescent="0.3">
      <c r="A3403" s="4">
        <v>45616</v>
      </c>
      <c r="B3403" s="5">
        <f t="shared" si="932"/>
        <v>11</v>
      </c>
      <c r="C3403" s="5">
        <f t="shared" si="933"/>
        <v>2024</v>
      </c>
      <c r="D3403" s="5" t="s">
        <v>2980</v>
      </c>
      <c r="E3403" s="5" t="str">
        <f>VLOOKUP(F3403,'Set up'!$A$2:$C$56,2,FALSE)</f>
        <v>C00000042</v>
      </c>
      <c r="F3403" s="1" t="s">
        <v>2013</v>
      </c>
      <c r="G3403" s="102" t="s">
        <v>2722</v>
      </c>
      <c r="H3403" s="135">
        <v>10</v>
      </c>
      <c r="I3403" s="5" t="str">
        <f>VLOOKUP(F3403,'Set up'!$A$2:$C$56,3,FALSE)</f>
        <v>Cash</v>
      </c>
      <c r="J3403" s="5">
        <f>VLOOKUP(F3403,'Set up'!$A$2:$D$56,4,FALSE)</f>
        <v>0</v>
      </c>
      <c r="K3403" s="4">
        <f t="shared" si="934"/>
        <v>45616</v>
      </c>
      <c r="L3403" s="5">
        <f t="shared" si="935"/>
        <v>11</v>
      </c>
      <c r="M3403" s="5">
        <f t="shared" si="936"/>
        <v>2024</v>
      </c>
      <c r="N3403" s="12">
        <v>625</v>
      </c>
      <c r="O3403" s="12"/>
      <c r="P3403" s="12">
        <f t="shared" si="937"/>
        <v>625</v>
      </c>
      <c r="Q3403" s="7">
        <f t="shared" si="938"/>
        <v>5610737.75</v>
      </c>
      <c r="R3403" s="44" t="str">
        <f>VLOOKUP(F3403,'Set up'!$A$2:$E$56,5,FALSE)</f>
        <v>Trsf</v>
      </c>
    </row>
    <row r="3404" spans="1:18" ht="15" customHeight="1" x14ac:dyDescent="0.3">
      <c r="A3404" s="4">
        <v>45616</v>
      </c>
      <c r="B3404" s="5">
        <f t="shared" si="932"/>
        <v>11</v>
      </c>
      <c r="C3404" s="5">
        <f t="shared" si="933"/>
        <v>2024</v>
      </c>
      <c r="D3404" s="5" t="s">
        <v>2981</v>
      </c>
      <c r="E3404" s="5" t="str">
        <f>VLOOKUP(F3404,'Set up'!$A$2:$C$56,2,FALSE)</f>
        <v>C00000042</v>
      </c>
      <c r="F3404" s="1" t="s">
        <v>2013</v>
      </c>
      <c r="G3404" s="124" t="s">
        <v>2982</v>
      </c>
      <c r="H3404" s="137">
        <v>10</v>
      </c>
      <c r="I3404" s="5" t="str">
        <f>VLOOKUP(F3404,'Set up'!$A$2:$C$56,3,FALSE)</f>
        <v>Cash</v>
      </c>
      <c r="J3404" s="5">
        <f>VLOOKUP(F3404,'Set up'!$A$2:$D$56,4,FALSE)</f>
        <v>0</v>
      </c>
      <c r="K3404" s="4">
        <f t="shared" si="934"/>
        <v>45616</v>
      </c>
      <c r="L3404" s="5">
        <f t="shared" si="935"/>
        <v>11</v>
      </c>
      <c r="M3404" s="5">
        <f t="shared" si="936"/>
        <v>2024</v>
      </c>
      <c r="N3404" s="12">
        <v>16200</v>
      </c>
      <c r="O3404" s="12"/>
      <c r="P3404" s="12">
        <f t="shared" si="937"/>
        <v>16200</v>
      </c>
      <c r="Q3404" s="7">
        <f t="shared" si="938"/>
        <v>5626937.75</v>
      </c>
      <c r="R3404" s="44" t="str">
        <f>VLOOKUP(F3404,'Set up'!$A$2:$E$56,5,FALSE)</f>
        <v>Trsf</v>
      </c>
    </row>
    <row r="3405" spans="1:18" ht="15" customHeight="1" x14ac:dyDescent="0.3">
      <c r="A3405" s="4">
        <v>45616</v>
      </c>
      <c r="B3405" s="5">
        <f t="shared" si="932"/>
        <v>11</v>
      </c>
      <c r="C3405" s="5">
        <f t="shared" si="933"/>
        <v>2024</v>
      </c>
      <c r="D3405" s="5" t="s">
        <v>2981</v>
      </c>
      <c r="E3405" s="5" t="str">
        <f>VLOOKUP(F3405,'Set up'!$A$2:$C$56,2,FALSE)</f>
        <v>C00000042</v>
      </c>
      <c r="F3405" s="1" t="s">
        <v>2013</v>
      </c>
      <c r="G3405" s="124" t="s">
        <v>2507</v>
      </c>
      <c r="H3405" s="137">
        <v>30</v>
      </c>
      <c r="I3405" s="5" t="str">
        <f>VLOOKUP(F3405,'Set up'!$A$2:$C$56,3,FALSE)</f>
        <v>Cash</v>
      </c>
      <c r="J3405" s="5">
        <f>VLOOKUP(F3405,'Set up'!$A$2:$D$56,4,FALSE)</f>
        <v>0</v>
      </c>
      <c r="K3405" s="4">
        <f t="shared" si="934"/>
        <v>45616</v>
      </c>
      <c r="L3405" s="5">
        <f t="shared" si="935"/>
        <v>11</v>
      </c>
      <c r="M3405" s="5">
        <f t="shared" si="936"/>
        <v>2024</v>
      </c>
      <c r="N3405" s="12">
        <v>6438</v>
      </c>
      <c r="O3405" s="12"/>
      <c r="P3405" s="12">
        <f t="shared" si="937"/>
        <v>6438</v>
      </c>
      <c r="Q3405" s="7">
        <f t="shared" si="938"/>
        <v>5633375.75</v>
      </c>
      <c r="R3405" s="44" t="str">
        <f>VLOOKUP(F3405,'Set up'!$A$2:$E$56,5,FALSE)</f>
        <v>Trsf</v>
      </c>
    </row>
    <row r="3406" spans="1:18" ht="15" customHeight="1" x14ac:dyDescent="0.3">
      <c r="A3406" s="4">
        <v>45616</v>
      </c>
      <c r="B3406" s="5">
        <f t="shared" si="932"/>
        <v>11</v>
      </c>
      <c r="C3406" s="5">
        <f t="shared" si="933"/>
        <v>2024</v>
      </c>
      <c r="D3406" s="5" t="s">
        <v>2981</v>
      </c>
      <c r="E3406" s="5" t="str">
        <f>VLOOKUP(F3406,'Set up'!$A$2:$C$56,2,FALSE)</f>
        <v>C00000042</v>
      </c>
      <c r="F3406" s="1" t="s">
        <v>2013</v>
      </c>
      <c r="G3406" s="90" t="s">
        <v>1923</v>
      </c>
      <c r="H3406" s="137">
        <v>15</v>
      </c>
      <c r="I3406" s="5" t="str">
        <f>VLOOKUP(F3406,'Set up'!$A$2:$C$56,3,FALSE)</f>
        <v>Cash</v>
      </c>
      <c r="J3406" s="5">
        <f>VLOOKUP(F3406,'Set up'!$A$2:$D$56,4,FALSE)</f>
        <v>0</v>
      </c>
      <c r="K3406" s="4">
        <f t="shared" si="934"/>
        <v>45616</v>
      </c>
      <c r="L3406" s="5">
        <f t="shared" si="935"/>
        <v>11</v>
      </c>
      <c r="M3406" s="5">
        <f t="shared" si="936"/>
        <v>2024</v>
      </c>
      <c r="N3406" s="12">
        <v>3577.5</v>
      </c>
      <c r="O3406" s="12"/>
      <c r="P3406" s="12">
        <f t="shared" si="937"/>
        <v>3577.5</v>
      </c>
      <c r="Q3406" s="7">
        <f t="shared" si="938"/>
        <v>5636953.25</v>
      </c>
      <c r="R3406" s="44" t="str">
        <f>VLOOKUP(F3406,'Set up'!$A$2:$E$56,5,FALSE)</f>
        <v>Trsf</v>
      </c>
    </row>
    <row r="3407" spans="1:18" ht="15" customHeight="1" x14ac:dyDescent="0.3">
      <c r="A3407" s="4">
        <v>45616</v>
      </c>
      <c r="B3407" s="5">
        <f t="shared" si="932"/>
        <v>11</v>
      </c>
      <c r="C3407" s="5">
        <f t="shared" si="933"/>
        <v>2024</v>
      </c>
      <c r="D3407" s="5" t="s">
        <v>2981</v>
      </c>
      <c r="E3407" s="5" t="str">
        <f>VLOOKUP(F3407,'Set up'!$A$2:$C$56,2,FALSE)</f>
        <v>C00000042</v>
      </c>
      <c r="F3407" s="1" t="s">
        <v>2013</v>
      </c>
      <c r="G3407" s="90" t="s">
        <v>1062</v>
      </c>
      <c r="H3407" s="137">
        <v>4</v>
      </c>
      <c r="I3407" s="5" t="str">
        <f>VLOOKUP(F3407,'Set up'!$A$2:$C$56,3,FALSE)</f>
        <v>Cash</v>
      </c>
      <c r="J3407" s="5">
        <f>VLOOKUP(F3407,'Set up'!$A$2:$D$56,4,FALSE)</f>
        <v>0</v>
      </c>
      <c r="K3407" s="4">
        <f t="shared" si="934"/>
        <v>45616</v>
      </c>
      <c r="L3407" s="5">
        <f t="shared" si="935"/>
        <v>11</v>
      </c>
      <c r="M3407" s="5">
        <f t="shared" si="936"/>
        <v>2024</v>
      </c>
      <c r="N3407" s="12">
        <v>380</v>
      </c>
      <c r="O3407" s="12"/>
      <c r="P3407" s="12">
        <f t="shared" si="937"/>
        <v>380</v>
      </c>
      <c r="Q3407" s="7">
        <f t="shared" si="938"/>
        <v>5637333.25</v>
      </c>
      <c r="R3407" s="44" t="str">
        <f>VLOOKUP(F3407,'Set up'!$A$2:$E$56,5,FALSE)</f>
        <v>Trsf</v>
      </c>
    </row>
    <row r="3408" spans="1:18" ht="15" customHeight="1" x14ac:dyDescent="0.3">
      <c r="A3408" s="4">
        <v>45616</v>
      </c>
      <c r="B3408" s="5">
        <f t="shared" si="932"/>
        <v>11</v>
      </c>
      <c r="C3408" s="5">
        <f t="shared" si="933"/>
        <v>2024</v>
      </c>
      <c r="D3408" s="5" t="s">
        <v>2981</v>
      </c>
      <c r="E3408" s="5" t="str">
        <f>VLOOKUP(F3408,'Set up'!$A$2:$C$56,2,FALSE)</f>
        <v>C00000042</v>
      </c>
      <c r="F3408" s="1" t="s">
        <v>2013</v>
      </c>
      <c r="G3408" s="90" t="s">
        <v>1074</v>
      </c>
      <c r="H3408" s="137">
        <v>2</v>
      </c>
      <c r="I3408" s="5" t="str">
        <f>VLOOKUP(F3408,'Set up'!$A$2:$C$56,3,FALSE)</f>
        <v>Cash</v>
      </c>
      <c r="J3408" s="5">
        <f>VLOOKUP(F3408,'Set up'!$A$2:$D$56,4,FALSE)</f>
        <v>0</v>
      </c>
      <c r="K3408" s="4">
        <f t="shared" si="934"/>
        <v>45616</v>
      </c>
      <c r="L3408" s="5">
        <f t="shared" si="935"/>
        <v>11</v>
      </c>
      <c r="M3408" s="5">
        <f t="shared" si="936"/>
        <v>2024</v>
      </c>
      <c r="N3408" s="12">
        <v>2000</v>
      </c>
      <c r="O3408" s="12"/>
      <c r="P3408" s="12">
        <f t="shared" si="937"/>
        <v>2000</v>
      </c>
      <c r="Q3408" s="7">
        <f t="shared" si="938"/>
        <v>5639333.25</v>
      </c>
      <c r="R3408" s="44" t="str">
        <f>VLOOKUP(F3408,'Set up'!$A$2:$E$56,5,FALSE)</f>
        <v>Trsf</v>
      </c>
    </row>
    <row r="3409" spans="1:18" ht="15" customHeight="1" x14ac:dyDescent="0.3">
      <c r="A3409" s="4">
        <v>45619</v>
      </c>
      <c r="B3409" s="5">
        <f t="shared" si="932"/>
        <v>11</v>
      </c>
      <c r="C3409" s="5">
        <f t="shared" si="933"/>
        <v>2024</v>
      </c>
      <c r="D3409" s="5" t="s">
        <v>2983</v>
      </c>
      <c r="E3409" s="5" t="str">
        <f>VLOOKUP(F3409,'Set up'!$A$2:$C$56,2,FALSE)</f>
        <v>C00000044</v>
      </c>
      <c r="F3409" s="1" t="s">
        <v>2959</v>
      </c>
      <c r="G3409" s="124" t="s">
        <v>2971</v>
      </c>
      <c r="H3409" s="140">
        <v>1</v>
      </c>
      <c r="I3409" s="5" t="str">
        <f>VLOOKUP(F3409,'Set up'!$A$2:$C$56,3,FALSE)</f>
        <v>Cash</v>
      </c>
      <c r="J3409" s="5">
        <f>VLOOKUP(F3409,'Set up'!$A$2:$D$56,4,FALSE)</f>
        <v>0</v>
      </c>
      <c r="K3409" s="4">
        <f t="shared" si="934"/>
        <v>45619</v>
      </c>
      <c r="L3409" s="5">
        <f t="shared" si="935"/>
        <v>11</v>
      </c>
      <c r="M3409" s="5">
        <f t="shared" si="936"/>
        <v>2024</v>
      </c>
      <c r="N3409" s="12">
        <v>1732.5</v>
      </c>
      <c r="O3409" s="12"/>
      <c r="P3409" s="12">
        <f t="shared" si="937"/>
        <v>1732.5</v>
      </c>
      <c r="Q3409" s="7">
        <f t="shared" si="938"/>
        <v>5641065.75</v>
      </c>
      <c r="R3409" s="44" t="str">
        <f>VLOOKUP(F3409,'Set up'!$A$2:$E$56,5,FALSE)</f>
        <v>Cash</v>
      </c>
    </row>
    <row r="3410" spans="1:18" ht="15" customHeight="1" x14ac:dyDescent="0.3">
      <c r="A3410" s="4">
        <v>45619</v>
      </c>
      <c r="B3410" s="5">
        <f t="shared" si="932"/>
        <v>11</v>
      </c>
      <c r="C3410" s="5">
        <f t="shared" si="933"/>
        <v>2024</v>
      </c>
      <c r="D3410" s="5" t="s">
        <v>2983</v>
      </c>
      <c r="E3410" s="5" t="str">
        <f>VLOOKUP(F3410,'Set up'!$A$2:$C$56,2,FALSE)</f>
        <v>C00000044</v>
      </c>
      <c r="F3410" s="1" t="s">
        <v>2959</v>
      </c>
      <c r="G3410" s="116" t="s">
        <v>2643</v>
      </c>
      <c r="H3410" s="140">
        <v>3</v>
      </c>
      <c r="I3410" s="5" t="str">
        <f>VLOOKUP(F3410,'Set up'!$A$2:$C$56,3,FALSE)</f>
        <v>Cash</v>
      </c>
      <c r="J3410" s="5">
        <f>VLOOKUP(F3410,'Set up'!$A$2:$D$56,4,FALSE)</f>
        <v>0</v>
      </c>
      <c r="K3410" s="4">
        <f t="shared" si="934"/>
        <v>45619</v>
      </c>
      <c r="L3410" s="5">
        <f t="shared" si="935"/>
        <v>11</v>
      </c>
      <c r="M3410" s="5">
        <f t="shared" si="936"/>
        <v>2024</v>
      </c>
      <c r="N3410" s="12">
        <v>648</v>
      </c>
      <c r="O3410" s="12"/>
      <c r="P3410" s="12">
        <f t="shared" si="937"/>
        <v>648</v>
      </c>
      <c r="Q3410" s="7">
        <f t="shared" si="938"/>
        <v>5641713.75</v>
      </c>
      <c r="R3410" s="44" t="str">
        <f>VLOOKUP(F3410,'Set up'!$A$2:$E$56,5,FALSE)</f>
        <v>Cash</v>
      </c>
    </row>
    <row r="3411" spans="1:18" ht="15" customHeight="1" x14ac:dyDescent="0.3">
      <c r="A3411" s="4">
        <v>45619</v>
      </c>
      <c r="B3411" s="5">
        <f t="shared" si="932"/>
        <v>11</v>
      </c>
      <c r="C3411" s="5">
        <f t="shared" si="933"/>
        <v>2024</v>
      </c>
      <c r="D3411" s="5" t="s">
        <v>2983</v>
      </c>
      <c r="E3411" s="5" t="str">
        <f>VLOOKUP(F3411,'Set up'!$A$2:$C$56,2,FALSE)</f>
        <v>C00000044</v>
      </c>
      <c r="F3411" s="1" t="s">
        <v>2959</v>
      </c>
      <c r="G3411" s="116" t="s">
        <v>2820</v>
      </c>
      <c r="H3411" s="140">
        <v>5</v>
      </c>
      <c r="I3411" s="5" t="str">
        <f>VLOOKUP(F3411,'Set up'!$A$2:$C$56,3,FALSE)</f>
        <v>Cash</v>
      </c>
      <c r="J3411" s="5">
        <f>VLOOKUP(F3411,'Set up'!$A$2:$D$56,4,FALSE)</f>
        <v>0</v>
      </c>
      <c r="K3411" s="4">
        <f t="shared" si="934"/>
        <v>45619</v>
      </c>
      <c r="L3411" s="5">
        <f t="shared" si="935"/>
        <v>11</v>
      </c>
      <c r="M3411" s="5">
        <f t="shared" si="936"/>
        <v>2024</v>
      </c>
      <c r="N3411" s="12">
        <v>890</v>
      </c>
      <c r="O3411" s="12"/>
      <c r="P3411" s="12">
        <f t="shared" si="937"/>
        <v>890</v>
      </c>
      <c r="Q3411" s="7">
        <f t="shared" si="938"/>
        <v>5642603.75</v>
      </c>
      <c r="R3411" s="44" t="str">
        <f>VLOOKUP(F3411,'Set up'!$A$2:$E$56,5,FALSE)</f>
        <v>Cash</v>
      </c>
    </row>
    <row r="3412" spans="1:18" ht="15" customHeight="1" x14ac:dyDescent="0.3">
      <c r="A3412" s="4">
        <v>45619</v>
      </c>
      <c r="B3412" s="5">
        <f t="shared" si="932"/>
        <v>11</v>
      </c>
      <c r="C3412" s="5">
        <f t="shared" si="933"/>
        <v>2024</v>
      </c>
      <c r="D3412" s="5" t="s">
        <v>2983</v>
      </c>
      <c r="E3412" s="5" t="str">
        <f>VLOOKUP(F3412,'Set up'!$A$2:$C$56,2,FALSE)</f>
        <v>C00000044</v>
      </c>
      <c r="F3412" s="1" t="s">
        <v>2959</v>
      </c>
      <c r="G3412" s="116" t="s">
        <v>46</v>
      </c>
      <c r="H3412" s="140">
        <v>1</v>
      </c>
      <c r="I3412" s="5" t="str">
        <f>VLOOKUP(F3412,'Set up'!$A$2:$C$56,3,FALSE)</f>
        <v>Cash</v>
      </c>
      <c r="J3412" s="5">
        <f>VLOOKUP(F3412,'Set up'!$A$2:$D$56,4,FALSE)</f>
        <v>0</v>
      </c>
      <c r="K3412" s="4">
        <f t="shared" si="934"/>
        <v>45619</v>
      </c>
      <c r="L3412" s="5">
        <f t="shared" si="935"/>
        <v>11</v>
      </c>
      <c r="M3412" s="5">
        <f t="shared" si="936"/>
        <v>2024</v>
      </c>
      <c r="N3412" s="12">
        <v>110</v>
      </c>
      <c r="O3412" s="12"/>
      <c r="P3412" s="12">
        <f t="shared" si="937"/>
        <v>110</v>
      </c>
      <c r="Q3412" s="7">
        <f t="shared" si="938"/>
        <v>5642713.75</v>
      </c>
      <c r="R3412" s="44" t="str">
        <f>VLOOKUP(F3412,'Set up'!$A$2:$E$56,5,FALSE)</f>
        <v>Cash</v>
      </c>
    </row>
    <row r="3413" spans="1:18" ht="15" customHeight="1" x14ac:dyDescent="0.3">
      <c r="A3413" s="4">
        <v>45619</v>
      </c>
      <c r="B3413" s="5">
        <f t="shared" si="932"/>
        <v>11</v>
      </c>
      <c r="C3413" s="5">
        <f t="shared" si="933"/>
        <v>2024</v>
      </c>
      <c r="D3413" s="5" t="s">
        <v>2983</v>
      </c>
      <c r="E3413" s="5" t="str">
        <f>VLOOKUP(F3413,'Set up'!$A$2:$C$56,2,FALSE)</f>
        <v>C00000044</v>
      </c>
      <c r="F3413" s="1" t="s">
        <v>2959</v>
      </c>
      <c r="G3413" s="116" t="s">
        <v>2631</v>
      </c>
      <c r="H3413" s="140">
        <v>1</v>
      </c>
      <c r="I3413" s="5" t="str">
        <f>VLOOKUP(F3413,'Set up'!$A$2:$C$56,3,FALSE)</f>
        <v>Cash</v>
      </c>
      <c r="J3413" s="5">
        <f>VLOOKUP(F3413,'Set up'!$A$2:$D$56,4,FALSE)</f>
        <v>0</v>
      </c>
      <c r="K3413" s="4">
        <f t="shared" si="934"/>
        <v>45619</v>
      </c>
      <c r="L3413" s="5">
        <f t="shared" si="935"/>
        <v>11</v>
      </c>
      <c r="M3413" s="5">
        <f t="shared" si="936"/>
        <v>2024</v>
      </c>
      <c r="N3413" s="12">
        <v>250</v>
      </c>
      <c r="O3413" s="12"/>
      <c r="P3413" s="12">
        <f t="shared" si="937"/>
        <v>250</v>
      </c>
      <c r="Q3413" s="7">
        <f t="shared" si="938"/>
        <v>5642963.75</v>
      </c>
      <c r="R3413" s="44" t="str">
        <f>VLOOKUP(F3413,'Set up'!$A$2:$E$56,5,FALSE)</f>
        <v>Cash</v>
      </c>
    </row>
    <row r="3414" spans="1:18" ht="15" customHeight="1" x14ac:dyDescent="0.3">
      <c r="A3414" s="4">
        <v>45618</v>
      </c>
      <c r="B3414" s="5">
        <f t="shared" si="932"/>
        <v>11</v>
      </c>
      <c r="C3414" s="5">
        <f t="shared" si="933"/>
        <v>2024</v>
      </c>
      <c r="D3414" s="5" t="s">
        <v>2984</v>
      </c>
      <c r="E3414" s="5" t="str">
        <f>VLOOKUP(F3414,'Set up'!$A$2:$C$56,2,FALSE)</f>
        <v>C00000050</v>
      </c>
      <c r="F3414" s="1" t="s">
        <v>2732</v>
      </c>
      <c r="G3414" s="132" t="s">
        <v>2971</v>
      </c>
      <c r="H3414" s="138">
        <v>1</v>
      </c>
      <c r="I3414" s="5" t="str">
        <f>VLOOKUP(F3414,'Set up'!$A$2:$C$56,3,FALSE)</f>
        <v>Cash</v>
      </c>
      <c r="J3414" s="5">
        <f>VLOOKUP(F3414,'Set up'!$A$2:$D$56,4,FALSE)</f>
        <v>0</v>
      </c>
      <c r="K3414" s="4">
        <f t="shared" si="934"/>
        <v>45618</v>
      </c>
      <c r="L3414" s="5">
        <f t="shared" si="935"/>
        <v>11</v>
      </c>
      <c r="M3414" s="5">
        <f t="shared" si="936"/>
        <v>2024</v>
      </c>
      <c r="N3414" s="12">
        <v>1755</v>
      </c>
      <c r="O3414" s="12"/>
      <c r="P3414" s="12">
        <f t="shared" si="937"/>
        <v>1755</v>
      </c>
      <c r="Q3414" s="7">
        <f t="shared" si="938"/>
        <v>5644718.75</v>
      </c>
      <c r="R3414" s="44" t="str">
        <f>VLOOKUP(F3414,'Set up'!$A$2:$E$56,5,FALSE)</f>
        <v>Cash</v>
      </c>
    </row>
    <row r="3415" spans="1:18" ht="15" customHeight="1" x14ac:dyDescent="0.3">
      <c r="A3415" s="4">
        <v>45618</v>
      </c>
      <c r="B3415" s="5">
        <f t="shared" si="932"/>
        <v>11</v>
      </c>
      <c r="C3415" s="5">
        <f t="shared" si="933"/>
        <v>2024</v>
      </c>
      <c r="D3415" s="5" t="s">
        <v>2984</v>
      </c>
      <c r="E3415" s="5" t="str">
        <f>VLOOKUP(F3415,'Set up'!$A$2:$C$56,2,FALSE)</f>
        <v>C00000050</v>
      </c>
      <c r="F3415" s="1" t="s">
        <v>2732</v>
      </c>
      <c r="G3415" s="98" t="s">
        <v>2965</v>
      </c>
      <c r="H3415" s="138">
        <v>1</v>
      </c>
      <c r="I3415" s="5" t="str">
        <f>VLOOKUP(F3415,'Set up'!$A$2:$C$56,3,FALSE)</f>
        <v>Cash</v>
      </c>
      <c r="J3415" s="5">
        <f>VLOOKUP(F3415,'Set up'!$A$2:$D$56,4,FALSE)</f>
        <v>0</v>
      </c>
      <c r="K3415" s="4">
        <f t="shared" si="934"/>
        <v>45618</v>
      </c>
      <c r="L3415" s="5">
        <f t="shared" si="935"/>
        <v>11</v>
      </c>
      <c r="M3415" s="5">
        <f t="shared" si="936"/>
        <v>2024</v>
      </c>
      <c r="N3415" s="12">
        <v>277.5</v>
      </c>
      <c r="O3415" s="12"/>
      <c r="P3415" s="12">
        <f t="shared" si="937"/>
        <v>277.5</v>
      </c>
      <c r="Q3415" s="7">
        <f t="shared" si="938"/>
        <v>5644996.25</v>
      </c>
      <c r="R3415" s="44" t="str">
        <f>VLOOKUP(F3415,'Set up'!$A$2:$E$56,5,FALSE)</f>
        <v>Cash</v>
      </c>
    </row>
    <row r="3416" spans="1:18" ht="15" customHeight="1" x14ac:dyDescent="0.3">
      <c r="A3416" s="4">
        <v>45618</v>
      </c>
      <c r="B3416" s="5">
        <f t="shared" si="932"/>
        <v>11</v>
      </c>
      <c r="C3416" s="5">
        <f t="shared" si="933"/>
        <v>2024</v>
      </c>
      <c r="D3416" s="5" t="s">
        <v>2984</v>
      </c>
      <c r="E3416" s="5" t="str">
        <f>VLOOKUP(F3416,'Set up'!$A$2:$C$56,2,FALSE)</f>
        <v>C00000050</v>
      </c>
      <c r="F3416" s="1" t="s">
        <v>2732</v>
      </c>
      <c r="G3416" s="98" t="s">
        <v>1062</v>
      </c>
      <c r="H3416" s="138">
        <v>1</v>
      </c>
      <c r="I3416" s="5" t="str">
        <f>VLOOKUP(F3416,'Set up'!$A$2:$C$56,3,FALSE)</f>
        <v>Cash</v>
      </c>
      <c r="J3416" s="5">
        <f>VLOOKUP(F3416,'Set up'!$A$2:$D$56,4,FALSE)</f>
        <v>0</v>
      </c>
      <c r="K3416" s="4">
        <f t="shared" si="934"/>
        <v>45618</v>
      </c>
      <c r="L3416" s="5">
        <f t="shared" si="935"/>
        <v>11</v>
      </c>
      <c r="M3416" s="5">
        <f t="shared" si="936"/>
        <v>2024</v>
      </c>
      <c r="N3416" s="12">
        <v>95</v>
      </c>
      <c r="O3416" s="12"/>
      <c r="P3416" s="12">
        <f t="shared" si="937"/>
        <v>95</v>
      </c>
      <c r="Q3416" s="7">
        <f t="shared" si="938"/>
        <v>5645091.25</v>
      </c>
      <c r="R3416" s="44" t="str">
        <f>VLOOKUP(F3416,'Set up'!$A$2:$E$56,5,FALSE)</f>
        <v>Cash</v>
      </c>
    </row>
    <row r="3417" spans="1:18" ht="15" customHeight="1" x14ac:dyDescent="0.3">
      <c r="A3417" s="4">
        <v>45618</v>
      </c>
      <c r="B3417" s="5">
        <f t="shared" si="932"/>
        <v>11</v>
      </c>
      <c r="C3417" s="5">
        <f t="shared" si="933"/>
        <v>2024</v>
      </c>
      <c r="D3417" s="5" t="s">
        <v>2984</v>
      </c>
      <c r="E3417" s="5" t="str">
        <f>VLOOKUP(F3417,'Set up'!$A$2:$C$56,2,FALSE)</f>
        <v>C00000050</v>
      </c>
      <c r="F3417" s="1" t="s">
        <v>2732</v>
      </c>
      <c r="G3417" s="90" t="s">
        <v>2592</v>
      </c>
      <c r="H3417" s="138">
        <v>12</v>
      </c>
      <c r="I3417" s="5" t="str">
        <f>VLOOKUP(F3417,'Set up'!$A$2:$C$56,3,FALSE)</f>
        <v>Cash</v>
      </c>
      <c r="J3417" s="5">
        <f>VLOOKUP(F3417,'Set up'!$A$2:$D$56,4,FALSE)</f>
        <v>0</v>
      </c>
      <c r="K3417" s="4">
        <f t="shared" si="934"/>
        <v>45618</v>
      </c>
      <c r="L3417" s="5">
        <f t="shared" si="935"/>
        <v>11</v>
      </c>
      <c r="M3417" s="5">
        <f t="shared" si="936"/>
        <v>2024</v>
      </c>
      <c r="N3417" s="12">
        <v>540</v>
      </c>
      <c r="O3417" s="12"/>
      <c r="P3417" s="12">
        <f t="shared" si="937"/>
        <v>540</v>
      </c>
      <c r="Q3417" s="7">
        <f t="shared" si="938"/>
        <v>5645631.25</v>
      </c>
      <c r="R3417" s="44" t="str">
        <f>VLOOKUP(F3417,'Set up'!$A$2:$E$56,5,FALSE)</f>
        <v>Cash</v>
      </c>
    </row>
    <row r="3418" spans="1:18" ht="15" customHeight="1" x14ac:dyDescent="0.3">
      <c r="A3418" s="4">
        <v>45618</v>
      </c>
      <c r="B3418" s="5">
        <f t="shared" si="932"/>
        <v>11</v>
      </c>
      <c r="C3418" s="5">
        <f t="shared" si="933"/>
        <v>2024</v>
      </c>
      <c r="D3418" s="5" t="s">
        <v>2984</v>
      </c>
      <c r="E3418" s="5" t="str">
        <f>VLOOKUP(F3418,'Set up'!$A$2:$C$56,2,FALSE)</f>
        <v>C00000050</v>
      </c>
      <c r="F3418" s="1" t="s">
        <v>2732</v>
      </c>
      <c r="G3418" s="98" t="s">
        <v>801</v>
      </c>
      <c r="H3418" s="138">
        <v>1</v>
      </c>
      <c r="I3418" s="5" t="str">
        <f>VLOOKUP(F3418,'Set up'!$A$2:$C$56,3,FALSE)</f>
        <v>Cash</v>
      </c>
      <c r="J3418" s="5">
        <f>VLOOKUP(F3418,'Set up'!$A$2:$D$56,4,FALSE)</f>
        <v>0</v>
      </c>
      <c r="K3418" s="4">
        <f t="shared" si="934"/>
        <v>45618</v>
      </c>
      <c r="L3418" s="5">
        <f t="shared" si="935"/>
        <v>11</v>
      </c>
      <c r="M3418" s="5">
        <f t="shared" si="936"/>
        <v>2024</v>
      </c>
      <c r="N3418" s="12">
        <v>225</v>
      </c>
      <c r="O3418" s="12"/>
      <c r="P3418" s="12">
        <f t="shared" si="937"/>
        <v>225</v>
      </c>
      <c r="Q3418" s="7">
        <f t="shared" si="938"/>
        <v>5645856.25</v>
      </c>
      <c r="R3418" s="44" t="str">
        <f>VLOOKUP(F3418,'Set up'!$A$2:$E$56,5,FALSE)</f>
        <v>Cash</v>
      </c>
    </row>
    <row r="3419" spans="1:18" ht="15" customHeight="1" x14ac:dyDescent="0.3">
      <c r="A3419" s="4">
        <v>45618</v>
      </c>
      <c r="B3419" s="5">
        <f t="shared" si="932"/>
        <v>11</v>
      </c>
      <c r="C3419" s="5">
        <f t="shared" si="933"/>
        <v>2024</v>
      </c>
      <c r="D3419" s="5" t="s">
        <v>2985</v>
      </c>
      <c r="E3419" s="5" t="str">
        <f>VLOOKUP(F3419,'Set up'!$A$2:$C$56,2,FALSE)</f>
        <v>C00000049</v>
      </c>
      <c r="F3419" s="131" t="s">
        <v>2808</v>
      </c>
      <c r="G3419" s="124" t="s">
        <v>2971</v>
      </c>
      <c r="H3419" s="135">
        <v>1</v>
      </c>
      <c r="I3419" s="5" t="str">
        <f>VLOOKUP(F3419,'Set up'!$A$2:$C$56,3,FALSE)</f>
        <v>Cash</v>
      </c>
      <c r="J3419" s="5">
        <f>VLOOKUP(F3419,'Set up'!$A$2:$D$56,4,FALSE)</f>
        <v>0</v>
      </c>
      <c r="K3419" s="4">
        <f t="shared" si="934"/>
        <v>45618</v>
      </c>
      <c r="L3419" s="5">
        <f t="shared" si="935"/>
        <v>11</v>
      </c>
      <c r="M3419" s="5">
        <f t="shared" si="936"/>
        <v>2024</v>
      </c>
      <c r="N3419" s="95">
        <v>1755</v>
      </c>
      <c r="O3419" s="12"/>
      <c r="P3419" s="12">
        <f t="shared" si="937"/>
        <v>1755</v>
      </c>
      <c r="Q3419" s="7">
        <f t="shared" si="938"/>
        <v>5647611.25</v>
      </c>
      <c r="R3419" s="44" t="str">
        <f>VLOOKUP(F3419,'Set up'!$A$2:$E$56,5,FALSE)</f>
        <v>Cash</v>
      </c>
    </row>
    <row r="3420" spans="1:18" ht="15" customHeight="1" x14ac:dyDescent="0.3">
      <c r="A3420" s="4">
        <v>45618</v>
      </c>
      <c r="B3420" s="5">
        <f t="shared" si="932"/>
        <v>11</v>
      </c>
      <c r="C3420" s="5">
        <f t="shared" si="933"/>
        <v>2024</v>
      </c>
      <c r="D3420" s="5" t="s">
        <v>2985</v>
      </c>
      <c r="E3420" s="5" t="str">
        <f>VLOOKUP(F3420,'Set up'!$A$2:$C$56,2,FALSE)</f>
        <v>C00000049</v>
      </c>
      <c r="F3420" s="131" t="s">
        <v>2808</v>
      </c>
      <c r="G3420" s="90" t="s">
        <v>1470</v>
      </c>
      <c r="H3420" s="135">
        <v>1</v>
      </c>
      <c r="I3420" s="5" t="str">
        <f>VLOOKUP(F3420,'Set up'!$A$2:$C$56,3,FALSE)</f>
        <v>Cash</v>
      </c>
      <c r="J3420" s="5">
        <f>VLOOKUP(F3420,'Set up'!$A$2:$D$56,4,FALSE)</f>
        <v>0</v>
      </c>
      <c r="K3420" s="4">
        <f t="shared" si="934"/>
        <v>45618</v>
      </c>
      <c r="L3420" s="5">
        <f t="shared" si="935"/>
        <v>11</v>
      </c>
      <c r="M3420" s="5">
        <f t="shared" si="936"/>
        <v>2024</v>
      </c>
      <c r="N3420" s="97">
        <v>390</v>
      </c>
      <c r="O3420" s="12"/>
      <c r="P3420" s="12">
        <f t="shared" si="937"/>
        <v>390</v>
      </c>
      <c r="Q3420" s="7">
        <f t="shared" si="938"/>
        <v>5648001.25</v>
      </c>
      <c r="R3420" s="44" t="str">
        <f>VLOOKUP(F3420,'Set up'!$A$2:$E$56,5,FALSE)</f>
        <v>Cash</v>
      </c>
    </row>
    <row r="3421" spans="1:18" ht="15" customHeight="1" x14ac:dyDescent="0.3">
      <c r="A3421" s="4">
        <v>45618</v>
      </c>
      <c r="B3421" s="5">
        <f t="shared" si="932"/>
        <v>11</v>
      </c>
      <c r="C3421" s="5">
        <f t="shared" si="933"/>
        <v>2024</v>
      </c>
      <c r="D3421" s="5" t="s">
        <v>2985</v>
      </c>
      <c r="E3421" s="5" t="str">
        <f>VLOOKUP(F3421,'Set up'!$A$2:$C$56,2,FALSE)</f>
        <v>C00000049</v>
      </c>
      <c r="F3421" s="131" t="s">
        <v>2808</v>
      </c>
      <c r="G3421" s="123" t="s">
        <v>2596</v>
      </c>
      <c r="H3421" s="135">
        <v>1</v>
      </c>
      <c r="I3421" s="5" t="str">
        <f>VLOOKUP(F3421,'Set up'!$A$2:$C$56,3,FALSE)</f>
        <v>Cash</v>
      </c>
      <c r="J3421" s="5">
        <f>VLOOKUP(F3421,'Set up'!$A$2:$D$56,4,FALSE)</f>
        <v>0</v>
      </c>
      <c r="K3421" s="4">
        <f t="shared" si="934"/>
        <v>45618</v>
      </c>
      <c r="L3421" s="5">
        <f t="shared" si="935"/>
        <v>11</v>
      </c>
      <c r="M3421" s="5">
        <f t="shared" si="936"/>
        <v>2024</v>
      </c>
      <c r="N3421" s="95">
        <v>225</v>
      </c>
      <c r="O3421" s="12"/>
      <c r="P3421" s="12">
        <f t="shared" si="937"/>
        <v>225</v>
      </c>
      <c r="Q3421" s="7">
        <f t="shared" si="938"/>
        <v>5648226.25</v>
      </c>
      <c r="R3421" s="44" t="str">
        <f>VLOOKUP(F3421,'Set up'!$A$2:$E$56,5,FALSE)</f>
        <v>Cash</v>
      </c>
    </row>
    <row r="3422" spans="1:18" ht="15" customHeight="1" x14ac:dyDescent="0.3">
      <c r="A3422" s="4">
        <v>45618</v>
      </c>
      <c r="B3422" s="5">
        <f t="shared" si="932"/>
        <v>11</v>
      </c>
      <c r="C3422" s="5">
        <f t="shared" si="933"/>
        <v>2024</v>
      </c>
      <c r="D3422" s="5" t="s">
        <v>2985</v>
      </c>
      <c r="E3422" s="5" t="str">
        <f>VLOOKUP(F3422,'Set up'!$A$2:$C$56,2,FALSE)</f>
        <v>C00000049</v>
      </c>
      <c r="F3422" s="131" t="s">
        <v>2808</v>
      </c>
      <c r="G3422" s="102" t="s">
        <v>2722</v>
      </c>
      <c r="H3422" s="135">
        <v>1</v>
      </c>
      <c r="I3422" s="5" t="str">
        <f>VLOOKUP(F3422,'Set up'!$A$2:$C$56,3,FALSE)</f>
        <v>Cash</v>
      </c>
      <c r="J3422" s="5">
        <f>VLOOKUP(F3422,'Set up'!$A$2:$D$56,4,FALSE)</f>
        <v>0</v>
      </c>
      <c r="K3422" s="4">
        <f t="shared" si="934"/>
        <v>45618</v>
      </c>
      <c r="L3422" s="5">
        <f t="shared" si="935"/>
        <v>11</v>
      </c>
      <c r="M3422" s="5">
        <f t="shared" si="936"/>
        <v>2024</v>
      </c>
      <c r="N3422" s="95">
        <v>62.5</v>
      </c>
      <c r="O3422" s="12"/>
      <c r="P3422" s="12">
        <f t="shared" si="937"/>
        <v>62.5</v>
      </c>
      <c r="Q3422" s="7">
        <f t="shared" si="938"/>
        <v>5648288.75</v>
      </c>
      <c r="R3422" s="44" t="str">
        <f>VLOOKUP(F3422,'Set up'!$A$2:$E$56,5,FALSE)</f>
        <v>Cash</v>
      </c>
    </row>
    <row r="3423" spans="1:18" ht="15" customHeight="1" x14ac:dyDescent="0.3">
      <c r="A3423" s="4">
        <v>45621</v>
      </c>
      <c r="B3423" s="5">
        <f t="shared" si="932"/>
        <v>11</v>
      </c>
      <c r="C3423" s="5">
        <f t="shared" si="933"/>
        <v>2024</v>
      </c>
      <c r="D3423" s="5" t="s">
        <v>2987</v>
      </c>
      <c r="E3423" s="5" t="str">
        <f>VLOOKUP(F3423,'Set up'!$A$2:$C$56,2,FALSE)</f>
        <v>C00000049</v>
      </c>
      <c r="F3423" s="131" t="s">
        <v>2808</v>
      </c>
      <c r="G3423" s="123" t="s">
        <v>2986</v>
      </c>
      <c r="H3423" s="135">
        <v>1</v>
      </c>
      <c r="I3423" s="5" t="str">
        <f>VLOOKUP(F3423,'Set up'!$A$2:$C$56,3,FALSE)</f>
        <v>Cash</v>
      </c>
      <c r="J3423" s="5">
        <f>VLOOKUP(F3423,'Set up'!$A$2:$D$56,4,FALSE)</f>
        <v>0</v>
      </c>
      <c r="K3423" s="4">
        <f t="shared" si="934"/>
        <v>45621</v>
      </c>
      <c r="L3423" s="5">
        <f t="shared" si="935"/>
        <v>11</v>
      </c>
      <c r="M3423" s="5">
        <f t="shared" si="936"/>
        <v>2024</v>
      </c>
      <c r="N3423" s="12">
        <v>40</v>
      </c>
      <c r="O3423" s="12"/>
      <c r="P3423" s="12">
        <f t="shared" si="937"/>
        <v>40</v>
      </c>
      <c r="Q3423" s="7">
        <f t="shared" si="938"/>
        <v>5648328.75</v>
      </c>
      <c r="R3423" s="44" t="str">
        <f>VLOOKUP(F3423,'Set up'!$A$2:$E$56,5,FALSE)</f>
        <v>Cash</v>
      </c>
    </row>
    <row r="3424" spans="1:18" ht="15" customHeight="1" x14ac:dyDescent="0.3">
      <c r="A3424" s="4">
        <v>45622</v>
      </c>
      <c r="B3424" s="5">
        <f t="shared" si="932"/>
        <v>11</v>
      </c>
      <c r="C3424" s="5">
        <f t="shared" si="933"/>
        <v>2024</v>
      </c>
      <c r="D3424" s="5" t="s">
        <v>2988</v>
      </c>
      <c r="E3424" s="5" t="str">
        <f>VLOOKUP(F3424,'Set up'!$A$2:$C$56,2,FALSE)</f>
        <v>C00000019</v>
      </c>
      <c r="F3424" s="1" t="s">
        <v>401</v>
      </c>
      <c r="G3424" s="124" t="s">
        <v>2971</v>
      </c>
      <c r="H3424" s="135">
        <v>1</v>
      </c>
      <c r="I3424" s="5" t="str">
        <f>VLOOKUP(F3424,'Set up'!$A$2:$C$56,3,FALSE)</f>
        <v>Cash</v>
      </c>
      <c r="J3424" s="5">
        <f>VLOOKUP(F3424,'Set up'!$A$2:$D$56,4,FALSE)</f>
        <v>0</v>
      </c>
      <c r="K3424" s="4">
        <f t="shared" si="934"/>
        <v>45622</v>
      </c>
      <c r="L3424" s="5">
        <f t="shared" si="935"/>
        <v>11</v>
      </c>
      <c r="M3424" s="5">
        <f t="shared" si="936"/>
        <v>2024</v>
      </c>
      <c r="N3424" s="12">
        <v>1755</v>
      </c>
      <c r="O3424" s="12"/>
      <c r="P3424" s="12">
        <f t="shared" si="937"/>
        <v>1755</v>
      </c>
      <c r="Q3424" s="7">
        <f t="shared" si="938"/>
        <v>5650083.75</v>
      </c>
      <c r="R3424" s="44" t="str">
        <f>VLOOKUP(F3424,'Set up'!$A$2:$E$56,5,FALSE)</f>
        <v>Trsf</v>
      </c>
    </row>
    <row r="3425" spans="1:18" ht="15" customHeight="1" x14ac:dyDescent="0.3">
      <c r="A3425" s="4">
        <v>45622</v>
      </c>
      <c r="B3425" s="5">
        <f t="shared" si="932"/>
        <v>11</v>
      </c>
      <c r="C3425" s="5">
        <f t="shared" si="933"/>
        <v>2024</v>
      </c>
      <c r="D3425" s="5" t="s">
        <v>2988</v>
      </c>
      <c r="E3425" s="5" t="str">
        <f>VLOOKUP(F3425,'Set up'!$A$2:$C$56,2,FALSE)</f>
        <v>C00000019</v>
      </c>
      <c r="F3425" s="1" t="s">
        <v>401</v>
      </c>
      <c r="G3425" s="90" t="s">
        <v>1412</v>
      </c>
      <c r="H3425" s="135">
        <v>1</v>
      </c>
      <c r="I3425" s="5" t="str">
        <f>VLOOKUP(F3425,'Set up'!$A$2:$C$56,3,FALSE)</f>
        <v>Cash</v>
      </c>
      <c r="J3425" s="5">
        <f>VLOOKUP(F3425,'Set up'!$A$2:$D$56,4,FALSE)</f>
        <v>0</v>
      </c>
      <c r="K3425" s="4">
        <f t="shared" si="934"/>
        <v>45622</v>
      </c>
      <c r="L3425" s="5">
        <f t="shared" si="935"/>
        <v>11</v>
      </c>
      <c r="M3425" s="5">
        <f t="shared" si="936"/>
        <v>2024</v>
      </c>
      <c r="N3425" s="12">
        <v>405</v>
      </c>
      <c r="O3425" s="12"/>
      <c r="P3425" s="12">
        <f t="shared" si="937"/>
        <v>405</v>
      </c>
      <c r="Q3425" s="7">
        <f t="shared" si="938"/>
        <v>5650488.75</v>
      </c>
      <c r="R3425" s="44" t="str">
        <f>VLOOKUP(F3425,'Set up'!$A$2:$E$56,5,FALSE)</f>
        <v>Trsf</v>
      </c>
    </row>
    <row r="3426" spans="1:18" ht="15" customHeight="1" x14ac:dyDescent="0.3">
      <c r="A3426" s="4">
        <v>45622</v>
      </c>
      <c r="B3426" s="5">
        <f t="shared" si="932"/>
        <v>11</v>
      </c>
      <c r="C3426" s="5">
        <f t="shared" si="933"/>
        <v>2024</v>
      </c>
      <c r="D3426" s="5" t="s">
        <v>2988</v>
      </c>
      <c r="E3426" s="5" t="str">
        <f>VLOOKUP(F3426,'Set up'!$A$2:$C$56,2,FALSE)</f>
        <v>C00000019</v>
      </c>
      <c r="F3426" s="1" t="s">
        <v>401</v>
      </c>
      <c r="G3426" s="90" t="s">
        <v>950</v>
      </c>
      <c r="H3426" s="135">
        <v>2</v>
      </c>
      <c r="I3426" s="5" t="str">
        <f>VLOOKUP(F3426,'Set up'!$A$2:$C$56,3,FALSE)</f>
        <v>Cash</v>
      </c>
      <c r="J3426" s="5">
        <f>VLOOKUP(F3426,'Set up'!$A$2:$D$56,4,FALSE)</f>
        <v>0</v>
      </c>
      <c r="K3426" s="4">
        <f t="shared" si="934"/>
        <v>45622</v>
      </c>
      <c r="L3426" s="5">
        <f t="shared" si="935"/>
        <v>11</v>
      </c>
      <c r="M3426" s="5">
        <f t="shared" si="936"/>
        <v>2024</v>
      </c>
      <c r="N3426" s="12">
        <v>120</v>
      </c>
      <c r="O3426" s="12"/>
      <c r="P3426" s="12">
        <f t="shared" si="937"/>
        <v>120</v>
      </c>
      <c r="Q3426" s="7">
        <f t="shared" si="938"/>
        <v>5650608.75</v>
      </c>
      <c r="R3426" s="44" t="str">
        <f>VLOOKUP(F3426,'Set up'!$A$2:$E$56,5,FALSE)</f>
        <v>Trsf</v>
      </c>
    </row>
    <row r="3427" spans="1:18" ht="15" customHeight="1" x14ac:dyDescent="0.3">
      <c r="A3427" s="4">
        <v>45622</v>
      </c>
      <c r="B3427" s="5">
        <f t="shared" si="932"/>
        <v>11</v>
      </c>
      <c r="C3427" s="5">
        <f t="shared" si="933"/>
        <v>2024</v>
      </c>
      <c r="D3427" s="5" t="s">
        <v>2988</v>
      </c>
      <c r="E3427" s="5" t="str">
        <f>VLOOKUP(F3427,'Set up'!$A$2:$C$56,2,FALSE)</f>
        <v>C00000019</v>
      </c>
      <c r="F3427" s="1" t="s">
        <v>401</v>
      </c>
      <c r="G3427" s="90" t="s">
        <v>1470</v>
      </c>
      <c r="H3427" s="135">
        <v>1</v>
      </c>
      <c r="I3427" s="5" t="str">
        <f>VLOOKUP(F3427,'Set up'!$A$2:$C$56,3,FALSE)</f>
        <v>Cash</v>
      </c>
      <c r="J3427" s="5">
        <f>VLOOKUP(F3427,'Set up'!$A$2:$D$56,4,FALSE)</f>
        <v>0</v>
      </c>
      <c r="K3427" s="4">
        <f t="shared" si="934"/>
        <v>45622</v>
      </c>
      <c r="L3427" s="5">
        <f t="shared" si="935"/>
        <v>11</v>
      </c>
      <c r="M3427" s="5">
        <f t="shared" si="936"/>
        <v>2024</v>
      </c>
      <c r="N3427" s="12">
        <v>390</v>
      </c>
      <c r="O3427" s="12"/>
      <c r="P3427" s="12">
        <f t="shared" si="937"/>
        <v>390</v>
      </c>
      <c r="Q3427" s="7">
        <f t="shared" si="938"/>
        <v>5650998.75</v>
      </c>
      <c r="R3427" s="44" t="str">
        <f>VLOOKUP(F3427,'Set up'!$A$2:$E$56,5,FALSE)</f>
        <v>Trsf</v>
      </c>
    </row>
    <row r="3428" spans="1:18" ht="15" customHeight="1" x14ac:dyDescent="0.3">
      <c r="A3428" s="4">
        <v>45622</v>
      </c>
      <c r="B3428" s="5">
        <f t="shared" si="932"/>
        <v>11</v>
      </c>
      <c r="C3428" s="5">
        <f t="shared" si="933"/>
        <v>2024</v>
      </c>
      <c r="D3428" s="5" t="s">
        <v>2989</v>
      </c>
      <c r="E3428" s="5" t="str">
        <f>VLOOKUP(F3428,'Set up'!$A$2:$C$56,2,FALSE)</f>
        <v>C00000041</v>
      </c>
      <c r="F3428" s="1" t="s">
        <v>1705</v>
      </c>
      <c r="G3428" s="133" t="s">
        <v>2990</v>
      </c>
      <c r="H3428" s="135">
        <v>1</v>
      </c>
      <c r="I3428" s="5" t="str">
        <f>VLOOKUP(F3428,'Set up'!$A$2:$C$56,3,FALSE)</f>
        <v>Cash</v>
      </c>
      <c r="J3428" s="5">
        <f>VLOOKUP(F3428,'Set up'!$A$2:$D$56,4,FALSE)</f>
        <v>0</v>
      </c>
      <c r="K3428" s="4">
        <f t="shared" si="934"/>
        <v>45622</v>
      </c>
      <c r="L3428" s="5">
        <f t="shared" si="935"/>
        <v>11</v>
      </c>
      <c r="M3428" s="5">
        <f t="shared" si="936"/>
        <v>2024</v>
      </c>
      <c r="N3428" s="141">
        <v>1755</v>
      </c>
      <c r="O3428" s="12"/>
      <c r="P3428" s="12">
        <f t="shared" si="937"/>
        <v>1755</v>
      </c>
      <c r="Q3428" s="7">
        <f t="shared" si="938"/>
        <v>5652753.75</v>
      </c>
      <c r="R3428" s="44" t="str">
        <f>VLOOKUP(F3428,'Set up'!$A$2:$E$56,5,FALSE)</f>
        <v>Trsf</v>
      </c>
    </row>
    <row r="3429" spans="1:18" ht="15" customHeight="1" x14ac:dyDescent="0.3">
      <c r="A3429" s="4">
        <v>45622</v>
      </c>
      <c r="B3429" s="5">
        <f t="shared" si="932"/>
        <v>11</v>
      </c>
      <c r="C3429" s="5">
        <f t="shared" si="933"/>
        <v>2024</v>
      </c>
      <c r="D3429" s="5" t="s">
        <v>2989</v>
      </c>
      <c r="E3429" s="5" t="str">
        <f>VLOOKUP(F3429,'Set up'!$A$2:$C$56,2,FALSE)</f>
        <v>C00000041</v>
      </c>
      <c r="F3429" s="1" t="s">
        <v>1705</v>
      </c>
      <c r="G3429" s="116" t="s">
        <v>2991</v>
      </c>
      <c r="H3429" s="135">
        <v>1</v>
      </c>
      <c r="I3429" s="5" t="str">
        <f>VLOOKUP(F3429,'Set up'!$A$2:$C$56,3,FALSE)</f>
        <v>Cash</v>
      </c>
      <c r="J3429" s="5">
        <f>VLOOKUP(F3429,'Set up'!$A$2:$D$56,4,FALSE)</f>
        <v>0</v>
      </c>
      <c r="K3429" s="4">
        <f t="shared" si="934"/>
        <v>45622</v>
      </c>
      <c r="L3429" s="5">
        <f t="shared" si="935"/>
        <v>11</v>
      </c>
      <c r="M3429" s="5">
        <f t="shared" si="936"/>
        <v>2024</v>
      </c>
      <c r="N3429" s="141">
        <v>45</v>
      </c>
      <c r="O3429" s="12"/>
      <c r="P3429" s="12">
        <f t="shared" si="937"/>
        <v>45</v>
      </c>
      <c r="Q3429" s="7">
        <f t="shared" si="938"/>
        <v>5652798.75</v>
      </c>
      <c r="R3429" s="44" t="str">
        <f>VLOOKUP(F3429,'Set up'!$A$2:$E$56,5,FALSE)</f>
        <v>Trsf</v>
      </c>
    </row>
    <row r="3430" spans="1:18" ht="15" customHeight="1" x14ac:dyDescent="0.3">
      <c r="A3430" s="4">
        <v>45623</v>
      </c>
      <c r="B3430" s="5">
        <f t="shared" si="932"/>
        <v>11</v>
      </c>
      <c r="C3430" s="5">
        <f t="shared" si="933"/>
        <v>2024</v>
      </c>
      <c r="D3430" s="5" t="s">
        <v>2992</v>
      </c>
      <c r="E3430" s="5" t="str">
        <f>VLOOKUP(F3430,'Set up'!$A$2:$C$56,2,FALSE)</f>
        <v>C00000042</v>
      </c>
      <c r="F3430" s="1" t="s">
        <v>2013</v>
      </c>
      <c r="G3430" s="102" t="s">
        <v>2722</v>
      </c>
      <c r="H3430" s="135">
        <v>3</v>
      </c>
      <c r="I3430" s="5" t="str">
        <f>VLOOKUP(F3430,'Set up'!$A$2:$C$56,3,FALSE)</f>
        <v>Cash</v>
      </c>
      <c r="J3430" s="5">
        <f>VLOOKUP(F3430,'Set up'!$A$2:$D$56,4,FALSE)</f>
        <v>0</v>
      </c>
      <c r="K3430" s="4">
        <f t="shared" si="934"/>
        <v>45623</v>
      </c>
      <c r="L3430" s="5">
        <f t="shared" si="935"/>
        <v>11</v>
      </c>
      <c r="M3430" s="5">
        <f t="shared" si="936"/>
        <v>2024</v>
      </c>
      <c r="N3430" s="12">
        <v>187.5</v>
      </c>
      <c r="O3430" s="12"/>
      <c r="P3430" s="12">
        <f t="shared" si="937"/>
        <v>187.5</v>
      </c>
      <c r="Q3430" s="7">
        <f t="shared" si="938"/>
        <v>5652986.25</v>
      </c>
      <c r="R3430" s="44" t="str">
        <f>VLOOKUP(F3430,'Set up'!$A$2:$E$56,5,FALSE)</f>
        <v>Trsf</v>
      </c>
    </row>
    <row r="3431" spans="1:18" ht="15" customHeight="1" x14ac:dyDescent="0.3">
      <c r="A3431" s="4">
        <v>45623</v>
      </c>
      <c r="B3431" s="5">
        <f t="shared" si="932"/>
        <v>11</v>
      </c>
      <c r="C3431" s="5">
        <f t="shared" si="933"/>
        <v>2024</v>
      </c>
      <c r="D3431" s="5" t="s">
        <v>2993</v>
      </c>
      <c r="E3431" s="5" t="str">
        <f>VLOOKUP(F3431,'Set up'!$A$2:$C$56,2,FALSE)</f>
        <v>C00000042</v>
      </c>
      <c r="F3431" s="1" t="s">
        <v>2013</v>
      </c>
      <c r="G3431" s="124" t="s">
        <v>2996</v>
      </c>
      <c r="H3431" s="137">
        <v>6</v>
      </c>
      <c r="I3431" s="5" t="str">
        <f>VLOOKUP(F3431,'Set up'!$A$2:$C$56,3,FALSE)</f>
        <v>Cash</v>
      </c>
      <c r="J3431" s="5">
        <f>VLOOKUP(F3431,'Set up'!$A$2:$D$56,4,FALSE)</f>
        <v>0</v>
      </c>
      <c r="K3431" s="4">
        <f t="shared" si="934"/>
        <v>45623</v>
      </c>
      <c r="L3431" s="5">
        <f t="shared" si="935"/>
        <v>11</v>
      </c>
      <c r="M3431" s="5">
        <f t="shared" si="936"/>
        <v>2024</v>
      </c>
      <c r="N3431" s="12">
        <v>9720</v>
      </c>
      <c r="O3431" s="12"/>
      <c r="P3431" s="12">
        <f t="shared" si="937"/>
        <v>9720</v>
      </c>
      <c r="Q3431" s="7">
        <f t="shared" si="938"/>
        <v>5662706.25</v>
      </c>
      <c r="R3431" s="44" t="str">
        <f>VLOOKUP(F3431,'Set up'!$A$2:$E$56,5,FALSE)</f>
        <v>Trsf</v>
      </c>
    </row>
    <row r="3432" spans="1:18" ht="15" customHeight="1" x14ac:dyDescent="0.3">
      <c r="A3432" s="4">
        <v>45623</v>
      </c>
      <c r="B3432" s="5">
        <f t="shared" si="932"/>
        <v>11</v>
      </c>
      <c r="C3432" s="5">
        <f t="shared" si="933"/>
        <v>2024</v>
      </c>
      <c r="D3432" s="5" t="s">
        <v>2993</v>
      </c>
      <c r="E3432" s="5" t="str">
        <f>VLOOKUP(F3432,'Set up'!$A$2:$C$56,2,FALSE)</f>
        <v>C00000042</v>
      </c>
      <c r="F3432" s="1" t="s">
        <v>2013</v>
      </c>
      <c r="G3432" s="90" t="s">
        <v>1923</v>
      </c>
      <c r="H3432" s="137">
        <v>10</v>
      </c>
      <c r="I3432" s="5" t="str">
        <f>VLOOKUP(F3432,'Set up'!$A$2:$C$56,3,FALSE)</f>
        <v>Cash</v>
      </c>
      <c r="J3432" s="5">
        <f>VLOOKUP(F3432,'Set up'!$A$2:$D$56,4,FALSE)</f>
        <v>0</v>
      </c>
      <c r="K3432" s="4">
        <f t="shared" si="934"/>
        <v>45623</v>
      </c>
      <c r="L3432" s="5">
        <f t="shared" si="935"/>
        <v>11</v>
      </c>
      <c r="M3432" s="5">
        <f t="shared" si="936"/>
        <v>2024</v>
      </c>
      <c r="N3432" s="12">
        <v>2385</v>
      </c>
      <c r="O3432" s="12"/>
      <c r="P3432" s="12">
        <f t="shared" si="937"/>
        <v>2385</v>
      </c>
      <c r="Q3432" s="7">
        <f t="shared" si="938"/>
        <v>5665091.25</v>
      </c>
      <c r="R3432" s="44" t="str">
        <f>VLOOKUP(F3432,'Set up'!$A$2:$E$56,5,FALSE)</f>
        <v>Trsf</v>
      </c>
    </row>
    <row r="3433" spans="1:18" ht="15" customHeight="1" x14ac:dyDescent="0.3">
      <c r="A3433" s="4">
        <v>45623</v>
      </c>
      <c r="B3433" s="5">
        <f t="shared" si="932"/>
        <v>11</v>
      </c>
      <c r="C3433" s="5">
        <f t="shared" si="933"/>
        <v>2024</v>
      </c>
      <c r="D3433" s="5" t="s">
        <v>2993</v>
      </c>
      <c r="E3433" s="5" t="str">
        <f>VLOOKUP(F3433,'Set up'!$A$2:$C$56,2,FALSE)</f>
        <v>C00000042</v>
      </c>
      <c r="F3433" s="1" t="s">
        <v>2013</v>
      </c>
      <c r="G3433" s="90" t="s">
        <v>1062</v>
      </c>
      <c r="H3433" s="137">
        <v>4</v>
      </c>
      <c r="I3433" s="5" t="str">
        <f>VLOOKUP(F3433,'Set up'!$A$2:$C$56,3,FALSE)</f>
        <v>Cash</v>
      </c>
      <c r="J3433" s="5">
        <f>VLOOKUP(F3433,'Set up'!$A$2:$D$56,4,FALSE)</f>
        <v>0</v>
      </c>
      <c r="K3433" s="4">
        <f t="shared" si="934"/>
        <v>45623</v>
      </c>
      <c r="L3433" s="5">
        <f t="shared" si="935"/>
        <v>11</v>
      </c>
      <c r="M3433" s="5">
        <f t="shared" si="936"/>
        <v>2024</v>
      </c>
      <c r="N3433" s="12">
        <v>380</v>
      </c>
      <c r="O3433" s="12"/>
      <c r="P3433" s="12">
        <f t="shared" si="937"/>
        <v>380</v>
      </c>
      <c r="Q3433" s="7">
        <f t="shared" si="938"/>
        <v>5665471.25</v>
      </c>
      <c r="R3433" s="44" t="str">
        <f>VLOOKUP(F3433,'Set up'!$A$2:$E$56,5,FALSE)</f>
        <v>Trsf</v>
      </c>
    </row>
    <row r="3434" spans="1:18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2993</v>
      </c>
      <c r="E3434" s="5" t="str">
        <f>VLOOKUP(F3434,'Set up'!$A$2:$C$56,2,FALSE)</f>
        <v>C00000042</v>
      </c>
      <c r="F3434" s="1" t="s">
        <v>2013</v>
      </c>
      <c r="G3434" s="90" t="s">
        <v>1074</v>
      </c>
      <c r="H3434" s="137">
        <v>1</v>
      </c>
      <c r="I3434" s="5" t="str">
        <f>VLOOKUP(F3434,'Set up'!$A$2:$C$56,3,FALSE)</f>
        <v>Cash</v>
      </c>
      <c r="J3434" s="5">
        <f>VLOOKUP(F3434,'Set up'!$A$2:$D$56,4,FALSE)</f>
        <v>0</v>
      </c>
      <c r="K3434" s="4">
        <f>A3434+J3434</f>
        <v>45623</v>
      </c>
      <c r="L3434" s="5">
        <f t="shared" ref="L3434:L3435" si="939">MONTH(K3434)</f>
        <v>11</v>
      </c>
      <c r="M3434" s="5">
        <f t="shared" ref="M3434:M3435" si="940">YEAR(K3434)</f>
        <v>2024</v>
      </c>
      <c r="N3434" s="12">
        <v>1000</v>
      </c>
      <c r="O3434" s="12"/>
      <c r="P3434" s="12">
        <f t="shared" ref="P3434:P3435" si="941">SUM(N3434+O3434)</f>
        <v>1000</v>
      </c>
      <c r="Q3434" s="7">
        <f t="shared" ref="Q3434:Q3435" si="942">SUM(Q3433+N3434)</f>
        <v>5666471.25</v>
      </c>
      <c r="R3434" s="44" t="str">
        <f>VLOOKUP(F3434,'Set up'!$A$2:$E$56,5,FALSE)</f>
        <v>Trsf</v>
      </c>
    </row>
    <row r="3435" spans="1:18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2994</v>
      </c>
      <c r="E3435" s="5" t="str">
        <f>VLOOKUP(F3435,'Set up'!$A$2:$C$56,2,FALSE)</f>
        <v>C00000050</v>
      </c>
      <c r="F3435" s="1" t="s">
        <v>2732</v>
      </c>
      <c r="G3435" s="105" t="s">
        <v>2971</v>
      </c>
      <c r="H3435" s="135">
        <v>1</v>
      </c>
      <c r="I3435" s="5" t="str">
        <f>VLOOKUP(F3435,'Set up'!$A$2:$C$56,3,FALSE)</f>
        <v>Cash</v>
      </c>
      <c r="J3435" s="5">
        <f>VLOOKUP(F3435,'Set up'!$A$2:$D$56,4,FALSE)</f>
        <v>0</v>
      </c>
      <c r="K3435" s="4">
        <f>A3435+J3435</f>
        <v>45624</v>
      </c>
      <c r="L3435" s="5">
        <f t="shared" si="939"/>
        <v>11</v>
      </c>
      <c r="M3435" s="5">
        <f t="shared" si="940"/>
        <v>2024</v>
      </c>
      <c r="N3435" s="145">
        <v>1755</v>
      </c>
      <c r="O3435" s="12"/>
      <c r="P3435" s="12">
        <f t="shared" si="941"/>
        <v>1755</v>
      </c>
      <c r="Q3435" s="7">
        <f t="shared" si="942"/>
        <v>5668226.25</v>
      </c>
      <c r="R3435" s="44" t="str">
        <f>VLOOKUP(F3435,'Set up'!$A$2:$E$56,5,FALSE)</f>
        <v>Cash</v>
      </c>
    </row>
    <row r="3436" spans="1:18" ht="16.2" customHeight="1" x14ac:dyDescent="0.3">
      <c r="A3436" s="4">
        <v>45624</v>
      </c>
      <c r="B3436" s="5">
        <f t="shared" ref="B3436" si="943">MONTH(A3436)</f>
        <v>11</v>
      </c>
      <c r="C3436" s="5">
        <f t="shared" ref="C3436" si="944">YEAR(A3436)</f>
        <v>2024</v>
      </c>
      <c r="D3436" s="5" t="s">
        <v>2994</v>
      </c>
      <c r="E3436" s="5" t="str">
        <f>VLOOKUP(F3436,'Set up'!$A$2:$C$56,2,FALSE)</f>
        <v>C00000050</v>
      </c>
      <c r="F3436" s="1" t="s">
        <v>2732</v>
      </c>
      <c r="G3436" s="98" t="s">
        <v>2965</v>
      </c>
      <c r="H3436" s="135">
        <v>3</v>
      </c>
      <c r="I3436" s="5" t="str">
        <f>VLOOKUP(F3436,'Set up'!$A$2:$C$56,3,FALSE)</f>
        <v>Cash</v>
      </c>
      <c r="J3436" s="5">
        <f>VLOOKUP(F3436,'Set up'!$A$2:$D$56,4,FALSE)</f>
        <v>0</v>
      </c>
      <c r="K3436" s="4">
        <f t="shared" ref="K3436" si="945">A3436+J3436</f>
        <v>45624</v>
      </c>
      <c r="L3436" s="5">
        <f t="shared" ref="L3436" si="946">MONTH(K3436)</f>
        <v>11</v>
      </c>
      <c r="M3436" s="5">
        <f t="shared" ref="M3436" si="947">YEAR(K3436)</f>
        <v>2024</v>
      </c>
      <c r="N3436" s="145">
        <v>832.5</v>
      </c>
      <c r="O3436" s="12"/>
      <c r="P3436" s="12">
        <f t="shared" ref="P3436" si="948">SUM(N3436+O3436)</f>
        <v>832.5</v>
      </c>
      <c r="Q3436" s="7">
        <f t="shared" ref="Q3436" si="949">SUM(Q3435+N3436)</f>
        <v>5669058.75</v>
      </c>
      <c r="R3436" s="44" t="str">
        <f>VLOOKUP(F3436,'Set up'!$A$2:$E$56,5,FALSE)</f>
        <v>Cash</v>
      </c>
    </row>
    <row r="3437" spans="1:18" ht="16.2" customHeight="1" x14ac:dyDescent="0.3">
      <c r="A3437" s="4">
        <v>45624</v>
      </c>
      <c r="B3437" s="5">
        <f t="shared" ref="B3437:B3500" si="950">MONTH(A3437)</f>
        <v>11</v>
      </c>
      <c r="C3437" s="5">
        <f t="shared" ref="C3437:C3500" si="951">YEAR(A3437)</f>
        <v>2024</v>
      </c>
      <c r="D3437" s="5" t="s">
        <v>2994</v>
      </c>
      <c r="E3437" s="5" t="str">
        <f>VLOOKUP(F3437,'Set up'!$A$2:$C$56,2,FALSE)</f>
        <v>C00000050</v>
      </c>
      <c r="F3437" s="1" t="s">
        <v>2732</v>
      </c>
      <c r="G3437" s="98" t="s">
        <v>1062</v>
      </c>
      <c r="H3437" s="135">
        <v>1</v>
      </c>
      <c r="I3437" s="5" t="str">
        <f>VLOOKUP(F3437,'Set up'!$A$2:$C$100,3,FALSE)</f>
        <v>Cash</v>
      </c>
      <c r="J3437" s="5">
        <f>VLOOKUP(F3437,'Set up'!$A$2:$D$100,4,FALSE)</f>
        <v>0</v>
      </c>
      <c r="K3437" s="4">
        <f t="shared" ref="K3437:K3438" si="952">A3437+J3437</f>
        <v>45624</v>
      </c>
      <c r="L3437" s="5">
        <f t="shared" ref="L3437:L3438" si="953">MONTH(K3437)</f>
        <v>11</v>
      </c>
      <c r="M3437" s="5">
        <f t="shared" ref="M3437:M3438" si="954">YEAR(K3437)</f>
        <v>2024</v>
      </c>
      <c r="N3437" s="145">
        <v>95</v>
      </c>
      <c r="O3437" s="12"/>
      <c r="P3437" s="12">
        <f t="shared" ref="P3437:P3438" si="955">SUM(N3437+O3437)</f>
        <v>95</v>
      </c>
      <c r="Q3437" s="7">
        <f t="shared" ref="Q3437:Q3438" si="956">SUM(Q3436+N3437)</f>
        <v>5669153.75</v>
      </c>
      <c r="R3437" s="44" t="str">
        <f>VLOOKUP(F3437,'Set up'!$A$2:$E$100,5,FALSE)</f>
        <v>Cash</v>
      </c>
    </row>
    <row r="3438" spans="1:18" s="10" customFormat="1" ht="16.2" customHeight="1" x14ac:dyDescent="0.3">
      <c r="A3438" s="125">
        <v>45626</v>
      </c>
      <c r="B3438" s="126">
        <f t="shared" si="950"/>
        <v>11</v>
      </c>
      <c r="C3438" s="126">
        <f t="shared" si="951"/>
        <v>2024</v>
      </c>
      <c r="D3438" s="126" t="s">
        <v>2995</v>
      </c>
      <c r="E3438" s="126" t="str">
        <f>VLOOKUP(F3438,'Set up'!$A$2:$C$56,2,FALSE)</f>
        <v>C00000049</v>
      </c>
      <c r="F3438" s="146" t="s">
        <v>2808</v>
      </c>
      <c r="G3438" s="147" t="s">
        <v>1716</v>
      </c>
      <c r="H3438" s="144">
        <v>1</v>
      </c>
      <c r="I3438" s="126" t="str">
        <f>VLOOKUP(F3438,'Set up'!$A$2:$C$100,3,FALSE)</f>
        <v>Cash</v>
      </c>
      <c r="J3438" s="126">
        <f>VLOOKUP(F3438,'Set up'!$A$2:$D$100,4,FALSE)</f>
        <v>0</v>
      </c>
      <c r="K3438" s="125">
        <f t="shared" ref="K3438:K3501" si="957">A3438+J3438</f>
        <v>45626</v>
      </c>
      <c r="L3438" s="126">
        <f t="shared" ref="L3438:L3501" si="958">MONTH(K3438)</f>
        <v>11</v>
      </c>
      <c r="M3438" s="126">
        <f t="shared" ref="M3438:M3501" si="959">YEAR(K3438)</f>
        <v>2024</v>
      </c>
      <c r="N3438" s="154">
        <v>180</v>
      </c>
      <c r="O3438" s="34"/>
      <c r="P3438" s="34">
        <f t="shared" ref="N3438:P3501" si="960">SUM(N3438+O3438)</f>
        <v>180</v>
      </c>
      <c r="Q3438" s="129">
        <f t="shared" ref="Q3438:Q3501" si="961">SUM(Q3437+N3438)</f>
        <v>5669333.75</v>
      </c>
      <c r="R3438" s="128" t="str">
        <f>VLOOKUP(F3438,'Set up'!$A$2:$E$100,5,FALSE)</f>
        <v>Cash</v>
      </c>
    </row>
    <row r="3439" spans="1:18" ht="16.2" customHeight="1" x14ac:dyDescent="0.3">
      <c r="A3439" s="152">
        <v>45628</v>
      </c>
      <c r="B3439" s="5">
        <f t="shared" si="950"/>
        <v>12</v>
      </c>
      <c r="C3439" s="5">
        <f t="shared" si="951"/>
        <v>2024</v>
      </c>
      <c r="D3439" s="150" t="s">
        <v>2997</v>
      </c>
      <c r="E3439" s="5" t="str">
        <f>VLOOKUP(F3439,'Set up'!$A$2:$C$100,2,FALSE)</f>
        <v>C00000042</v>
      </c>
      <c r="F3439" s="151" t="s">
        <v>2013</v>
      </c>
      <c r="G3439" s="151" t="s">
        <v>2722</v>
      </c>
      <c r="H3439" s="156">
        <v>5</v>
      </c>
      <c r="I3439" s="5" t="str">
        <f>VLOOKUP(F3439,'Set up'!$A$2:$C$100,3,FALSE)</f>
        <v>Cash</v>
      </c>
      <c r="J3439" s="5">
        <f>VLOOKUP(F3439,'Set up'!$A$2:$D$100,4,FALSE)</f>
        <v>0</v>
      </c>
      <c r="K3439" s="4">
        <f t="shared" si="957"/>
        <v>45628</v>
      </c>
      <c r="L3439" s="5">
        <f t="shared" si="958"/>
        <v>12</v>
      </c>
      <c r="M3439" s="5">
        <f t="shared" si="959"/>
        <v>2024</v>
      </c>
      <c r="N3439" s="153">
        <v>312.5</v>
      </c>
      <c r="O3439" s="12"/>
      <c r="P3439" s="12">
        <f t="shared" si="960"/>
        <v>312.5</v>
      </c>
      <c r="Q3439" s="7">
        <f t="shared" si="961"/>
        <v>5669646.25</v>
      </c>
      <c r="R3439" s="44" t="str">
        <f>VLOOKUP(F3439,'Set up'!$A$2:$E$100,5,FALSE)</f>
        <v>Trsf</v>
      </c>
    </row>
    <row r="3440" spans="1:18" ht="16.2" customHeight="1" x14ac:dyDescent="0.3">
      <c r="A3440" s="152">
        <v>45628</v>
      </c>
      <c r="B3440" s="5">
        <f t="shared" si="950"/>
        <v>12</v>
      </c>
      <c r="C3440" s="5">
        <f t="shared" si="951"/>
        <v>2024</v>
      </c>
      <c r="D3440" s="150" t="s">
        <v>2998</v>
      </c>
      <c r="E3440" s="5" t="str">
        <f>VLOOKUP(F3440,'Set up'!$A$2:$C$100,2,FALSE)</f>
        <v>C00000042</v>
      </c>
      <c r="F3440" s="151" t="s">
        <v>2013</v>
      </c>
      <c r="G3440" s="151" t="s">
        <v>2996</v>
      </c>
      <c r="H3440" s="156">
        <v>6</v>
      </c>
      <c r="I3440" s="5" t="str">
        <f>VLOOKUP(F3440,'Set up'!$A$2:$C$100,3,FALSE)</f>
        <v>Cash</v>
      </c>
      <c r="J3440" s="5">
        <f>VLOOKUP(F3440,'Set up'!$A$2:$D$100,4,FALSE)</f>
        <v>0</v>
      </c>
      <c r="K3440" s="4">
        <f t="shared" si="957"/>
        <v>45628</v>
      </c>
      <c r="L3440" s="5">
        <f t="shared" si="958"/>
        <v>12</v>
      </c>
      <c r="M3440" s="5">
        <f t="shared" si="959"/>
        <v>2024</v>
      </c>
      <c r="N3440" s="153">
        <v>9720</v>
      </c>
      <c r="O3440" s="12"/>
      <c r="P3440" s="12">
        <f t="shared" si="960"/>
        <v>9720</v>
      </c>
      <c r="Q3440" s="7">
        <f t="shared" si="961"/>
        <v>5679366.25</v>
      </c>
      <c r="R3440" s="44" t="str">
        <f>VLOOKUP(F3440,'Set up'!$A$2:$E$100,5,FALSE)</f>
        <v>Trsf</v>
      </c>
    </row>
    <row r="3441" spans="1:18" ht="16.2" customHeight="1" x14ac:dyDescent="0.3">
      <c r="A3441" s="152">
        <v>45628</v>
      </c>
      <c r="B3441" s="5">
        <f t="shared" si="950"/>
        <v>12</v>
      </c>
      <c r="C3441" s="5">
        <f t="shared" si="951"/>
        <v>2024</v>
      </c>
      <c r="D3441" s="150" t="s">
        <v>2998</v>
      </c>
      <c r="E3441" s="5" t="str">
        <f>VLOOKUP(F3441,'Set up'!$A$2:$C$100,2,FALSE)</f>
        <v>C00000042</v>
      </c>
      <c r="F3441" s="151" t="s">
        <v>2013</v>
      </c>
      <c r="G3441" s="151" t="s">
        <v>1544</v>
      </c>
      <c r="H3441" s="156">
        <v>12</v>
      </c>
      <c r="I3441" s="5" t="str">
        <f>VLOOKUP(F3441,'Set up'!$A$2:$C$100,3,FALSE)</f>
        <v>Cash</v>
      </c>
      <c r="J3441" s="5">
        <f>VLOOKUP(F3441,'Set up'!$A$2:$D$100,4,FALSE)</f>
        <v>0</v>
      </c>
      <c r="K3441" s="4">
        <f t="shared" si="957"/>
        <v>45628</v>
      </c>
      <c r="L3441" s="5">
        <f t="shared" si="958"/>
        <v>12</v>
      </c>
      <c r="M3441" s="5">
        <f t="shared" si="959"/>
        <v>2024</v>
      </c>
      <c r="N3441" s="153">
        <v>2088</v>
      </c>
      <c r="O3441" s="12"/>
      <c r="P3441" s="12">
        <f t="shared" si="960"/>
        <v>2088</v>
      </c>
      <c r="Q3441" s="7">
        <f t="shared" si="961"/>
        <v>5681454.25</v>
      </c>
      <c r="R3441" s="44" t="str">
        <f>VLOOKUP(F3441,'Set up'!$A$2:$E$100,5,FALSE)</f>
        <v>Trsf</v>
      </c>
    </row>
    <row r="3442" spans="1:18" ht="16.2" customHeight="1" x14ac:dyDescent="0.3">
      <c r="A3442" s="152">
        <v>45628</v>
      </c>
      <c r="B3442" s="5">
        <f t="shared" si="950"/>
        <v>12</v>
      </c>
      <c r="C3442" s="5">
        <f t="shared" si="951"/>
        <v>2024</v>
      </c>
      <c r="D3442" s="150" t="s">
        <v>2998</v>
      </c>
      <c r="E3442" s="5" t="str">
        <f>VLOOKUP(F3442,'Set up'!$A$2:$C$100,2,FALSE)</f>
        <v>C00000042</v>
      </c>
      <c r="F3442" s="151" t="s">
        <v>2013</v>
      </c>
      <c r="G3442" s="151" t="s">
        <v>1923</v>
      </c>
      <c r="H3442" s="156">
        <v>9</v>
      </c>
      <c r="I3442" s="5" t="str">
        <f>VLOOKUP(F3442,'Set up'!$A$2:$C$100,3,FALSE)</f>
        <v>Cash</v>
      </c>
      <c r="J3442" s="5">
        <f>VLOOKUP(F3442,'Set up'!$A$2:$D$100,4,FALSE)</f>
        <v>0</v>
      </c>
      <c r="K3442" s="4">
        <f t="shared" si="957"/>
        <v>45628</v>
      </c>
      <c r="L3442" s="5">
        <f t="shared" si="958"/>
        <v>12</v>
      </c>
      <c r="M3442" s="5">
        <f t="shared" si="959"/>
        <v>2024</v>
      </c>
      <c r="N3442" s="153">
        <v>2146.5</v>
      </c>
      <c r="O3442" s="12"/>
      <c r="P3442" s="12">
        <f t="shared" si="960"/>
        <v>2146.5</v>
      </c>
      <c r="Q3442" s="7">
        <f t="shared" si="961"/>
        <v>5683600.75</v>
      </c>
      <c r="R3442" s="44" t="str">
        <f>VLOOKUP(F3442,'Set up'!$A$2:$E$100,5,FALSE)</f>
        <v>Trsf</v>
      </c>
    </row>
    <row r="3443" spans="1:18" ht="16.2" customHeight="1" x14ac:dyDescent="0.3">
      <c r="A3443" s="152">
        <v>45628</v>
      </c>
      <c r="B3443" s="5">
        <f t="shared" si="950"/>
        <v>12</v>
      </c>
      <c r="C3443" s="5">
        <f t="shared" si="951"/>
        <v>2024</v>
      </c>
      <c r="D3443" s="150" t="s">
        <v>2998</v>
      </c>
      <c r="E3443" s="5" t="str">
        <f>VLOOKUP(F3443,'Set up'!$A$2:$C$100,2,FALSE)</f>
        <v>C00000042</v>
      </c>
      <c r="F3443" s="151" t="s">
        <v>2013</v>
      </c>
      <c r="G3443" s="151" t="s">
        <v>1062</v>
      </c>
      <c r="H3443" s="156">
        <v>4</v>
      </c>
      <c r="I3443" s="5" t="str">
        <f>VLOOKUP(F3443,'Set up'!$A$2:$C$100,3,FALSE)</f>
        <v>Cash</v>
      </c>
      <c r="J3443" s="5">
        <f>VLOOKUP(F3443,'Set up'!$A$2:$D$100,4,FALSE)</f>
        <v>0</v>
      </c>
      <c r="K3443" s="4">
        <f t="shared" si="957"/>
        <v>45628</v>
      </c>
      <c r="L3443" s="5">
        <f t="shared" si="958"/>
        <v>12</v>
      </c>
      <c r="M3443" s="5">
        <f t="shared" si="959"/>
        <v>2024</v>
      </c>
      <c r="N3443" s="153">
        <v>380</v>
      </c>
      <c r="O3443" s="12"/>
      <c r="P3443" s="12">
        <f t="shared" si="960"/>
        <v>380</v>
      </c>
      <c r="Q3443" s="7">
        <f t="shared" si="961"/>
        <v>5683980.75</v>
      </c>
      <c r="R3443" s="44" t="str">
        <f>VLOOKUP(F3443,'Set up'!$A$2:$E$100,5,FALSE)</f>
        <v>Trsf</v>
      </c>
    </row>
    <row r="3444" spans="1:18" ht="16.2" customHeight="1" x14ac:dyDescent="0.3">
      <c r="A3444" s="152">
        <v>45628</v>
      </c>
      <c r="B3444" s="5">
        <f t="shared" si="950"/>
        <v>12</v>
      </c>
      <c r="C3444" s="5">
        <f t="shared" si="951"/>
        <v>2024</v>
      </c>
      <c r="D3444" s="150" t="s">
        <v>2998</v>
      </c>
      <c r="E3444" s="5" t="str">
        <f>VLOOKUP(F3444,'Set up'!$A$2:$C$100,2,FALSE)</f>
        <v>C00000042</v>
      </c>
      <c r="F3444" s="151" t="s">
        <v>2013</v>
      </c>
      <c r="G3444" s="151" t="s">
        <v>1074</v>
      </c>
      <c r="H3444" s="156">
        <v>1</v>
      </c>
      <c r="I3444" s="5" t="str">
        <f>VLOOKUP(F3444,'Set up'!$A$2:$C$100,3,FALSE)</f>
        <v>Cash</v>
      </c>
      <c r="J3444" s="5">
        <f>VLOOKUP(F3444,'Set up'!$A$2:$D$100,4,FALSE)</f>
        <v>0</v>
      </c>
      <c r="K3444" s="4">
        <f t="shared" si="957"/>
        <v>45628</v>
      </c>
      <c r="L3444" s="5">
        <f t="shared" si="958"/>
        <v>12</v>
      </c>
      <c r="M3444" s="5">
        <f t="shared" si="959"/>
        <v>2024</v>
      </c>
      <c r="N3444" s="153">
        <v>1000</v>
      </c>
      <c r="O3444" s="12"/>
      <c r="P3444" s="12">
        <f t="shared" si="960"/>
        <v>1000</v>
      </c>
      <c r="Q3444" s="7">
        <f t="shared" si="961"/>
        <v>5684980.75</v>
      </c>
      <c r="R3444" s="44" t="str">
        <f>VLOOKUP(F3444,'Set up'!$A$2:$E$100,5,FALSE)</f>
        <v>Trsf</v>
      </c>
    </row>
    <row r="3445" spans="1:18" ht="16.2" customHeight="1" x14ac:dyDescent="0.3">
      <c r="A3445" s="152">
        <v>45628</v>
      </c>
      <c r="B3445" s="5">
        <f t="shared" si="950"/>
        <v>12</v>
      </c>
      <c r="C3445" s="5">
        <f t="shared" si="951"/>
        <v>2024</v>
      </c>
      <c r="D3445" s="150" t="s">
        <v>2999</v>
      </c>
      <c r="E3445" s="5" t="str">
        <f>VLOOKUP(F3445,'Set up'!$A$2:$C$100,2,FALSE)</f>
        <v>C00000049</v>
      </c>
      <c r="F3445" s="151" t="s">
        <v>2808</v>
      </c>
      <c r="G3445" s="151" t="s">
        <v>2971</v>
      </c>
      <c r="H3445" s="156">
        <v>1</v>
      </c>
      <c r="I3445" s="5" t="str">
        <f>VLOOKUP(F3445,'Set up'!$A$2:$C$100,3,FALSE)</f>
        <v>Cash</v>
      </c>
      <c r="J3445" s="5">
        <f>VLOOKUP(F3445,'Set up'!$A$2:$D$100,4,FALSE)</f>
        <v>0</v>
      </c>
      <c r="K3445" s="4">
        <f t="shared" si="957"/>
        <v>45628</v>
      </c>
      <c r="L3445" s="5">
        <f t="shared" si="958"/>
        <v>12</v>
      </c>
      <c r="M3445" s="5">
        <f t="shared" si="959"/>
        <v>2024</v>
      </c>
      <c r="N3445" s="153">
        <v>1755</v>
      </c>
      <c r="O3445" s="12"/>
      <c r="P3445" s="12">
        <f t="shared" si="960"/>
        <v>1755</v>
      </c>
      <c r="Q3445" s="7">
        <f t="shared" si="961"/>
        <v>5686735.75</v>
      </c>
      <c r="R3445" s="44" t="str">
        <f>VLOOKUP(F3445,'Set up'!$A$2:$E$100,5,FALSE)</f>
        <v>Cash</v>
      </c>
    </row>
    <row r="3446" spans="1:18" ht="16.2" customHeight="1" x14ac:dyDescent="0.3">
      <c r="A3446" s="152">
        <v>45628</v>
      </c>
      <c r="B3446" s="5">
        <f t="shared" si="950"/>
        <v>12</v>
      </c>
      <c r="C3446" s="5">
        <f t="shared" si="951"/>
        <v>2024</v>
      </c>
      <c r="D3446" s="150" t="s">
        <v>2999</v>
      </c>
      <c r="E3446" s="5" t="str">
        <f>VLOOKUP(F3446,'Set up'!$A$2:$C$100,2,FALSE)</f>
        <v>C00000049</v>
      </c>
      <c r="F3446" s="151" t="s">
        <v>2808</v>
      </c>
      <c r="G3446" s="151" t="s">
        <v>2596</v>
      </c>
      <c r="H3446" s="156">
        <v>1</v>
      </c>
      <c r="I3446" s="5" t="str">
        <f>VLOOKUP(F3446,'Set up'!$A$2:$C$100,3,FALSE)</f>
        <v>Cash</v>
      </c>
      <c r="J3446" s="5">
        <f>VLOOKUP(F3446,'Set up'!$A$2:$D$100,4,FALSE)</f>
        <v>0</v>
      </c>
      <c r="K3446" s="4">
        <f t="shared" si="957"/>
        <v>45628</v>
      </c>
      <c r="L3446" s="5">
        <f t="shared" si="958"/>
        <v>12</v>
      </c>
      <c r="M3446" s="5">
        <f t="shared" si="959"/>
        <v>2024</v>
      </c>
      <c r="N3446" s="153">
        <v>225</v>
      </c>
      <c r="O3446" s="12"/>
      <c r="P3446" s="12">
        <f t="shared" si="960"/>
        <v>225</v>
      </c>
      <c r="Q3446" s="7">
        <f t="shared" si="961"/>
        <v>5686960.75</v>
      </c>
      <c r="R3446" s="44" t="str">
        <f>VLOOKUP(F3446,'Set up'!$A$2:$E$100,5,FALSE)</f>
        <v>Cash</v>
      </c>
    </row>
    <row r="3447" spans="1:18" ht="16.2" customHeight="1" x14ac:dyDescent="0.3">
      <c r="A3447" s="152">
        <v>45629</v>
      </c>
      <c r="B3447" s="5">
        <f t="shared" si="950"/>
        <v>12</v>
      </c>
      <c r="C3447" s="5">
        <f t="shared" si="951"/>
        <v>2024</v>
      </c>
      <c r="D3447" s="150" t="s">
        <v>3000</v>
      </c>
      <c r="E3447" s="5" t="str">
        <f>VLOOKUP(F3447,'Set up'!$A$2:$C$100,2,FALSE)</f>
        <v>C00000050</v>
      </c>
      <c r="F3447" s="151" t="s">
        <v>2732</v>
      </c>
      <c r="G3447" s="151" t="s">
        <v>2971</v>
      </c>
      <c r="H3447" s="156">
        <v>1</v>
      </c>
      <c r="I3447" s="5" t="str">
        <f>VLOOKUP(F3447,'Set up'!$A$2:$C$100,3,FALSE)</f>
        <v>Cash</v>
      </c>
      <c r="J3447" s="5">
        <f>VLOOKUP(F3447,'Set up'!$A$2:$D$100,4,FALSE)</f>
        <v>0</v>
      </c>
      <c r="K3447" s="4">
        <f t="shared" si="957"/>
        <v>45629</v>
      </c>
      <c r="L3447" s="5">
        <f t="shared" si="958"/>
        <v>12</v>
      </c>
      <c r="M3447" s="5">
        <f t="shared" si="959"/>
        <v>2024</v>
      </c>
      <c r="N3447" s="153">
        <v>1755</v>
      </c>
      <c r="O3447" s="12"/>
      <c r="P3447" s="12">
        <f t="shared" si="960"/>
        <v>1755</v>
      </c>
      <c r="Q3447" s="7">
        <f t="shared" si="961"/>
        <v>5688715.75</v>
      </c>
      <c r="R3447" s="44" t="str">
        <f>VLOOKUP(F3447,'Set up'!$A$2:$E$100,5,FALSE)</f>
        <v>Cash</v>
      </c>
    </row>
    <row r="3448" spans="1:18" ht="16.2" customHeight="1" x14ac:dyDescent="0.3">
      <c r="A3448" s="152">
        <v>45629</v>
      </c>
      <c r="B3448" s="5">
        <f t="shared" si="950"/>
        <v>12</v>
      </c>
      <c r="C3448" s="5">
        <f t="shared" si="951"/>
        <v>2024</v>
      </c>
      <c r="D3448" s="150" t="s">
        <v>3000</v>
      </c>
      <c r="E3448" s="5" t="str">
        <f>VLOOKUP(F3448,'Set up'!$A$2:$C$100,2,FALSE)</f>
        <v>C00000050</v>
      </c>
      <c r="F3448" s="151" t="s">
        <v>2732</v>
      </c>
      <c r="G3448" s="151" t="s">
        <v>2965</v>
      </c>
      <c r="H3448" s="156">
        <v>2</v>
      </c>
      <c r="I3448" s="5" t="str">
        <f>VLOOKUP(F3448,'Set up'!$A$2:$C$100,3,FALSE)</f>
        <v>Cash</v>
      </c>
      <c r="J3448" s="5">
        <f>VLOOKUP(F3448,'Set up'!$A$2:$D$100,4,FALSE)</f>
        <v>0</v>
      </c>
      <c r="K3448" s="4">
        <f t="shared" si="957"/>
        <v>45629</v>
      </c>
      <c r="L3448" s="5">
        <f t="shared" si="958"/>
        <v>12</v>
      </c>
      <c r="M3448" s="5">
        <f t="shared" si="959"/>
        <v>2024</v>
      </c>
      <c r="N3448" s="153">
        <v>555</v>
      </c>
      <c r="O3448" s="12"/>
      <c r="P3448" s="12">
        <f t="shared" si="960"/>
        <v>555</v>
      </c>
      <c r="Q3448" s="7">
        <f t="shared" si="961"/>
        <v>5689270.75</v>
      </c>
      <c r="R3448" s="44" t="str">
        <f>VLOOKUP(F3448,'Set up'!$A$2:$E$100,5,FALSE)</f>
        <v>Cash</v>
      </c>
    </row>
    <row r="3449" spans="1:18" ht="16.2" customHeight="1" x14ac:dyDescent="0.3">
      <c r="A3449" s="152">
        <v>45629</v>
      </c>
      <c r="B3449" s="5">
        <f t="shared" si="950"/>
        <v>12</v>
      </c>
      <c r="C3449" s="5">
        <f t="shared" si="951"/>
        <v>2024</v>
      </c>
      <c r="D3449" s="150" t="s">
        <v>3000</v>
      </c>
      <c r="E3449" s="5" t="str">
        <f>VLOOKUP(F3449,'Set up'!$A$2:$C$100,2,FALSE)</f>
        <v>C00000050</v>
      </c>
      <c r="F3449" s="151" t="s">
        <v>2732</v>
      </c>
      <c r="G3449" s="151" t="s">
        <v>1062</v>
      </c>
      <c r="H3449" s="156">
        <v>1</v>
      </c>
      <c r="I3449" s="5" t="str">
        <f>VLOOKUP(F3449,'Set up'!$A$2:$C$100,3,FALSE)</f>
        <v>Cash</v>
      </c>
      <c r="J3449" s="5">
        <f>VLOOKUP(F3449,'Set up'!$A$2:$D$100,4,FALSE)</f>
        <v>0</v>
      </c>
      <c r="K3449" s="4">
        <f t="shared" si="957"/>
        <v>45629</v>
      </c>
      <c r="L3449" s="5">
        <f t="shared" si="958"/>
        <v>12</v>
      </c>
      <c r="M3449" s="5">
        <f t="shared" si="959"/>
        <v>2024</v>
      </c>
      <c r="N3449" s="153">
        <v>95</v>
      </c>
      <c r="O3449" s="12"/>
      <c r="P3449" s="12">
        <f t="shared" si="960"/>
        <v>95</v>
      </c>
      <c r="Q3449" s="7">
        <f t="shared" si="961"/>
        <v>5689365.75</v>
      </c>
      <c r="R3449" s="44" t="str">
        <f>VLOOKUP(F3449,'Set up'!$A$2:$E$100,5,FALSE)</f>
        <v>Cash</v>
      </c>
    </row>
    <row r="3450" spans="1:18" ht="16.2" customHeight="1" x14ac:dyDescent="0.3">
      <c r="A3450" s="152">
        <v>45629</v>
      </c>
      <c r="B3450" s="5">
        <f t="shared" si="950"/>
        <v>12</v>
      </c>
      <c r="C3450" s="5">
        <f t="shared" si="951"/>
        <v>2024</v>
      </c>
      <c r="D3450" s="150" t="s">
        <v>3000</v>
      </c>
      <c r="E3450" s="5" t="str">
        <f>VLOOKUP(F3450,'Set up'!$A$2:$C$100,2,FALSE)</f>
        <v>C00000050</v>
      </c>
      <c r="F3450" s="151" t="s">
        <v>2732</v>
      </c>
      <c r="G3450" s="151" t="s">
        <v>2215</v>
      </c>
      <c r="H3450" s="156">
        <v>1</v>
      </c>
      <c r="I3450" s="5" t="str">
        <f>VLOOKUP(F3450,'Set up'!$A$2:$C$100,3,FALSE)</f>
        <v>Cash</v>
      </c>
      <c r="J3450" s="5">
        <f>VLOOKUP(F3450,'Set up'!$A$2:$D$100,4,FALSE)</f>
        <v>0</v>
      </c>
      <c r="K3450" s="4">
        <f t="shared" si="957"/>
        <v>45629</v>
      </c>
      <c r="L3450" s="5">
        <f t="shared" si="958"/>
        <v>12</v>
      </c>
      <c r="M3450" s="5">
        <f t="shared" si="959"/>
        <v>2024</v>
      </c>
      <c r="N3450" s="153">
        <v>275</v>
      </c>
      <c r="O3450" s="12"/>
      <c r="P3450" s="12">
        <f t="shared" si="960"/>
        <v>275</v>
      </c>
      <c r="Q3450" s="7">
        <f t="shared" si="961"/>
        <v>5689640.75</v>
      </c>
      <c r="R3450" s="44" t="str">
        <f>VLOOKUP(F3450,'Set up'!$A$2:$E$100,5,FALSE)</f>
        <v>Cash</v>
      </c>
    </row>
    <row r="3451" spans="1:18" ht="16.2" customHeight="1" x14ac:dyDescent="0.3">
      <c r="A3451" s="152">
        <v>45629</v>
      </c>
      <c r="B3451" s="5">
        <f t="shared" si="950"/>
        <v>12</v>
      </c>
      <c r="C3451" s="5">
        <f t="shared" si="951"/>
        <v>2024</v>
      </c>
      <c r="D3451" s="150" t="s">
        <v>3001</v>
      </c>
      <c r="E3451" s="5" t="str">
        <f>VLOOKUP(F3451,'Set up'!$A$2:$C$100,2,FALSE)</f>
        <v>C00000049</v>
      </c>
      <c r="F3451" s="151" t="s">
        <v>2808</v>
      </c>
      <c r="G3451" s="151" t="s">
        <v>46</v>
      </c>
      <c r="H3451" s="156">
        <v>1</v>
      </c>
      <c r="I3451" s="5" t="str">
        <f>VLOOKUP(F3451,'Set up'!$A$2:$C$100,3,FALSE)</f>
        <v>Cash</v>
      </c>
      <c r="J3451" s="5">
        <f>VLOOKUP(F3451,'Set up'!$A$2:$D$100,4,FALSE)</f>
        <v>0</v>
      </c>
      <c r="K3451" s="4">
        <f t="shared" si="957"/>
        <v>45629</v>
      </c>
      <c r="L3451" s="5">
        <f t="shared" si="958"/>
        <v>12</v>
      </c>
      <c r="M3451" s="5">
        <f t="shared" si="959"/>
        <v>2024</v>
      </c>
      <c r="N3451" s="153">
        <v>115</v>
      </c>
      <c r="O3451" s="12"/>
      <c r="P3451" s="12">
        <f t="shared" si="960"/>
        <v>115</v>
      </c>
      <c r="Q3451" s="7">
        <f t="shared" si="961"/>
        <v>5689755.75</v>
      </c>
      <c r="R3451" s="44" t="str">
        <f>VLOOKUP(F3451,'Set up'!$A$2:$E$100,5,FALSE)</f>
        <v>Cash</v>
      </c>
    </row>
    <row r="3452" spans="1:18" ht="16.2" customHeight="1" x14ac:dyDescent="0.3">
      <c r="A3452" s="152">
        <v>45631</v>
      </c>
      <c r="B3452" s="5">
        <f t="shared" si="950"/>
        <v>12</v>
      </c>
      <c r="C3452" s="5">
        <f t="shared" si="951"/>
        <v>2024</v>
      </c>
      <c r="D3452" s="150" t="s">
        <v>3002</v>
      </c>
      <c r="E3452" s="5" t="str">
        <f>VLOOKUP(F3452,'Set up'!$A$2:$C$100,2,FALSE)</f>
        <v>C00000042</v>
      </c>
      <c r="F3452" s="151" t="s">
        <v>2013</v>
      </c>
      <c r="G3452" s="151" t="s">
        <v>2722</v>
      </c>
      <c r="H3452" s="156">
        <v>1</v>
      </c>
      <c r="I3452" s="5" t="str">
        <f>VLOOKUP(F3452,'Set up'!$A$2:$C$100,3,FALSE)</f>
        <v>Cash</v>
      </c>
      <c r="J3452" s="5">
        <f>VLOOKUP(F3452,'Set up'!$A$2:$D$100,4,FALSE)</f>
        <v>0</v>
      </c>
      <c r="K3452" s="4">
        <f t="shared" si="957"/>
        <v>45631</v>
      </c>
      <c r="L3452" s="5">
        <f t="shared" si="958"/>
        <v>12</v>
      </c>
      <c r="M3452" s="5">
        <f t="shared" si="959"/>
        <v>2024</v>
      </c>
      <c r="N3452" s="153">
        <v>62.5</v>
      </c>
      <c r="O3452" s="12"/>
      <c r="P3452" s="12">
        <f t="shared" si="960"/>
        <v>62.5</v>
      </c>
      <c r="Q3452" s="7">
        <f t="shared" si="961"/>
        <v>5689818.25</v>
      </c>
      <c r="R3452" s="44" t="str">
        <f>VLOOKUP(F3452,'Set up'!$A$2:$E$100,5,FALSE)</f>
        <v>Trsf</v>
      </c>
    </row>
    <row r="3453" spans="1:18" ht="16.2" customHeight="1" x14ac:dyDescent="0.3">
      <c r="A3453" s="152">
        <v>45631</v>
      </c>
      <c r="B3453" s="5">
        <f t="shared" si="950"/>
        <v>12</v>
      </c>
      <c r="C3453" s="5">
        <f t="shared" si="951"/>
        <v>2024</v>
      </c>
      <c r="D3453" s="150" t="s">
        <v>3004</v>
      </c>
      <c r="E3453" s="5" t="str">
        <f>VLOOKUP(F3453,'Set up'!$A$2:$C$100,2,FALSE)</f>
        <v>C00000042</v>
      </c>
      <c r="F3453" s="151" t="s">
        <v>2013</v>
      </c>
      <c r="G3453" s="151" t="s">
        <v>3003</v>
      </c>
      <c r="H3453" s="156">
        <v>10</v>
      </c>
      <c r="I3453" s="5" t="str">
        <f>VLOOKUP(F3453,'Set up'!$A$2:$C$100,3,FALSE)</f>
        <v>Cash</v>
      </c>
      <c r="J3453" s="5">
        <f>VLOOKUP(F3453,'Set up'!$A$2:$D$100,4,FALSE)</f>
        <v>0</v>
      </c>
      <c r="K3453" s="4">
        <f t="shared" si="957"/>
        <v>45631</v>
      </c>
      <c r="L3453" s="5">
        <f t="shared" si="958"/>
        <v>12</v>
      </c>
      <c r="M3453" s="5">
        <f t="shared" si="959"/>
        <v>2024</v>
      </c>
      <c r="N3453" s="153">
        <v>16200</v>
      </c>
      <c r="O3453" s="12"/>
      <c r="P3453" s="12">
        <f t="shared" si="960"/>
        <v>16200</v>
      </c>
      <c r="Q3453" s="7">
        <f t="shared" si="961"/>
        <v>5706018.25</v>
      </c>
      <c r="R3453" s="44" t="str">
        <f>VLOOKUP(F3453,'Set up'!$A$2:$E$100,5,FALSE)</f>
        <v>Trsf</v>
      </c>
    </row>
    <row r="3454" spans="1:18" ht="16.2" customHeight="1" x14ac:dyDescent="0.3">
      <c r="A3454" s="152">
        <v>45631</v>
      </c>
      <c r="B3454" s="5">
        <f t="shared" si="950"/>
        <v>12</v>
      </c>
      <c r="C3454" s="5">
        <f t="shared" si="951"/>
        <v>2024</v>
      </c>
      <c r="D3454" s="150" t="s">
        <v>3004</v>
      </c>
      <c r="E3454" s="5" t="str">
        <f>VLOOKUP(F3454,'Set up'!$A$2:$C$100,2,FALSE)</f>
        <v>C00000042</v>
      </c>
      <c r="F3454" s="151" t="s">
        <v>2013</v>
      </c>
      <c r="G3454" s="151" t="s">
        <v>1393</v>
      </c>
      <c r="H3454" s="156">
        <v>20</v>
      </c>
      <c r="I3454" s="5" t="str">
        <f>VLOOKUP(F3454,'Set up'!$A$2:$C$100,3,FALSE)</f>
        <v>Cash</v>
      </c>
      <c r="J3454" s="5">
        <f>VLOOKUP(F3454,'Set up'!$A$2:$D$100,4,FALSE)</f>
        <v>0</v>
      </c>
      <c r="K3454" s="4">
        <f t="shared" si="957"/>
        <v>45631</v>
      </c>
      <c r="L3454" s="5">
        <f t="shared" si="958"/>
        <v>12</v>
      </c>
      <c r="M3454" s="5">
        <f t="shared" si="959"/>
        <v>2024</v>
      </c>
      <c r="N3454" s="153">
        <v>3480</v>
      </c>
      <c r="O3454" s="12"/>
      <c r="P3454" s="12">
        <f t="shared" si="960"/>
        <v>3480</v>
      </c>
      <c r="Q3454" s="7">
        <f t="shared" si="961"/>
        <v>5709498.25</v>
      </c>
      <c r="R3454" s="44" t="str">
        <f>VLOOKUP(F3454,'Set up'!$A$2:$E$100,5,FALSE)</f>
        <v>Trsf</v>
      </c>
    </row>
    <row r="3455" spans="1:18" ht="16.2" customHeight="1" x14ac:dyDescent="0.3">
      <c r="A3455" s="152">
        <v>45631</v>
      </c>
      <c r="B3455" s="5">
        <f t="shared" si="950"/>
        <v>12</v>
      </c>
      <c r="C3455" s="5">
        <f t="shared" si="951"/>
        <v>2024</v>
      </c>
      <c r="D3455" s="150" t="s">
        <v>3004</v>
      </c>
      <c r="E3455" s="5" t="str">
        <f>VLOOKUP(F3455,'Set up'!$A$2:$C$100,2,FALSE)</f>
        <v>C00000042</v>
      </c>
      <c r="F3455" s="151" t="s">
        <v>2013</v>
      </c>
      <c r="G3455" s="151" t="s">
        <v>1923</v>
      </c>
      <c r="H3455" s="156">
        <v>12</v>
      </c>
      <c r="I3455" s="5" t="str">
        <f>VLOOKUP(F3455,'Set up'!$A$2:$C$100,3,FALSE)</f>
        <v>Cash</v>
      </c>
      <c r="J3455" s="5">
        <f>VLOOKUP(F3455,'Set up'!$A$2:$D$100,4,FALSE)</f>
        <v>0</v>
      </c>
      <c r="K3455" s="4">
        <f t="shared" si="957"/>
        <v>45631</v>
      </c>
      <c r="L3455" s="5">
        <f t="shared" si="958"/>
        <v>12</v>
      </c>
      <c r="M3455" s="5">
        <f t="shared" si="959"/>
        <v>2024</v>
      </c>
      <c r="N3455" s="153">
        <v>2862</v>
      </c>
      <c r="O3455" s="12"/>
      <c r="P3455" s="12">
        <f t="shared" si="960"/>
        <v>2862</v>
      </c>
      <c r="Q3455" s="7">
        <f t="shared" si="961"/>
        <v>5712360.25</v>
      </c>
      <c r="R3455" s="44" t="str">
        <f>VLOOKUP(F3455,'Set up'!$A$2:$E$100,5,FALSE)</f>
        <v>Trsf</v>
      </c>
    </row>
    <row r="3456" spans="1:18" ht="16.2" customHeight="1" x14ac:dyDescent="0.3">
      <c r="A3456" s="152">
        <v>45631</v>
      </c>
      <c r="B3456" s="5">
        <f t="shared" si="950"/>
        <v>12</v>
      </c>
      <c r="C3456" s="5">
        <f t="shared" si="951"/>
        <v>2024</v>
      </c>
      <c r="D3456" s="150" t="s">
        <v>3004</v>
      </c>
      <c r="E3456" s="5" t="str">
        <f>VLOOKUP(F3456,'Set up'!$A$2:$C$100,2,FALSE)</f>
        <v>C00000042</v>
      </c>
      <c r="F3456" s="151" t="s">
        <v>2013</v>
      </c>
      <c r="G3456" s="151" t="s">
        <v>46</v>
      </c>
      <c r="H3456" s="156">
        <v>4</v>
      </c>
      <c r="I3456" s="5" t="str">
        <f>VLOOKUP(F3456,'Set up'!$A$2:$C$100,3,FALSE)</f>
        <v>Cash</v>
      </c>
      <c r="J3456" s="5">
        <f>VLOOKUP(F3456,'Set up'!$A$2:$D$100,4,FALSE)</f>
        <v>0</v>
      </c>
      <c r="K3456" s="4">
        <f t="shared" si="957"/>
        <v>45631</v>
      </c>
      <c r="L3456" s="5">
        <f t="shared" si="958"/>
        <v>12</v>
      </c>
      <c r="M3456" s="5">
        <f t="shared" si="959"/>
        <v>2024</v>
      </c>
      <c r="N3456" s="153">
        <v>460</v>
      </c>
      <c r="O3456" s="12"/>
      <c r="P3456" s="12">
        <f t="shared" si="960"/>
        <v>460</v>
      </c>
      <c r="Q3456" s="7">
        <f t="shared" si="961"/>
        <v>5712820.25</v>
      </c>
      <c r="R3456" s="44" t="str">
        <f>VLOOKUP(F3456,'Set up'!$A$2:$E$100,5,FALSE)</f>
        <v>Trsf</v>
      </c>
    </row>
    <row r="3457" spans="1:18" ht="16.2" customHeight="1" x14ac:dyDescent="0.3">
      <c r="A3457" s="152">
        <v>45631</v>
      </c>
      <c r="B3457" s="5">
        <f t="shared" si="950"/>
        <v>12</v>
      </c>
      <c r="C3457" s="5">
        <f t="shared" si="951"/>
        <v>2024</v>
      </c>
      <c r="D3457" s="150" t="s">
        <v>3004</v>
      </c>
      <c r="E3457" s="5" t="str">
        <f>VLOOKUP(F3457,'Set up'!$A$2:$C$100,2,FALSE)</f>
        <v>C00000042</v>
      </c>
      <c r="F3457" s="151" t="s">
        <v>2013</v>
      </c>
      <c r="G3457" s="151" t="s">
        <v>1074</v>
      </c>
      <c r="H3457" s="156">
        <v>2</v>
      </c>
      <c r="I3457" s="5" t="str">
        <f>VLOOKUP(F3457,'Set up'!$A$2:$C$100,3,FALSE)</f>
        <v>Cash</v>
      </c>
      <c r="J3457" s="5">
        <f>VLOOKUP(F3457,'Set up'!$A$2:$D$100,4,FALSE)</f>
        <v>0</v>
      </c>
      <c r="K3457" s="4">
        <f t="shared" si="957"/>
        <v>45631</v>
      </c>
      <c r="L3457" s="5">
        <f t="shared" si="958"/>
        <v>12</v>
      </c>
      <c r="M3457" s="5">
        <f t="shared" si="959"/>
        <v>2024</v>
      </c>
      <c r="N3457" s="153">
        <v>2000</v>
      </c>
      <c r="O3457" s="12"/>
      <c r="P3457" s="12">
        <f t="shared" si="960"/>
        <v>2000</v>
      </c>
      <c r="Q3457" s="7">
        <f t="shared" si="961"/>
        <v>5714820.25</v>
      </c>
      <c r="R3457" s="44" t="str">
        <f>VLOOKUP(F3457,'Set up'!$A$2:$E$100,5,FALSE)</f>
        <v>Trsf</v>
      </c>
    </row>
    <row r="3458" spans="1:18" ht="16.2" customHeight="1" x14ac:dyDescent="0.3">
      <c r="A3458" s="152">
        <v>45633</v>
      </c>
      <c r="B3458" s="5">
        <f t="shared" si="950"/>
        <v>12</v>
      </c>
      <c r="C3458" s="5">
        <f t="shared" si="951"/>
        <v>2024</v>
      </c>
      <c r="D3458" s="150" t="s">
        <v>3005</v>
      </c>
      <c r="E3458" s="5" t="str">
        <f>VLOOKUP(F3458,'Set up'!$A$2:$C$100,2,FALSE)</f>
        <v>C00000019</v>
      </c>
      <c r="F3458" s="151" t="s">
        <v>401</v>
      </c>
      <c r="G3458" s="151" t="s">
        <v>2971</v>
      </c>
      <c r="H3458" s="156">
        <v>1</v>
      </c>
      <c r="I3458" s="5" t="str">
        <f>VLOOKUP(F3458,'Set up'!$A$2:$C$100,3,FALSE)</f>
        <v>Cash</v>
      </c>
      <c r="J3458" s="5">
        <f>VLOOKUP(F3458,'Set up'!$A$2:$D$100,4,FALSE)</f>
        <v>0</v>
      </c>
      <c r="K3458" s="4">
        <f t="shared" si="957"/>
        <v>45633</v>
      </c>
      <c r="L3458" s="5">
        <f t="shared" si="958"/>
        <v>12</v>
      </c>
      <c r="M3458" s="5">
        <f t="shared" si="959"/>
        <v>2024</v>
      </c>
      <c r="N3458" s="153">
        <v>1755</v>
      </c>
      <c r="O3458" s="12"/>
      <c r="P3458" s="12">
        <f t="shared" si="960"/>
        <v>1755</v>
      </c>
      <c r="Q3458" s="7">
        <f t="shared" si="961"/>
        <v>5716575.25</v>
      </c>
      <c r="R3458" s="44" t="str">
        <f>VLOOKUP(F3458,'Set up'!$A$2:$E$100,5,FALSE)</f>
        <v>Trsf</v>
      </c>
    </row>
    <row r="3459" spans="1:18" ht="16.2" customHeight="1" x14ac:dyDescent="0.3">
      <c r="A3459" s="152">
        <v>45633</v>
      </c>
      <c r="B3459" s="5">
        <f t="shared" si="950"/>
        <v>12</v>
      </c>
      <c r="C3459" s="5">
        <f t="shared" si="951"/>
        <v>2024</v>
      </c>
      <c r="D3459" s="150" t="s">
        <v>3005</v>
      </c>
      <c r="E3459" s="5" t="str">
        <f>VLOOKUP(F3459,'Set up'!$A$2:$C$100,2,FALSE)</f>
        <v>C00000019</v>
      </c>
      <c r="F3459" s="151" t="s">
        <v>401</v>
      </c>
      <c r="G3459" s="151" t="s">
        <v>1412</v>
      </c>
      <c r="H3459" s="156">
        <v>1</v>
      </c>
      <c r="I3459" s="5" t="str">
        <f>VLOOKUP(F3459,'Set up'!$A$2:$C$100,3,FALSE)</f>
        <v>Cash</v>
      </c>
      <c r="J3459" s="5">
        <f>VLOOKUP(F3459,'Set up'!$A$2:$D$100,4,FALSE)</f>
        <v>0</v>
      </c>
      <c r="K3459" s="4">
        <f t="shared" si="957"/>
        <v>45633</v>
      </c>
      <c r="L3459" s="5">
        <f t="shared" si="958"/>
        <v>12</v>
      </c>
      <c r="M3459" s="5">
        <f t="shared" si="959"/>
        <v>2024</v>
      </c>
      <c r="N3459" s="153">
        <v>405</v>
      </c>
      <c r="O3459" s="12"/>
      <c r="P3459" s="12">
        <f t="shared" si="960"/>
        <v>405</v>
      </c>
      <c r="Q3459" s="7">
        <f t="shared" si="961"/>
        <v>5716980.25</v>
      </c>
      <c r="R3459" s="44" t="str">
        <f>VLOOKUP(F3459,'Set up'!$A$2:$E$100,5,FALSE)</f>
        <v>Trsf</v>
      </c>
    </row>
    <row r="3460" spans="1:18" ht="16.2" customHeight="1" x14ac:dyDescent="0.3">
      <c r="A3460" s="152">
        <v>45633</v>
      </c>
      <c r="B3460" s="5">
        <f t="shared" si="950"/>
        <v>12</v>
      </c>
      <c r="C3460" s="5">
        <f t="shared" si="951"/>
        <v>2024</v>
      </c>
      <c r="D3460" s="150" t="s">
        <v>3005</v>
      </c>
      <c r="E3460" s="5" t="str">
        <f>VLOOKUP(F3460,'Set up'!$A$2:$C$100,2,FALSE)</f>
        <v>C00000019</v>
      </c>
      <c r="F3460" s="151" t="s">
        <v>401</v>
      </c>
      <c r="G3460" s="151" t="s">
        <v>46</v>
      </c>
      <c r="H3460" s="156">
        <v>1</v>
      </c>
      <c r="I3460" s="5" t="str">
        <f>VLOOKUP(F3460,'Set up'!$A$2:$C$100,3,FALSE)</f>
        <v>Cash</v>
      </c>
      <c r="J3460" s="5">
        <f>VLOOKUP(F3460,'Set up'!$A$2:$D$100,4,FALSE)</f>
        <v>0</v>
      </c>
      <c r="K3460" s="4">
        <f t="shared" si="957"/>
        <v>45633</v>
      </c>
      <c r="L3460" s="5">
        <f t="shared" si="958"/>
        <v>12</v>
      </c>
      <c r="M3460" s="5">
        <f t="shared" si="959"/>
        <v>2024</v>
      </c>
      <c r="N3460" s="153">
        <v>110</v>
      </c>
      <c r="O3460" s="12"/>
      <c r="P3460" s="12">
        <f t="shared" si="960"/>
        <v>110</v>
      </c>
      <c r="Q3460" s="7">
        <f t="shared" si="961"/>
        <v>5717090.25</v>
      </c>
      <c r="R3460" s="44" t="str">
        <f>VLOOKUP(F3460,'Set up'!$A$2:$E$100,5,FALSE)</f>
        <v>Trsf</v>
      </c>
    </row>
    <row r="3461" spans="1:18" ht="16.2" customHeight="1" x14ac:dyDescent="0.3">
      <c r="A3461" s="152">
        <v>45633</v>
      </c>
      <c r="B3461" s="5">
        <f t="shared" si="950"/>
        <v>12</v>
      </c>
      <c r="C3461" s="5">
        <f t="shared" si="951"/>
        <v>2024</v>
      </c>
      <c r="D3461" s="150" t="s">
        <v>3005</v>
      </c>
      <c r="E3461" s="5" t="str">
        <f>VLOOKUP(F3461,'Set up'!$A$2:$C$100,2,FALSE)</f>
        <v>C00000019</v>
      </c>
      <c r="F3461" s="151" t="s">
        <v>401</v>
      </c>
      <c r="G3461" s="151" t="s">
        <v>1470</v>
      </c>
      <c r="H3461" s="156">
        <v>1</v>
      </c>
      <c r="I3461" s="5" t="str">
        <f>VLOOKUP(F3461,'Set up'!$A$2:$C$100,3,FALSE)</f>
        <v>Cash</v>
      </c>
      <c r="J3461" s="5">
        <f>VLOOKUP(F3461,'Set up'!$A$2:$D$100,4,FALSE)</f>
        <v>0</v>
      </c>
      <c r="K3461" s="4">
        <f t="shared" si="957"/>
        <v>45633</v>
      </c>
      <c r="L3461" s="5">
        <f t="shared" si="958"/>
        <v>12</v>
      </c>
      <c r="M3461" s="5">
        <f t="shared" si="959"/>
        <v>2024</v>
      </c>
      <c r="N3461" s="153">
        <v>390</v>
      </c>
      <c r="O3461" s="12"/>
      <c r="P3461" s="12">
        <f t="shared" si="960"/>
        <v>390</v>
      </c>
      <c r="Q3461" s="7">
        <f t="shared" si="961"/>
        <v>5717480.25</v>
      </c>
      <c r="R3461" s="44" t="str">
        <f>VLOOKUP(F3461,'Set up'!$A$2:$E$100,5,FALSE)</f>
        <v>Trsf</v>
      </c>
    </row>
    <row r="3462" spans="1:18" ht="16.2" customHeight="1" x14ac:dyDescent="0.3">
      <c r="A3462" s="152">
        <v>45633</v>
      </c>
      <c r="B3462" s="5">
        <f t="shared" si="950"/>
        <v>12</v>
      </c>
      <c r="C3462" s="5">
        <f t="shared" si="951"/>
        <v>2024</v>
      </c>
      <c r="D3462" s="150" t="s">
        <v>3005</v>
      </c>
      <c r="E3462" s="5" t="str">
        <f>VLOOKUP(F3462,'Set up'!$A$2:$C$100,2,FALSE)</f>
        <v>C00000019</v>
      </c>
      <c r="F3462" s="151" t="s">
        <v>401</v>
      </c>
      <c r="G3462" s="151" t="s">
        <v>2711</v>
      </c>
      <c r="H3462" s="156">
        <v>3</v>
      </c>
      <c r="I3462" s="5" t="str">
        <f>VLOOKUP(F3462,'Set up'!$A$2:$C$100,3,FALSE)</f>
        <v>Cash</v>
      </c>
      <c r="J3462" s="5">
        <f>VLOOKUP(F3462,'Set up'!$A$2:$D$100,4,FALSE)</f>
        <v>0</v>
      </c>
      <c r="K3462" s="4">
        <f t="shared" si="957"/>
        <v>45633</v>
      </c>
      <c r="L3462" s="5">
        <f t="shared" si="958"/>
        <v>12</v>
      </c>
      <c r="M3462" s="5">
        <f t="shared" si="959"/>
        <v>2024</v>
      </c>
      <c r="N3462" s="153">
        <v>187.5</v>
      </c>
      <c r="O3462" s="12"/>
      <c r="P3462" s="12">
        <f t="shared" si="960"/>
        <v>187.5</v>
      </c>
      <c r="Q3462" s="7">
        <f t="shared" si="961"/>
        <v>5717667.75</v>
      </c>
      <c r="R3462" s="44" t="str">
        <f>VLOOKUP(F3462,'Set up'!$A$2:$E$100,5,FALSE)</f>
        <v>Trsf</v>
      </c>
    </row>
    <row r="3463" spans="1:18" ht="16.2" customHeight="1" x14ac:dyDescent="0.3">
      <c r="A3463" s="152">
        <v>45633</v>
      </c>
      <c r="B3463" s="5">
        <f t="shared" si="950"/>
        <v>12</v>
      </c>
      <c r="C3463" s="5">
        <f t="shared" si="951"/>
        <v>2024</v>
      </c>
      <c r="D3463" s="150" t="s">
        <v>3006</v>
      </c>
      <c r="E3463" s="5" t="str">
        <f>VLOOKUP(F3463,'Set up'!$A$2:$C$100,2,FALSE)</f>
        <v>C00000010</v>
      </c>
      <c r="F3463" s="151" t="s">
        <v>62</v>
      </c>
      <c r="G3463" s="151" t="s">
        <v>2968</v>
      </c>
      <c r="H3463" s="156">
        <v>10</v>
      </c>
      <c r="I3463" s="5">
        <f>VLOOKUP(F3463,'Set up'!$A$2:$C$100,3,FALSE)</f>
        <v>120</v>
      </c>
      <c r="J3463" s="5">
        <f>VLOOKUP(F3463,'Set up'!$A$2:$D$100,4,FALSE)</f>
        <v>120</v>
      </c>
      <c r="K3463" s="4">
        <f t="shared" si="957"/>
        <v>45753</v>
      </c>
      <c r="L3463" s="5">
        <f t="shared" si="958"/>
        <v>4</v>
      </c>
      <c r="M3463" s="5">
        <f t="shared" si="959"/>
        <v>2025</v>
      </c>
      <c r="N3463" s="153">
        <v>16200</v>
      </c>
      <c r="O3463" s="12"/>
      <c r="P3463" s="12">
        <f t="shared" si="960"/>
        <v>16200</v>
      </c>
      <c r="Q3463" s="7">
        <f t="shared" si="961"/>
        <v>5733867.75</v>
      </c>
      <c r="R3463" s="44" t="str">
        <f>VLOOKUP(F3463,'Set up'!$A$2:$E$100,5,FALSE)</f>
        <v>Trsf</v>
      </c>
    </row>
    <row r="3464" spans="1:18" ht="16.2" customHeight="1" x14ac:dyDescent="0.3">
      <c r="A3464" s="152">
        <v>45633</v>
      </c>
      <c r="B3464" s="5">
        <f t="shared" si="950"/>
        <v>12</v>
      </c>
      <c r="C3464" s="5">
        <f t="shared" si="951"/>
        <v>2024</v>
      </c>
      <c r="D3464" s="150" t="s">
        <v>3006</v>
      </c>
      <c r="E3464" s="5" t="str">
        <f>VLOOKUP(F3464,'Set up'!$A$2:$C$100,2,FALSE)</f>
        <v>C00000010</v>
      </c>
      <c r="F3464" s="151" t="s">
        <v>62</v>
      </c>
      <c r="G3464" s="151" t="s">
        <v>1544</v>
      </c>
      <c r="H3464" s="156">
        <v>15</v>
      </c>
      <c r="I3464" s="5">
        <f>VLOOKUP(F3464,'Set up'!$A$2:$C$100,3,FALSE)</f>
        <v>120</v>
      </c>
      <c r="J3464" s="5">
        <f>VLOOKUP(F3464,'Set up'!$A$2:$D$100,4,FALSE)</f>
        <v>120</v>
      </c>
      <c r="K3464" s="4">
        <f t="shared" si="957"/>
        <v>45753</v>
      </c>
      <c r="L3464" s="5">
        <f t="shared" si="958"/>
        <v>4</v>
      </c>
      <c r="M3464" s="5">
        <f t="shared" si="959"/>
        <v>2025</v>
      </c>
      <c r="N3464" s="153">
        <v>2610</v>
      </c>
      <c r="O3464" s="12"/>
      <c r="P3464" s="12">
        <f t="shared" si="960"/>
        <v>2610</v>
      </c>
      <c r="Q3464" s="7">
        <f t="shared" si="961"/>
        <v>5736477.75</v>
      </c>
      <c r="R3464" s="44" t="str">
        <f>VLOOKUP(F3464,'Set up'!$A$2:$E$100,5,FALSE)</f>
        <v>Trsf</v>
      </c>
    </row>
    <row r="3465" spans="1:18" ht="16.2" customHeight="1" x14ac:dyDescent="0.3">
      <c r="A3465" s="152">
        <v>45633</v>
      </c>
      <c r="B3465" s="5">
        <f t="shared" si="950"/>
        <v>12</v>
      </c>
      <c r="C3465" s="5">
        <f t="shared" si="951"/>
        <v>2024</v>
      </c>
      <c r="D3465" s="150" t="s">
        <v>3006</v>
      </c>
      <c r="E3465" s="5" t="str">
        <f>VLOOKUP(F3465,'Set up'!$A$2:$C$100,2,FALSE)</f>
        <v>C00000010</v>
      </c>
      <c r="F3465" s="151" t="s">
        <v>62</v>
      </c>
      <c r="G3465" s="151" t="s">
        <v>2711</v>
      </c>
      <c r="H3465" s="156">
        <v>10</v>
      </c>
      <c r="I3465" s="5">
        <f>VLOOKUP(F3465,'Set up'!$A$2:$C$100,3,FALSE)</f>
        <v>120</v>
      </c>
      <c r="J3465" s="5">
        <f>VLOOKUP(F3465,'Set up'!$A$2:$D$100,4,FALSE)</f>
        <v>120</v>
      </c>
      <c r="K3465" s="4">
        <f t="shared" si="957"/>
        <v>45753</v>
      </c>
      <c r="L3465" s="5">
        <f t="shared" si="958"/>
        <v>4</v>
      </c>
      <c r="M3465" s="5">
        <f t="shared" si="959"/>
        <v>2025</v>
      </c>
      <c r="N3465" s="153">
        <v>575</v>
      </c>
      <c r="O3465" s="12"/>
      <c r="P3465" s="12">
        <f t="shared" si="960"/>
        <v>575</v>
      </c>
      <c r="Q3465" s="7">
        <f t="shared" si="961"/>
        <v>5737052.75</v>
      </c>
      <c r="R3465" s="44" t="str">
        <f>VLOOKUP(F3465,'Set up'!$A$2:$E$100,5,FALSE)</f>
        <v>Trsf</v>
      </c>
    </row>
    <row r="3466" spans="1:18" ht="16.2" customHeight="1" x14ac:dyDescent="0.3">
      <c r="A3466" s="152">
        <v>45633</v>
      </c>
      <c r="B3466" s="5">
        <f t="shared" si="950"/>
        <v>12</v>
      </c>
      <c r="C3466" s="5">
        <f t="shared" si="951"/>
        <v>2024</v>
      </c>
      <c r="D3466" s="150" t="s">
        <v>3006</v>
      </c>
      <c r="E3466" s="5" t="str">
        <f>VLOOKUP(F3466,'Set up'!$A$2:$C$100,2,FALSE)</f>
        <v>C00000010</v>
      </c>
      <c r="F3466" s="151" t="s">
        <v>62</v>
      </c>
      <c r="G3466" s="151" t="s">
        <v>46</v>
      </c>
      <c r="H3466" s="156">
        <v>12</v>
      </c>
      <c r="I3466" s="5">
        <f>VLOOKUP(F3466,'Set up'!$A$2:$C$100,3,FALSE)</f>
        <v>120</v>
      </c>
      <c r="J3466" s="5">
        <f>VLOOKUP(F3466,'Set up'!$A$2:$D$100,4,FALSE)</f>
        <v>120</v>
      </c>
      <c r="K3466" s="4">
        <f t="shared" si="957"/>
        <v>45753</v>
      </c>
      <c r="L3466" s="5">
        <f t="shared" si="958"/>
        <v>4</v>
      </c>
      <c r="M3466" s="5">
        <f t="shared" si="959"/>
        <v>2025</v>
      </c>
      <c r="N3466" s="153">
        <v>1320</v>
      </c>
      <c r="O3466" s="12"/>
      <c r="P3466" s="12">
        <f t="shared" si="960"/>
        <v>1320</v>
      </c>
      <c r="Q3466" s="7">
        <f t="shared" si="961"/>
        <v>5738372.75</v>
      </c>
      <c r="R3466" s="44" t="str">
        <f>VLOOKUP(F3466,'Set up'!$A$2:$E$100,5,FALSE)</f>
        <v>Trsf</v>
      </c>
    </row>
    <row r="3467" spans="1:18" ht="16.2" customHeight="1" x14ac:dyDescent="0.3">
      <c r="A3467" s="152">
        <v>45633</v>
      </c>
      <c r="B3467" s="5">
        <f t="shared" si="950"/>
        <v>12</v>
      </c>
      <c r="C3467" s="5">
        <f t="shared" si="951"/>
        <v>2024</v>
      </c>
      <c r="D3467" s="150" t="s">
        <v>3006</v>
      </c>
      <c r="E3467" s="5" t="str">
        <f>VLOOKUP(F3467,'Set up'!$A$2:$C$100,2,FALSE)</f>
        <v>C00000010</v>
      </c>
      <c r="F3467" s="151" t="s">
        <v>62</v>
      </c>
      <c r="G3467" s="151" t="s">
        <v>947</v>
      </c>
      <c r="H3467" s="156">
        <v>4</v>
      </c>
      <c r="I3467" s="5">
        <f>VLOOKUP(F3467,'Set up'!$A$2:$C$100,3,FALSE)</f>
        <v>120</v>
      </c>
      <c r="J3467" s="5">
        <f>VLOOKUP(F3467,'Set up'!$A$2:$D$100,4,FALSE)</f>
        <v>120</v>
      </c>
      <c r="K3467" s="4">
        <f t="shared" si="957"/>
        <v>45753</v>
      </c>
      <c r="L3467" s="5">
        <f t="shared" si="958"/>
        <v>4</v>
      </c>
      <c r="M3467" s="5">
        <f t="shared" si="959"/>
        <v>2025</v>
      </c>
      <c r="N3467" s="153">
        <v>230.4</v>
      </c>
      <c r="O3467" s="12"/>
      <c r="P3467" s="12">
        <f t="shared" si="960"/>
        <v>230.4</v>
      </c>
      <c r="Q3467" s="7">
        <f t="shared" si="961"/>
        <v>5738603.1500000004</v>
      </c>
      <c r="R3467" s="44" t="str">
        <f>VLOOKUP(F3467,'Set up'!$A$2:$E$100,5,FALSE)</f>
        <v>Trsf</v>
      </c>
    </row>
    <row r="3468" spans="1:18" ht="16.2" customHeight="1" x14ac:dyDescent="0.3">
      <c r="A3468" s="152">
        <v>45633</v>
      </c>
      <c r="B3468" s="5">
        <f t="shared" si="950"/>
        <v>12</v>
      </c>
      <c r="C3468" s="5">
        <f t="shared" si="951"/>
        <v>2024</v>
      </c>
      <c r="D3468" s="150" t="s">
        <v>3006</v>
      </c>
      <c r="E3468" s="5" t="str">
        <f>VLOOKUP(F3468,'Set up'!$A$2:$C$100,2,FALSE)</f>
        <v>C00000010</v>
      </c>
      <c r="F3468" s="151" t="s">
        <v>62</v>
      </c>
      <c r="G3468" s="151" t="s">
        <v>2522</v>
      </c>
      <c r="H3468" s="156">
        <v>1</v>
      </c>
      <c r="I3468" s="5">
        <f>VLOOKUP(F3468,'Set up'!$A$2:$C$100,3,FALSE)</f>
        <v>120</v>
      </c>
      <c r="J3468" s="5">
        <f>VLOOKUP(F3468,'Set up'!$A$2:$D$100,4,FALSE)</f>
        <v>120</v>
      </c>
      <c r="K3468" s="4">
        <f t="shared" si="957"/>
        <v>45753</v>
      </c>
      <c r="L3468" s="5">
        <f t="shared" si="958"/>
        <v>4</v>
      </c>
      <c r="M3468" s="5">
        <f t="shared" si="959"/>
        <v>2025</v>
      </c>
      <c r="N3468" s="153">
        <v>420</v>
      </c>
      <c r="O3468" s="12"/>
      <c r="P3468" s="12">
        <f t="shared" si="960"/>
        <v>420</v>
      </c>
      <c r="Q3468" s="7">
        <f t="shared" si="961"/>
        <v>5739023.1500000004</v>
      </c>
      <c r="R3468" s="44" t="str">
        <f>VLOOKUP(F3468,'Set up'!$A$2:$E$100,5,FALSE)</f>
        <v>Trsf</v>
      </c>
    </row>
    <row r="3469" spans="1:18" ht="16.2" customHeight="1" x14ac:dyDescent="0.3">
      <c r="A3469" s="152">
        <v>45633</v>
      </c>
      <c r="B3469" s="5">
        <f t="shared" si="950"/>
        <v>12</v>
      </c>
      <c r="C3469" s="5">
        <f t="shared" si="951"/>
        <v>2024</v>
      </c>
      <c r="D3469" s="150" t="s">
        <v>3006</v>
      </c>
      <c r="E3469" s="5" t="str">
        <f>VLOOKUP(F3469,'Set up'!$A$2:$C$100,2,FALSE)</f>
        <v>C00000010</v>
      </c>
      <c r="F3469" s="151" t="s">
        <v>62</v>
      </c>
      <c r="G3469" s="151" t="s">
        <v>3007</v>
      </c>
      <c r="H3469" s="156">
        <v>1</v>
      </c>
      <c r="I3469" s="5">
        <f>VLOOKUP(F3469,'Set up'!$A$2:$C$100,3,FALSE)</f>
        <v>120</v>
      </c>
      <c r="J3469" s="5">
        <f>VLOOKUP(F3469,'Set up'!$A$2:$D$100,4,FALSE)</f>
        <v>120</v>
      </c>
      <c r="K3469" s="4">
        <f t="shared" si="957"/>
        <v>45753</v>
      </c>
      <c r="L3469" s="5">
        <f t="shared" si="958"/>
        <v>4</v>
      </c>
      <c r="M3469" s="5">
        <f t="shared" si="959"/>
        <v>2025</v>
      </c>
      <c r="N3469" s="153">
        <v>0</v>
      </c>
      <c r="O3469" s="12"/>
      <c r="P3469" s="12">
        <f t="shared" si="960"/>
        <v>0</v>
      </c>
      <c r="Q3469" s="7">
        <f t="shared" si="961"/>
        <v>5739023.1500000004</v>
      </c>
      <c r="R3469" s="44" t="str">
        <f>VLOOKUP(F3469,'Set up'!$A$2:$E$100,5,FALSE)</f>
        <v>Trsf</v>
      </c>
    </row>
    <row r="3470" spans="1:18" ht="16.2" customHeight="1" x14ac:dyDescent="0.3">
      <c r="A3470" s="152">
        <v>45633</v>
      </c>
      <c r="B3470" s="5">
        <f t="shared" si="950"/>
        <v>12</v>
      </c>
      <c r="C3470" s="5">
        <f t="shared" si="951"/>
        <v>2024</v>
      </c>
      <c r="D3470" s="150" t="s">
        <v>3008</v>
      </c>
      <c r="E3470" s="5" t="str">
        <f>VLOOKUP(F3470,'Set up'!$A$2:$C$100,2,FALSE)</f>
        <v>C00000050</v>
      </c>
      <c r="F3470" s="151" t="s">
        <v>2732</v>
      </c>
      <c r="G3470" s="151" t="s">
        <v>2971</v>
      </c>
      <c r="H3470" s="156">
        <v>1</v>
      </c>
      <c r="I3470" s="5" t="str">
        <f>VLOOKUP(F3470,'Set up'!$A$2:$C$100,3,FALSE)</f>
        <v>Cash</v>
      </c>
      <c r="J3470" s="5">
        <f>VLOOKUP(F3470,'Set up'!$A$2:$D$100,4,FALSE)</f>
        <v>0</v>
      </c>
      <c r="K3470" s="4">
        <f t="shared" si="957"/>
        <v>45633</v>
      </c>
      <c r="L3470" s="5">
        <f t="shared" si="958"/>
        <v>12</v>
      </c>
      <c r="M3470" s="5">
        <f t="shared" si="959"/>
        <v>2024</v>
      </c>
      <c r="N3470" s="153">
        <v>1755</v>
      </c>
      <c r="O3470" s="12"/>
      <c r="P3470" s="12">
        <f t="shared" si="960"/>
        <v>1755</v>
      </c>
      <c r="Q3470" s="7">
        <f t="shared" si="961"/>
        <v>5740778.1500000004</v>
      </c>
      <c r="R3470" s="44" t="str">
        <f>VLOOKUP(F3470,'Set up'!$A$2:$E$100,5,FALSE)</f>
        <v>Cash</v>
      </c>
    </row>
    <row r="3471" spans="1:18" ht="16.2" customHeight="1" x14ac:dyDescent="0.3">
      <c r="A3471" s="152">
        <v>45633</v>
      </c>
      <c r="B3471" s="5">
        <f t="shared" si="950"/>
        <v>12</v>
      </c>
      <c r="C3471" s="5">
        <f t="shared" si="951"/>
        <v>2024</v>
      </c>
      <c r="D3471" s="150" t="s">
        <v>3008</v>
      </c>
      <c r="E3471" s="5" t="str">
        <f>VLOOKUP(F3471,'Set up'!$A$2:$C$100,2,FALSE)</f>
        <v>C00000050</v>
      </c>
      <c r="F3471" s="151" t="s">
        <v>2732</v>
      </c>
      <c r="G3471" s="151" t="s">
        <v>2965</v>
      </c>
      <c r="H3471" s="156">
        <v>2</v>
      </c>
      <c r="I3471" s="5" t="str">
        <f>VLOOKUP(F3471,'Set up'!$A$2:$C$100,3,FALSE)</f>
        <v>Cash</v>
      </c>
      <c r="J3471" s="5">
        <f>VLOOKUP(F3471,'Set up'!$A$2:$D$100,4,FALSE)</f>
        <v>0</v>
      </c>
      <c r="K3471" s="4">
        <f t="shared" si="957"/>
        <v>45633</v>
      </c>
      <c r="L3471" s="5">
        <f t="shared" si="958"/>
        <v>12</v>
      </c>
      <c r="M3471" s="5">
        <f t="shared" si="959"/>
        <v>2024</v>
      </c>
      <c r="N3471" s="153">
        <v>555</v>
      </c>
      <c r="O3471" s="12"/>
      <c r="P3471" s="12">
        <f t="shared" si="960"/>
        <v>555</v>
      </c>
      <c r="Q3471" s="7">
        <f t="shared" si="961"/>
        <v>5741333.1500000004</v>
      </c>
      <c r="R3471" s="44" t="str">
        <f>VLOOKUP(F3471,'Set up'!$A$2:$E$100,5,FALSE)</f>
        <v>Cash</v>
      </c>
    </row>
    <row r="3472" spans="1:18" ht="16.2" customHeight="1" x14ac:dyDescent="0.3">
      <c r="A3472" s="152">
        <v>45633</v>
      </c>
      <c r="B3472" s="5">
        <f t="shared" si="950"/>
        <v>12</v>
      </c>
      <c r="C3472" s="5">
        <f t="shared" si="951"/>
        <v>2024</v>
      </c>
      <c r="D3472" s="150" t="s">
        <v>3008</v>
      </c>
      <c r="E3472" s="5" t="str">
        <f>VLOOKUP(F3472,'Set up'!$A$2:$C$100,2,FALSE)</f>
        <v>C00000050</v>
      </c>
      <c r="F3472" s="151" t="s">
        <v>2732</v>
      </c>
      <c r="G3472" s="151" t="s">
        <v>1062</v>
      </c>
      <c r="H3472" s="156">
        <v>1</v>
      </c>
      <c r="I3472" s="5" t="str">
        <f>VLOOKUP(F3472,'Set up'!$A$2:$C$100,3,FALSE)</f>
        <v>Cash</v>
      </c>
      <c r="J3472" s="5">
        <f>VLOOKUP(F3472,'Set up'!$A$2:$D$100,4,FALSE)</f>
        <v>0</v>
      </c>
      <c r="K3472" s="4">
        <f t="shared" si="957"/>
        <v>45633</v>
      </c>
      <c r="L3472" s="5">
        <f t="shared" si="958"/>
        <v>12</v>
      </c>
      <c r="M3472" s="5">
        <f t="shared" si="959"/>
        <v>2024</v>
      </c>
      <c r="N3472" s="153">
        <v>95</v>
      </c>
      <c r="O3472" s="12"/>
      <c r="P3472" s="12">
        <f t="shared" si="960"/>
        <v>95</v>
      </c>
      <c r="Q3472" s="7">
        <f t="shared" si="961"/>
        <v>5741428.1500000004</v>
      </c>
      <c r="R3472" s="44" t="str">
        <f>VLOOKUP(F3472,'Set up'!$A$2:$E$100,5,FALSE)</f>
        <v>Cash</v>
      </c>
    </row>
    <row r="3473" spans="1:18" ht="16.2" customHeight="1" x14ac:dyDescent="0.3">
      <c r="A3473" s="152">
        <v>45633</v>
      </c>
      <c r="B3473" s="5">
        <f t="shared" si="950"/>
        <v>12</v>
      </c>
      <c r="C3473" s="5">
        <f t="shared" si="951"/>
        <v>2024</v>
      </c>
      <c r="D3473" s="150" t="s">
        <v>3008</v>
      </c>
      <c r="E3473" s="5" t="str">
        <f>VLOOKUP(F3473,'Set up'!$A$2:$C$100,2,FALSE)</f>
        <v>C00000050</v>
      </c>
      <c r="F3473" s="151" t="s">
        <v>2732</v>
      </c>
      <c r="G3473" s="151" t="s">
        <v>2722</v>
      </c>
      <c r="H3473" s="156">
        <v>5</v>
      </c>
      <c r="I3473" s="5" t="str">
        <f>VLOOKUP(F3473,'Set up'!$A$2:$C$100,3,FALSE)</f>
        <v>Cash</v>
      </c>
      <c r="J3473" s="5">
        <f>VLOOKUP(F3473,'Set up'!$A$2:$D$100,4,FALSE)</f>
        <v>0</v>
      </c>
      <c r="K3473" s="4">
        <f t="shared" si="957"/>
        <v>45633</v>
      </c>
      <c r="L3473" s="5">
        <f t="shared" si="958"/>
        <v>12</v>
      </c>
      <c r="M3473" s="5">
        <f t="shared" si="959"/>
        <v>2024</v>
      </c>
      <c r="N3473" s="153">
        <v>312.5</v>
      </c>
      <c r="O3473" s="12"/>
      <c r="P3473" s="12">
        <f t="shared" si="960"/>
        <v>312.5</v>
      </c>
      <c r="Q3473" s="7">
        <f t="shared" si="961"/>
        <v>5741740.6500000004</v>
      </c>
      <c r="R3473" s="44" t="str">
        <f>VLOOKUP(F3473,'Set up'!$A$2:$E$100,5,FALSE)</f>
        <v>Cash</v>
      </c>
    </row>
    <row r="3474" spans="1:18" ht="16.2" customHeight="1" x14ac:dyDescent="0.3">
      <c r="A3474" s="152">
        <v>45633</v>
      </c>
      <c r="B3474" s="5">
        <f t="shared" si="950"/>
        <v>12</v>
      </c>
      <c r="C3474" s="5">
        <f t="shared" si="951"/>
        <v>2024</v>
      </c>
      <c r="D3474" s="150" t="s">
        <v>3009</v>
      </c>
      <c r="E3474" s="5" t="str">
        <f>VLOOKUP(F3474,'Set up'!$A$2:$C$100,2,FALSE)</f>
        <v>C00000042</v>
      </c>
      <c r="F3474" s="151" t="s">
        <v>2013</v>
      </c>
      <c r="G3474" s="151" t="s">
        <v>2826</v>
      </c>
      <c r="H3474" s="156">
        <v>1</v>
      </c>
      <c r="I3474" s="5" t="str">
        <f>VLOOKUP(F3474,'Set up'!$A$2:$C$100,3,FALSE)</f>
        <v>Cash</v>
      </c>
      <c r="J3474" s="5">
        <f>VLOOKUP(F3474,'Set up'!$A$2:$D$100,4,FALSE)</f>
        <v>0</v>
      </c>
      <c r="K3474" s="4">
        <f t="shared" si="957"/>
        <v>45633</v>
      </c>
      <c r="L3474" s="5">
        <f t="shared" si="958"/>
        <v>12</v>
      </c>
      <c r="M3474" s="5">
        <f t="shared" si="959"/>
        <v>2024</v>
      </c>
      <c r="N3474" s="153">
        <v>975</v>
      </c>
      <c r="O3474" s="12"/>
      <c r="P3474" s="12">
        <f t="shared" si="960"/>
        <v>975</v>
      </c>
      <c r="Q3474" s="7">
        <f t="shared" si="961"/>
        <v>5742715.6500000004</v>
      </c>
      <c r="R3474" s="44" t="str">
        <f>VLOOKUP(F3474,'Set up'!$A$2:$E$100,5,FALSE)</f>
        <v>Trsf</v>
      </c>
    </row>
    <row r="3475" spans="1:18" ht="16.2" customHeight="1" x14ac:dyDescent="0.3">
      <c r="A3475" s="149" t="s">
        <v>3046</v>
      </c>
      <c r="B3475" s="5">
        <f t="shared" si="950"/>
        <v>12</v>
      </c>
      <c r="C3475" s="5">
        <f t="shared" si="951"/>
        <v>2024</v>
      </c>
      <c r="D3475" s="150" t="s">
        <v>3010</v>
      </c>
      <c r="E3475" s="5" t="str">
        <f>VLOOKUP(F3475,'Set up'!$A$2:$C$100,2,FALSE)</f>
        <v>C00000056</v>
      </c>
      <c r="F3475" s="151" t="s">
        <v>3012</v>
      </c>
      <c r="G3475" s="151" t="s">
        <v>3011</v>
      </c>
      <c r="H3475" s="156">
        <v>2</v>
      </c>
      <c r="I3475" s="5" t="str">
        <f>VLOOKUP(F3475,'Set up'!$A$2:$C$100,3,FALSE)</f>
        <v>Cash</v>
      </c>
      <c r="J3475" s="5">
        <f>VLOOKUP(F3475,'Set up'!$A$2:$D$100,4,FALSE)</f>
        <v>0</v>
      </c>
      <c r="K3475" s="4">
        <f t="shared" si="957"/>
        <v>45636</v>
      </c>
      <c r="L3475" s="5">
        <f t="shared" si="958"/>
        <v>12</v>
      </c>
      <c r="M3475" s="5">
        <f t="shared" si="959"/>
        <v>2024</v>
      </c>
      <c r="N3475" s="153">
        <v>560</v>
      </c>
      <c r="O3475" s="12"/>
      <c r="P3475" s="12">
        <f t="shared" si="960"/>
        <v>560</v>
      </c>
      <c r="Q3475" s="7">
        <f t="shared" si="961"/>
        <v>5743275.6500000004</v>
      </c>
      <c r="R3475" s="44" t="str">
        <f>VLOOKUP(F3475,'Set up'!$A$2:$E$100,5,FALSE)</f>
        <v>Cash</v>
      </c>
    </row>
    <row r="3476" spans="1:18" ht="16.2" customHeight="1" x14ac:dyDescent="0.3">
      <c r="A3476" s="149" t="s">
        <v>3046</v>
      </c>
      <c r="B3476" s="5">
        <f t="shared" si="950"/>
        <v>12</v>
      </c>
      <c r="C3476" s="5">
        <f t="shared" si="951"/>
        <v>2024</v>
      </c>
      <c r="D3476" s="150" t="s">
        <v>3010</v>
      </c>
      <c r="E3476" s="5" t="str">
        <f>VLOOKUP(F3476,'Set up'!$A$2:$C$100,2,FALSE)</f>
        <v>C00000056</v>
      </c>
      <c r="F3476" s="151" t="s">
        <v>3012</v>
      </c>
      <c r="G3476" s="151" t="s">
        <v>2031</v>
      </c>
      <c r="H3476" s="156">
        <v>1</v>
      </c>
      <c r="I3476" s="5" t="str">
        <f>VLOOKUP(F3476,'Set up'!$A$2:$C$100,3,FALSE)</f>
        <v>Cash</v>
      </c>
      <c r="J3476" s="5">
        <f>VLOOKUP(F3476,'Set up'!$A$2:$D$100,4,FALSE)</f>
        <v>0</v>
      </c>
      <c r="K3476" s="4">
        <f t="shared" si="957"/>
        <v>45636</v>
      </c>
      <c r="L3476" s="5">
        <f t="shared" si="958"/>
        <v>12</v>
      </c>
      <c r="M3476" s="5">
        <f t="shared" si="959"/>
        <v>2024</v>
      </c>
      <c r="N3476" s="153">
        <v>260</v>
      </c>
      <c r="O3476" s="12"/>
      <c r="P3476" s="12">
        <f t="shared" si="960"/>
        <v>260</v>
      </c>
      <c r="Q3476" s="7">
        <f t="shared" si="961"/>
        <v>5743535.6500000004</v>
      </c>
      <c r="R3476" s="44" t="str">
        <f>VLOOKUP(F3476,'Set up'!$A$2:$E$100,5,FALSE)</f>
        <v>Cash</v>
      </c>
    </row>
    <row r="3477" spans="1:18" ht="16.2" customHeight="1" x14ac:dyDescent="0.3">
      <c r="A3477" s="149" t="s">
        <v>3046</v>
      </c>
      <c r="B3477" s="5">
        <f t="shared" si="950"/>
        <v>12</v>
      </c>
      <c r="C3477" s="5">
        <f t="shared" si="951"/>
        <v>2024</v>
      </c>
      <c r="D3477" s="150" t="s">
        <v>3015</v>
      </c>
      <c r="E3477" s="5" t="str">
        <f>VLOOKUP(F3477,'Set up'!$A$2:$C$100,2,FALSE)</f>
        <v>C00000042</v>
      </c>
      <c r="F3477" s="151" t="s">
        <v>2013</v>
      </c>
      <c r="G3477" s="151" t="s">
        <v>2722</v>
      </c>
      <c r="H3477" s="156">
        <v>1</v>
      </c>
      <c r="I3477" s="5" t="str">
        <f>VLOOKUP(F3477,'Set up'!$A$2:$C$100,3,FALSE)</f>
        <v>Cash</v>
      </c>
      <c r="J3477" s="5">
        <f>VLOOKUP(F3477,'Set up'!$A$2:$D$100,4,FALSE)</f>
        <v>0</v>
      </c>
      <c r="K3477" s="4">
        <f t="shared" si="957"/>
        <v>45636</v>
      </c>
      <c r="L3477" s="5">
        <f t="shared" si="958"/>
        <v>12</v>
      </c>
      <c r="M3477" s="5">
        <f t="shared" si="959"/>
        <v>2024</v>
      </c>
      <c r="N3477" s="153">
        <v>62.5</v>
      </c>
      <c r="O3477" s="12"/>
      <c r="P3477" s="12">
        <f t="shared" si="960"/>
        <v>62.5</v>
      </c>
      <c r="Q3477" s="7">
        <f t="shared" si="961"/>
        <v>5743598.1500000004</v>
      </c>
      <c r="R3477" s="44" t="str">
        <f>VLOOKUP(F3477,'Set up'!$A$2:$E$100,5,FALSE)</f>
        <v>Trsf</v>
      </c>
    </row>
    <row r="3478" spans="1:18" ht="16.2" customHeight="1" x14ac:dyDescent="0.3">
      <c r="A3478" s="149" t="s">
        <v>3046</v>
      </c>
      <c r="B3478" s="5">
        <f t="shared" si="950"/>
        <v>12</v>
      </c>
      <c r="C3478" s="5">
        <f t="shared" si="951"/>
        <v>2024</v>
      </c>
      <c r="D3478" s="150" t="s">
        <v>3016</v>
      </c>
      <c r="E3478" s="5" t="str">
        <f>VLOOKUP(F3478,'Set up'!$A$2:$C$100,2,FALSE)</f>
        <v>C00000042</v>
      </c>
      <c r="F3478" s="151" t="s">
        <v>2013</v>
      </c>
      <c r="G3478" s="151" t="s">
        <v>3003</v>
      </c>
      <c r="H3478" s="156">
        <v>2</v>
      </c>
      <c r="I3478" s="5" t="str">
        <f>VLOOKUP(F3478,'Set up'!$A$2:$C$100,3,FALSE)</f>
        <v>Cash</v>
      </c>
      <c r="J3478" s="5">
        <f>VLOOKUP(F3478,'Set up'!$A$2:$D$100,4,FALSE)</f>
        <v>0</v>
      </c>
      <c r="K3478" s="4">
        <f t="shared" si="957"/>
        <v>45636</v>
      </c>
      <c r="L3478" s="5">
        <f t="shared" si="958"/>
        <v>12</v>
      </c>
      <c r="M3478" s="5">
        <f t="shared" si="959"/>
        <v>2024</v>
      </c>
      <c r="N3478" s="153">
        <v>3240</v>
      </c>
      <c r="O3478" s="12"/>
      <c r="P3478" s="12">
        <f t="shared" si="960"/>
        <v>3240</v>
      </c>
      <c r="Q3478" s="7">
        <f t="shared" si="961"/>
        <v>5746838.1500000004</v>
      </c>
      <c r="R3478" s="44" t="str">
        <f>VLOOKUP(F3478,'Set up'!$A$2:$E$100,5,FALSE)</f>
        <v>Trsf</v>
      </c>
    </row>
    <row r="3479" spans="1:18" ht="16.2" customHeight="1" x14ac:dyDescent="0.3">
      <c r="A3479" s="149" t="s">
        <v>3046</v>
      </c>
      <c r="B3479" s="5">
        <f t="shared" si="950"/>
        <v>12</v>
      </c>
      <c r="C3479" s="5">
        <f t="shared" si="951"/>
        <v>2024</v>
      </c>
      <c r="D3479" s="150" t="s">
        <v>3016</v>
      </c>
      <c r="E3479" s="5" t="str">
        <f>VLOOKUP(F3479,'Set up'!$A$2:$C$100,2,FALSE)</f>
        <v>C00000042</v>
      </c>
      <c r="F3479" s="151" t="s">
        <v>2013</v>
      </c>
      <c r="G3479" s="151" t="s">
        <v>1923</v>
      </c>
      <c r="H3479" s="156">
        <v>5</v>
      </c>
      <c r="I3479" s="5" t="str">
        <f>VLOOKUP(F3479,'Set up'!$A$2:$C$100,3,FALSE)</f>
        <v>Cash</v>
      </c>
      <c r="J3479" s="5">
        <f>VLOOKUP(F3479,'Set up'!$A$2:$D$100,4,FALSE)</f>
        <v>0</v>
      </c>
      <c r="K3479" s="4">
        <f t="shared" si="957"/>
        <v>45636</v>
      </c>
      <c r="L3479" s="5">
        <f t="shared" si="958"/>
        <v>12</v>
      </c>
      <c r="M3479" s="5">
        <f t="shared" si="959"/>
        <v>2024</v>
      </c>
      <c r="N3479" s="153">
        <v>1192.5</v>
      </c>
      <c r="O3479" s="12"/>
      <c r="P3479" s="12">
        <f t="shared" si="960"/>
        <v>1192.5</v>
      </c>
      <c r="Q3479" s="7">
        <f t="shared" si="961"/>
        <v>5748030.6500000004</v>
      </c>
      <c r="R3479" s="44" t="str">
        <f>VLOOKUP(F3479,'Set up'!$A$2:$E$100,5,FALSE)</f>
        <v>Trsf</v>
      </c>
    </row>
    <row r="3480" spans="1:18" ht="16.2" customHeight="1" x14ac:dyDescent="0.3">
      <c r="A3480" s="149" t="s">
        <v>3046</v>
      </c>
      <c r="B3480" s="5">
        <f t="shared" si="950"/>
        <v>12</v>
      </c>
      <c r="C3480" s="5">
        <f t="shared" si="951"/>
        <v>2024</v>
      </c>
      <c r="D3480" s="150" t="s">
        <v>3016</v>
      </c>
      <c r="E3480" s="5" t="str">
        <f>VLOOKUP(F3480,'Set up'!$A$2:$C$100,2,FALSE)</f>
        <v>C00000042</v>
      </c>
      <c r="F3480" s="151" t="s">
        <v>2013</v>
      </c>
      <c r="G3480" s="151" t="s">
        <v>46</v>
      </c>
      <c r="H3480" s="156">
        <v>4</v>
      </c>
      <c r="I3480" s="5" t="str">
        <f>VLOOKUP(F3480,'Set up'!$A$2:$C$100,3,FALSE)</f>
        <v>Cash</v>
      </c>
      <c r="J3480" s="5">
        <f>VLOOKUP(F3480,'Set up'!$A$2:$D$100,4,FALSE)</f>
        <v>0</v>
      </c>
      <c r="K3480" s="4">
        <f t="shared" si="957"/>
        <v>45636</v>
      </c>
      <c r="L3480" s="5">
        <f t="shared" si="958"/>
        <v>12</v>
      </c>
      <c r="M3480" s="5">
        <f t="shared" si="959"/>
        <v>2024</v>
      </c>
      <c r="N3480" s="153">
        <v>460</v>
      </c>
      <c r="O3480" s="12"/>
      <c r="P3480" s="12">
        <f t="shared" si="960"/>
        <v>460</v>
      </c>
      <c r="Q3480" s="7">
        <f t="shared" si="961"/>
        <v>5748490.6500000004</v>
      </c>
      <c r="R3480" s="44" t="str">
        <f>VLOOKUP(F3480,'Set up'!$A$2:$E$100,5,FALSE)</f>
        <v>Trsf</v>
      </c>
    </row>
    <row r="3481" spans="1:18" ht="16.2" customHeight="1" x14ac:dyDescent="0.3">
      <c r="A3481" s="149" t="s">
        <v>3046</v>
      </c>
      <c r="B3481" s="5">
        <f t="shared" si="950"/>
        <v>12</v>
      </c>
      <c r="C3481" s="5">
        <f t="shared" si="951"/>
        <v>2024</v>
      </c>
      <c r="D3481" s="150" t="s">
        <v>3019</v>
      </c>
      <c r="E3481" s="5" t="str">
        <f>VLOOKUP(F3481,'Set up'!$A$2:$C$100,2,FALSE)</f>
        <v>C00000061</v>
      </c>
      <c r="F3481" s="151" t="s">
        <v>3020</v>
      </c>
      <c r="G3481" s="151" t="s">
        <v>3017</v>
      </c>
      <c r="H3481" s="156">
        <v>1</v>
      </c>
      <c r="I3481" s="5" t="str">
        <f>VLOOKUP(F3481,'Set up'!$A$2:$C$100,3,FALSE)</f>
        <v>Cash</v>
      </c>
      <c r="J3481" s="5">
        <f>VLOOKUP(F3481,'Set up'!$A$2:$D$100,4,FALSE)</f>
        <v>0</v>
      </c>
      <c r="K3481" s="4">
        <f t="shared" si="957"/>
        <v>45636</v>
      </c>
      <c r="L3481" s="5">
        <f t="shared" si="958"/>
        <v>12</v>
      </c>
      <c r="M3481" s="5">
        <f t="shared" si="959"/>
        <v>2024</v>
      </c>
      <c r="N3481" s="153">
        <v>325</v>
      </c>
      <c r="O3481" s="12"/>
      <c r="P3481" s="12">
        <f t="shared" si="960"/>
        <v>325</v>
      </c>
      <c r="Q3481" s="7">
        <f t="shared" si="961"/>
        <v>5748815.6500000004</v>
      </c>
      <c r="R3481" s="44" t="str">
        <f>VLOOKUP(F3481,'Set up'!$A$2:$E$100,5,FALSE)</f>
        <v>Cash</v>
      </c>
    </row>
    <row r="3482" spans="1:18" ht="16.2" customHeight="1" x14ac:dyDescent="0.3">
      <c r="A3482" s="149" t="s">
        <v>3046</v>
      </c>
      <c r="B3482" s="5">
        <f t="shared" si="950"/>
        <v>12</v>
      </c>
      <c r="C3482" s="5">
        <f t="shared" si="951"/>
        <v>2024</v>
      </c>
      <c r="D3482" s="150" t="s">
        <v>3019</v>
      </c>
      <c r="E3482" s="5" t="str">
        <f>VLOOKUP(F3482,'Set up'!$A$2:$C$100,2,FALSE)</f>
        <v>C00000061</v>
      </c>
      <c r="F3482" s="151" t="s">
        <v>3020</v>
      </c>
      <c r="G3482" s="151" t="s">
        <v>3018</v>
      </c>
      <c r="H3482" s="156">
        <v>2</v>
      </c>
      <c r="I3482" s="5" t="str">
        <f>VLOOKUP(F3482,'Set up'!$A$2:$C$100,3,FALSE)</f>
        <v>Cash</v>
      </c>
      <c r="J3482" s="5">
        <f>VLOOKUP(F3482,'Set up'!$A$2:$D$100,4,FALSE)</f>
        <v>0</v>
      </c>
      <c r="K3482" s="4">
        <f t="shared" si="957"/>
        <v>45636</v>
      </c>
      <c r="L3482" s="5">
        <f t="shared" si="958"/>
        <v>12</v>
      </c>
      <c r="M3482" s="5">
        <f t="shared" si="959"/>
        <v>2024</v>
      </c>
      <c r="N3482" s="153">
        <v>468</v>
      </c>
      <c r="O3482" s="12"/>
      <c r="P3482" s="12">
        <f t="shared" si="960"/>
        <v>468</v>
      </c>
      <c r="Q3482" s="7">
        <f t="shared" si="961"/>
        <v>5749283.6500000004</v>
      </c>
      <c r="R3482" s="44" t="str">
        <f>VLOOKUP(F3482,'Set up'!$A$2:$E$100,5,FALSE)</f>
        <v>Cash</v>
      </c>
    </row>
    <row r="3483" spans="1:18" ht="16.2" customHeight="1" x14ac:dyDescent="0.3">
      <c r="A3483" s="149" t="s">
        <v>3046</v>
      </c>
      <c r="B3483" s="5">
        <f t="shared" si="950"/>
        <v>12</v>
      </c>
      <c r="C3483" s="5">
        <f t="shared" si="951"/>
        <v>2024</v>
      </c>
      <c r="D3483" s="150" t="s">
        <v>3019</v>
      </c>
      <c r="E3483" s="5" t="str">
        <f>VLOOKUP(F3483,'Set up'!$A$2:$C$100,2,FALSE)</f>
        <v>C00000061</v>
      </c>
      <c r="F3483" s="151" t="s">
        <v>3020</v>
      </c>
      <c r="G3483" s="151" t="s">
        <v>46</v>
      </c>
      <c r="H3483" s="156">
        <v>1</v>
      </c>
      <c r="I3483" s="5" t="str">
        <f>VLOOKUP(F3483,'Set up'!$A$2:$C$100,3,FALSE)</f>
        <v>Cash</v>
      </c>
      <c r="J3483" s="5">
        <f>VLOOKUP(F3483,'Set up'!$A$2:$D$100,4,FALSE)</f>
        <v>0</v>
      </c>
      <c r="K3483" s="4">
        <f t="shared" si="957"/>
        <v>45636</v>
      </c>
      <c r="L3483" s="5">
        <f t="shared" si="958"/>
        <v>12</v>
      </c>
      <c r="M3483" s="5">
        <f t="shared" si="959"/>
        <v>2024</v>
      </c>
      <c r="N3483" s="153">
        <v>120</v>
      </c>
      <c r="O3483" s="12"/>
      <c r="P3483" s="12">
        <f t="shared" si="960"/>
        <v>120</v>
      </c>
      <c r="Q3483" s="7">
        <f t="shared" si="961"/>
        <v>5749403.6500000004</v>
      </c>
      <c r="R3483" s="44" t="str">
        <f>VLOOKUP(F3483,'Set up'!$A$2:$E$100,5,FALSE)</f>
        <v>Cash</v>
      </c>
    </row>
    <row r="3484" spans="1:18" ht="16.2" customHeight="1" x14ac:dyDescent="0.3">
      <c r="A3484" s="149" t="s">
        <v>3047</v>
      </c>
      <c r="B3484" s="5">
        <f t="shared" si="950"/>
        <v>12</v>
      </c>
      <c r="C3484" s="5">
        <f t="shared" si="951"/>
        <v>2024</v>
      </c>
      <c r="D3484" s="150" t="s">
        <v>3021</v>
      </c>
      <c r="E3484" s="5" t="str">
        <f>VLOOKUP(F3484,'Set up'!$A$2:$C$100,2,FALSE)</f>
        <v>C00000003</v>
      </c>
      <c r="F3484" s="151" t="s">
        <v>20</v>
      </c>
      <c r="G3484" s="151" t="s">
        <v>950</v>
      </c>
      <c r="H3484" s="156">
        <v>4</v>
      </c>
      <c r="I3484" s="5">
        <f>VLOOKUP(F3484,'Set up'!$A$2:$C$100,3,FALSE)</f>
        <v>45</v>
      </c>
      <c r="J3484" s="5">
        <f>VLOOKUP(F3484,'Set up'!$A$2:$D$100,4,FALSE)</f>
        <v>45</v>
      </c>
      <c r="K3484" s="4">
        <f t="shared" si="957"/>
        <v>45682</v>
      </c>
      <c r="L3484" s="5">
        <f t="shared" si="958"/>
        <v>1</v>
      </c>
      <c r="M3484" s="5">
        <f t="shared" si="959"/>
        <v>2025</v>
      </c>
      <c r="N3484" s="153">
        <v>240</v>
      </c>
      <c r="O3484" s="12"/>
      <c r="P3484" s="12">
        <f t="shared" si="960"/>
        <v>240</v>
      </c>
      <c r="Q3484" s="7">
        <f t="shared" si="961"/>
        <v>5749643.6500000004</v>
      </c>
      <c r="R3484" s="44" t="str">
        <f>VLOOKUP(F3484,'Set up'!$A$2:$E$100,5,FALSE)</f>
        <v>PD Chq</v>
      </c>
    </row>
    <row r="3485" spans="1:18" ht="16.2" customHeight="1" x14ac:dyDescent="0.3">
      <c r="A3485" s="149" t="s">
        <v>3048</v>
      </c>
      <c r="B3485" s="5">
        <f t="shared" si="950"/>
        <v>12</v>
      </c>
      <c r="C3485" s="5">
        <f t="shared" si="951"/>
        <v>2024</v>
      </c>
      <c r="D3485" s="150" t="s">
        <v>3022</v>
      </c>
      <c r="E3485" s="5" t="str">
        <f>VLOOKUP(F3485,'Set up'!$A$2:$C$100,2,FALSE)</f>
        <v>C00000050</v>
      </c>
      <c r="F3485" s="151" t="s">
        <v>2732</v>
      </c>
      <c r="G3485" s="151" t="s">
        <v>2971</v>
      </c>
      <c r="H3485" s="156">
        <v>1</v>
      </c>
      <c r="I3485" s="5" t="str">
        <f>VLOOKUP(F3485,'Set up'!$A$2:$C$100,3,FALSE)</f>
        <v>Cash</v>
      </c>
      <c r="J3485" s="5">
        <f>VLOOKUP(F3485,'Set up'!$A$2:$D$100,4,FALSE)</f>
        <v>0</v>
      </c>
      <c r="K3485" s="4">
        <f t="shared" si="957"/>
        <v>45638</v>
      </c>
      <c r="L3485" s="5">
        <f t="shared" si="958"/>
        <v>12</v>
      </c>
      <c r="M3485" s="5">
        <f t="shared" si="959"/>
        <v>2024</v>
      </c>
      <c r="N3485" s="153">
        <v>1755</v>
      </c>
      <c r="O3485" s="12"/>
      <c r="P3485" s="12">
        <f t="shared" si="960"/>
        <v>1755</v>
      </c>
      <c r="Q3485" s="7">
        <f t="shared" si="961"/>
        <v>5751398.6500000004</v>
      </c>
      <c r="R3485" s="44" t="str">
        <f>VLOOKUP(F3485,'Set up'!$A$2:$E$100,5,FALSE)</f>
        <v>Cash</v>
      </c>
    </row>
    <row r="3486" spans="1:18" ht="16.2" customHeight="1" x14ac:dyDescent="0.3">
      <c r="A3486" s="149" t="s">
        <v>3048</v>
      </c>
      <c r="B3486" s="5">
        <f t="shared" si="950"/>
        <v>12</v>
      </c>
      <c r="C3486" s="5">
        <f t="shared" si="951"/>
        <v>2024</v>
      </c>
      <c r="D3486" s="150" t="s">
        <v>3022</v>
      </c>
      <c r="E3486" s="5" t="str">
        <f>VLOOKUP(F3486,'Set up'!$A$2:$C$100,2,FALSE)</f>
        <v>C00000050</v>
      </c>
      <c r="F3486" s="151" t="s">
        <v>2732</v>
      </c>
      <c r="G3486" s="151" t="s">
        <v>3061</v>
      </c>
      <c r="H3486" s="156">
        <v>2</v>
      </c>
      <c r="I3486" s="5" t="str">
        <f>VLOOKUP(F3486,'Set up'!$A$2:$C$100,3,FALSE)</f>
        <v>Cash</v>
      </c>
      <c r="J3486" s="5">
        <f>VLOOKUP(F3486,'Set up'!$A$2:$D$100,4,FALSE)</f>
        <v>0</v>
      </c>
      <c r="K3486" s="4">
        <f t="shared" si="957"/>
        <v>45638</v>
      </c>
      <c r="L3486" s="5">
        <f t="shared" si="958"/>
        <v>12</v>
      </c>
      <c r="M3486" s="5">
        <f t="shared" si="959"/>
        <v>2024</v>
      </c>
      <c r="N3486" s="153">
        <v>450</v>
      </c>
      <c r="O3486" s="12"/>
      <c r="P3486" s="12">
        <f t="shared" si="960"/>
        <v>450</v>
      </c>
      <c r="Q3486" s="7">
        <f t="shared" si="961"/>
        <v>5751848.6500000004</v>
      </c>
      <c r="R3486" s="44" t="str">
        <f>VLOOKUP(F3486,'Set up'!$A$2:$E$100,5,FALSE)</f>
        <v>Cash</v>
      </c>
    </row>
    <row r="3487" spans="1:18" ht="16.2" customHeight="1" x14ac:dyDescent="0.3">
      <c r="A3487" s="149" t="s">
        <v>3048</v>
      </c>
      <c r="B3487" s="5">
        <f t="shared" si="950"/>
        <v>12</v>
      </c>
      <c r="C3487" s="5">
        <f t="shared" si="951"/>
        <v>2024</v>
      </c>
      <c r="D3487" s="150" t="s">
        <v>3022</v>
      </c>
      <c r="E3487" s="5" t="str">
        <f>VLOOKUP(F3487,'Set up'!$A$2:$C$100,2,FALSE)</f>
        <v>C00000050</v>
      </c>
      <c r="F3487" s="151" t="s">
        <v>2732</v>
      </c>
      <c r="G3487" s="151" t="s">
        <v>1062</v>
      </c>
      <c r="H3487" s="156">
        <v>1</v>
      </c>
      <c r="I3487" s="5" t="str">
        <f>VLOOKUP(F3487,'Set up'!$A$2:$C$100,3,FALSE)</f>
        <v>Cash</v>
      </c>
      <c r="J3487" s="5">
        <f>VLOOKUP(F3487,'Set up'!$A$2:$D$100,4,FALSE)</f>
        <v>0</v>
      </c>
      <c r="K3487" s="4">
        <f t="shared" si="957"/>
        <v>45638</v>
      </c>
      <c r="L3487" s="5">
        <f t="shared" si="958"/>
        <v>12</v>
      </c>
      <c r="M3487" s="5">
        <f t="shared" si="959"/>
        <v>2024</v>
      </c>
      <c r="N3487" s="153">
        <v>95</v>
      </c>
      <c r="O3487" s="12"/>
      <c r="P3487" s="12">
        <f t="shared" si="960"/>
        <v>95</v>
      </c>
      <c r="Q3487" s="7">
        <f t="shared" si="961"/>
        <v>5751943.6500000004</v>
      </c>
      <c r="R3487" s="44" t="str">
        <f>VLOOKUP(F3487,'Set up'!$A$2:$E$100,5,FALSE)</f>
        <v>Cash</v>
      </c>
    </row>
    <row r="3488" spans="1:18" ht="16.2" customHeight="1" x14ac:dyDescent="0.3">
      <c r="A3488" s="149" t="s">
        <v>3048</v>
      </c>
      <c r="B3488" s="5">
        <f t="shared" si="950"/>
        <v>12</v>
      </c>
      <c r="C3488" s="5">
        <f t="shared" si="951"/>
        <v>2024</v>
      </c>
      <c r="D3488" s="150" t="s">
        <v>3022</v>
      </c>
      <c r="E3488" s="5" t="str">
        <f>VLOOKUP(F3488,'Set up'!$A$2:$C$100,2,FALSE)</f>
        <v>C00000050</v>
      </c>
      <c r="F3488" s="151" t="s">
        <v>2732</v>
      </c>
      <c r="G3488" s="151" t="s">
        <v>1747</v>
      </c>
      <c r="H3488" s="156">
        <v>1</v>
      </c>
      <c r="I3488" s="5" t="str">
        <f>VLOOKUP(F3488,'Set up'!$A$2:$C$100,3,FALSE)</f>
        <v>Cash</v>
      </c>
      <c r="J3488" s="5">
        <f>VLOOKUP(F3488,'Set up'!$A$2:$D$100,4,FALSE)</f>
        <v>0</v>
      </c>
      <c r="K3488" s="4">
        <f t="shared" si="957"/>
        <v>45638</v>
      </c>
      <c r="L3488" s="5">
        <f t="shared" si="958"/>
        <v>12</v>
      </c>
      <c r="M3488" s="5">
        <f t="shared" si="959"/>
        <v>2024</v>
      </c>
      <c r="N3488" s="153">
        <v>248</v>
      </c>
      <c r="O3488" s="12"/>
      <c r="P3488" s="12">
        <f t="shared" si="960"/>
        <v>248</v>
      </c>
      <c r="Q3488" s="7">
        <f t="shared" si="961"/>
        <v>5752191.6500000004</v>
      </c>
      <c r="R3488" s="44" t="str">
        <f>VLOOKUP(F3488,'Set up'!$A$2:$E$100,5,FALSE)</f>
        <v>Cash</v>
      </c>
    </row>
    <row r="3489" spans="1:18" ht="16.2" customHeight="1" x14ac:dyDescent="0.3">
      <c r="A3489" s="149" t="s">
        <v>3048</v>
      </c>
      <c r="B3489" s="5">
        <f t="shared" si="950"/>
        <v>12</v>
      </c>
      <c r="C3489" s="5">
        <f t="shared" si="951"/>
        <v>2024</v>
      </c>
      <c r="D3489" s="150" t="s">
        <v>3023</v>
      </c>
      <c r="E3489" s="5" t="str">
        <f>VLOOKUP(F3489,'Set up'!$A$2:$C$100,2,FALSE)</f>
        <v>C00000044</v>
      </c>
      <c r="F3489" s="151" t="s">
        <v>2959</v>
      </c>
      <c r="G3489" s="151" t="s">
        <v>2971</v>
      </c>
      <c r="H3489" s="156">
        <v>1</v>
      </c>
      <c r="I3489" s="5" t="str">
        <f>VLOOKUP(F3489,'Set up'!$A$2:$C$100,3,FALSE)</f>
        <v>Cash</v>
      </c>
      <c r="J3489" s="5">
        <f>VLOOKUP(F3489,'Set up'!$A$2:$D$100,4,FALSE)</f>
        <v>0</v>
      </c>
      <c r="K3489" s="4">
        <f t="shared" si="957"/>
        <v>45638</v>
      </c>
      <c r="L3489" s="5">
        <f t="shared" si="958"/>
        <v>12</v>
      </c>
      <c r="M3489" s="5">
        <f t="shared" si="959"/>
        <v>2024</v>
      </c>
      <c r="N3489" s="153">
        <v>1732.5</v>
      </c>
      <c r="O3489" s="12"/>
      <c r="P3489" s="12">
        <f t="shared" si="960"/>
        <v>1732.5</v>
      </c>
      <c r="Q3489" s="7">
        <f t="shared" si="961"/>
        <v>5753924.1500000004</v>
      </c>
      <c r="R3489" s="44" t="str">
        <f>VLOOKUP(F3489,'Set up'!$A$2:$E$100,5,FALSE)</f>
        <v>Cash</v>
      </c>
    </row>
    <row r="3490" spans="1:18" ht="16.2" customHeight="1" x14ac:dyDescent="0.3">
      <c r="A3490" s="149" t="s">
        <v>3048</v>
      </c>
      <c r="B3490" s="5">
        <f t="shared" si="950"/>
        <v>12</v>
      </c>
      <c r="C3490" s="5">
        <f t="shared" si="951"/>
        <v>2024</v>
      </c>
      <c r="D3490" s="150" t="s">
        <v>3023</v>
      </c>
      <c r="E3490" s="5" t="str">
        <f>VLOOKUP(F3490,'Set up'!$A$2:$C$100,2,FALSE)</f>
        <v>C00000044</v>
      </c>
      <c r="F3490" s="151" t="s">
        <v>2959</v>
      </c>
      <c r="G3490" s="151" t="s">
        <v>2643</v>
      </c>
      <c r="H3490" s="156">
        <v>2</v>
      </c>
      <c r="I3490" s="5" t="str">
        <f>VLOOKUP(F3490,'Set up'!$A$2:$C$100,3,FALSE)</f>
        <v>Cash</v>
      </c>
      <c r="J3490" s="5">
        <f>VLOOKUP(F3490,'Set up'!$A$2:$D$100,4,FALSE)</f>
        <v>0</v>
      </c>
      <c r="K3490" s="4">
        <f t="shared" si="957"/>
        <v>45638</v>
      </c>
      <c r="L3490" s="5">
        <f t="shared" si="958"/>
        <v>12</v>
      </c>
      <c r="M3490" s="5">
        <f t="shared" si="959"/>
        <v>2024</v>
      </c>
      <c r="N3490" s="153">
        <v>432</v>
      </c>
      <c r="O3490" s="12"/>
      <c r="P3490" s="12">
        <f t="shared" si="960"/>
        <v>432</v>
      </c>
      <c r="Q3490" s="7">
        <f t="shared" si="961"/>
        <v>5754356.1500000004</v>
      </c>
      <c r="R3490" s="44" t="str">
        <f>VLOOKUP(F3490,'Set up'!$A$2:$E$100,5,FALSE)</f>
        <v>Cash</v>
      </c>
    </row>
    <row r="3491" spans="1:18" ht="16.2" customHeight="1" x14ac:dyDescent="0.3">
      <c r="A3491" s="149" t="s">
        <v>3048</v>
      </c>
      <c r="B3491" s="5">
        <f t="shared" si="950"/>
        <v>12</v>
      </c>
      <c r="C3491" s="5">
        <f t="shared" si="951"/>
        <v>2024</v>
      </c>
      <c r="D3491" s="150" t="s">
        <v>3024</v>
      </c>
      <c r="E3491" s="5" t="str">
        <f>VLOOKUP(F3491,'Set up'!$A$2:$C$100,2,FALSE)</f>
        <v>C00000019</v>
      </c>
      <c r="F3491" s="151" t="s">
        <v>401</v>
      </c>
      <c r="G3491" s="151" t="s">
        <v>2207</v>
      </c>
      <c r="H3491" s="156">
        <v>1</v>
      </c>
      <c r="I3491" s="5" t="str">
        <f>VLOOKUP(F3491,'Set up'!$A$2:$C$100,3,FALSE)</f>
        <v>Cash</v>
      </c>
      <c r="J3491" s="5">
        <f>VLOOKUP(F3491,'Set up'!$A$2:$D$100,4,FALSE)</f>
        <v>0</v>
      </c>
      <c r="K3491" s="4">
        <f t="shared" si="957"/>
        <v>45638</v>
      </c>
      <c r="L3491" s="5">
        <f t="shared" si="958"/>
        <v>12</v>
      </c>
      <c r="M3491" s="5">
        <f t="shared" si="959"/>
        <v>2024</v>
      </c>
      <c r="N3491" s="153">
        <v>170</v>
      </c>
      <c r="O3491" s="12"/>
      <c r="P3491" s="12">
        <f t="shared" si="960"/>
        <v>170</v>
      </c>
      <c r="Q3491" s="7">
        <f t="shared" si="961"/>
        <v>5754526.1500000004</v>
      </c>
      <c r="R3491" s="44" t="str">
        <f>VLOOKUP(F3491,'Set up'!$A$2:$E$100,5,FALSE)</f>
        <v>Trsf</v>
      </c>
    </row>
    <row r="3492" spans="1:18" ht="16.2" customHeight="1" x14ac:dyDescent="0.3">
      <c r="A3492" s="149" t="s">
        <v>3048</v>
      </c>
      <c r="B3492" s="5">
        <f t="shared" si="950"/>
        <v>12</v>
      </c>
      <c r="C3492" s="5">
        <f t="shared" si="951"/>
        <v>2024</v>
      </c>
      <c r="D3492" s="150" t="s">
        <v>3024</v>
      </c>
      <c r="E3492" s="5" t="str">
        <f>VLOOKUP(F3492,'Set up'!$A$2:$C$100,2,FALSE)</f>
        <v>C00000019</v>
      </c>
      <c r="F3492" s="151" t="s">
        <v>401</v>
      </c>
      <c r="G3492" s="151" t="s">
        <v>2215</v>
      </c>
      <c r="H3492" s="156">
        <v>1</v>
      </c>
      <c r="I3492" s="5" t="str">
        <f>VLOOKUP(F3492,'Set up'!$A$2:$C$100,3,FALSE)</f>
        <v>Cash</v>
      </c>
      <c r="J3492" s="5">
        <f>VLOOKUP(F3492,'Set up'!$A$2:$D$100,4,FALSE)</f>
        <v>0</v>
      </c>
      <c r="K3492" s="4">
        <f t="shared" si="957"/>
        <v>45638</v>
      </c>
      <c r="L3492" s="5">
        <f t="shared" si="958"/>
        <v>12</v>
      </c>
      <c r="M3492" s="5">
        <f t="shared" si="959"/>
        <v>2024</v>
      </c>
      <c r="N3492" s="153">
        <v>283.8</v>
      </c>
      <c r="O3492" s="12"/>
      <c r="P3492" s="12">
        <f t="shared" si="960"/>
        <v>283.8</v>
      </c>
      <c r="Q3492" s="7">
        <f t="shared" si="961"/>
        <v>5754809.9500000002</v>
      </c>
      <c r="R3492" s="44" t="str">
        <f>VLOOKUP(F3492,'Set up'!$A$2:$E$100,5,FALSE)</f>
        <v>Trsf</v>
      </c>
    </row>
    <row r="3493" spans="1:18" ht="16.2" customHeight="1" x14ac:dyDescent="0.3">
      <c r="A3493" s="149" t="s">
        <v>3049</v>
      </c>
      <c r="B3493" s="5">
        <f t="shared" si="950"/>
        <v>12</v>
      </c>
      <c r="C3493" s="5">
        <f t="shared" si="951"/>
        <v>2024</v>
      </c>
      <c r="D3493" s="150" t="s">
        <v>3025</v>
      </c>
      <c r="E3493" s="5" t="str">
        <f>VLOOKUP(F3493,'Set up'!$A$2:$C$100,2,FALSE)</f>
        <v>C00000042</v>
      </c>
      <c r="F3493" s="151" t="s">
        <v>2013</v>
      </c>
      <c r="G3493" s="151" t="s">
        <v>2722</v>
      </c>
      <c r="H3493" s="156">
        <v>1</v>
      </c>
      <c r="I3493" s="5" t="str">
        <f>VLOOKUP(F3493,'Set up'!$A$2:$C$100,3,FALSE)</f>
        <v>Cash</v>
      </c>
      <c r="J3493" s="5">
        <f>VLOOKUP(F3493,'Set up'!$A$2:$D$100,4,FALSE)</f>
        <v>0</v>
      </c>
      <c r="K3493" s="4">
        <f t="shared" si="957"/>
        <v>45639</v>
      </c>
      <c r="L3493" s="5">
        <f t="shared" si="958"/>
        <v>12</v>
      </c>
      <c r="M3493" s="5">
        <f t="shared" si="959"/>
        <v>2024</v>
      </c>
      <c r="N3493" s="153">
        <v>62.5</v>
      </c>
      <c r="O3493" s="12"/>
      <c r="P3493" s="12">
        <f t="shared" si="960"/>
        <v>62.5</v>
      </c>
      <c r="Q3493" s="7">
        <f t="shared" si="961"/>
        <v>5754872.4500000002</v>
      </c>
      <c r="R3493" s="44" t="str">
        <f>VLOOKUP(F3493,'Set up'!$A$2:$E$100,5,FALSE)</f>
        <v>Trsf</v>
      </c>
    </row>
    <row r="3494" spans="1:18" ht="16.2" customHeight="1" x14ac:dyDescent="0.3">
      <c r="A3494" s="149" t="s">
        <v>3049</v>
      </c>
      <c r="B3494" s="5">
        <f t="shared" si="950"/>
        <v>12</v>
      </c>
      <c r="C3494" s="5">
        <f t="shared" si="951"/>
        <v>2024</v>
      </c>
      <c r="D3494" s="150" t="s">
        <v>3026</v>
      </c>
      <c r="E3494" s="5" t="str">
        <f>VLOOKUP(F3494,'Set up'!$A$2:$C$100,2,FALSE)</f>
        <v>C00000042</v>
      </c>
      <c r="F3494" s="151" t="s">
        <v>2013</v>
      </c>
      <c r="G3494" s="151" t="s">
        <v>3003</v>
      </c>
      <c r="H3494" s="156">
        <v>2</v>
      </c>
      <c r="I3494" s="5" t="str">
        <f>VLOOKUP(F3494,'Set up'!$A$2:$C$100,3,FALSE)</f>
        <v>Cash</v>
      </c>
      <c r="J3494" s="5">
        <f>VLOOKUP(F3494,'Set up'!$A$2:$D$100,4,FALSE)</f>
        <v>0</v>
      </c>
      <c r="K3494" s="4">
        <f t="shared" si="957"/>
        <v>45639</v>
      </c>
      <c r="L3494" s="5">
        <f t="shared" si="958"/>
        <v>12</v>
      </c>
      <c r="M3494" s="5">
        <f t="shared" si="959"/>
        <v>2024</v>
      </c>
      <c r="N3494" s="153">
        <v>3240</v>
      </c>
      <c r="O3494" s="12"/>
      <c r="P3494" s="12">
        <f t="shared" si="960"/>
        <v>3240</v>
      </c>
      <c r="Q3494" s="7">
        <f t="shared" si="961"/>
        <v>5758112.4500000002</v>
      </c>
      <c r="R3494" s="44" t="str">
        <f>VLOOKUP(F3494,'Set up'!$A$2:$E$100,5,FALSE)</f>
        <v>Trsf</v>
      </c>
    </row>
    <row r="3495" spans="1:18" ht="16.2" customHeight="1" x14ac:dyDescent="0.3">
      <c r="A3495" s="149" t="s">
        <v>3049</v>
      </c>
      <c r="B3495" s="5">
        <f t="shared" si="950"/>
        <v>12</v>
      </c>
      <c r="C3495" s="5">
        <f t="shared" si="951"/>
        <v>2024</v>
      </c>
      <c r="D3495" s="150" t="s">
        <v>3026</v>
      </c>
      <c r="E3495" s="5" t="str">
        <f>VLOOKUP(F3495,'Set up'!$A$2:$C$100,2,FALSE)</f>
        <v>C00000042</v>
      </c>
      <c r="F3495" s="151" t="s">
        <v>2013</v>
      </c>
      <c r="G3495" s="151" t="s">
        <v>3062</v>
      </c>
      <c r="H3495" s="156">
        <v>4</v>
      </c>
      <c r="I3495" s="5" t="str">
        <f>VLOOKUP(F3495,'Set up'!$A$2:$C$100,3,FALSE)</f>
        <v>Cash</v>
      </c>
      <c r="J3495" s="5">
        <f>VLOOKUP(F3495,'Set up'!$A$2:$D$100,4,FALSE)</f>
        <v>0</v>
      </c>
      <c r="K3495" s="4">
        <f t="shared" si="957"/>
        <v>45639</v>
      </c>
      <c r="L3495" s="5">
        <f t="shared" si="958"/>
        <v>12</v>
      </c>
      <c r="M3495" s="5">
        <f t="shared" si="959"/>
        <v>2024</v>
      </c>
      <c r="N3495" s="153">
        <v>696</v>
      </c>
      <c r="O3495" s="12"/>
      <c r="P3495" s="12">
        <f t="shared" si="960"/>
        <v>696</v>
      </c>
      <c r="Q3495" s="7">
        <f t="shared" si="961"/>
        <v>5758808.4500000002</v>
      </c>
      <c r="R3495" s="44" t="str">
        <f>VLOOKUP(F3495,'Set up'!$A$2:$E$100,5,FALSE)</f>
        <v>Trsf</v>
      </c>
    </row>
    <row r="3496" spans="1:18" ht="16.2" customHeight="1" x14ac:dyDescent="0.3">
      <c r="A3496" s="149" t="s">
        <v>3049</v>
      </c>
      <c r="B3496" s="5">
        <f t="shared" si="950"/>
        <v>12</v>
      </c>
      <c r="C3496" s="5">
        <f t="shared" si="951"/>
        <v>2024</v>
      </c>
      <c r="D3496" s="150" t="s">
        <v>3026</v>
      </c>
      <c r="E3496" s="5" t="str">
        <f>VLOOKUP(F3496,'Set up'!$A$2:$C$100,2,FALSE)</f>
        <v>C00000042</v>
      </c>
      <c r="F3496" s="151" t="s">
        <v>2013</v>
      </c>
      <c r="G3496" s="151" t="s">
        <v>1923</v>
      </c>
      <c r="H3496" s="156">
        <v>3</v>
      </c>
      <c r="I3496" s="5" t="str">
        <f>VLOOKUP(F3496,'Set up'!$A$2:$C$100,3,FALSE)</f>
        <v>Cash</v>
      </c>
      <c r="J3496" s="5">
        <f>VLOOKUP(F3496,'Set up'!$A$2:$D$100,4,FALSE)</f>
        <v>0</v>
      </c>
      <c r="K3496" s="4">
        <f t="shared" si="957"/>
        <v>45639</v>
      </c>
      <c r="L3496" s="5">
        <f t="shared" si="958"/>
        <v>12</v>
      </c>
      <c r="M3496" s="5">
        <f t="shared" si="959"/>
        <v>2024</v>
      </c>
      <c r="N3496" s="153">
        <v>715.5</v>
      </c>
      <c r="O3496" s="12"/>
      <c r="P3496" s="12">
        <f t="shared" si="960"/>
        <v>715.5</v>
      </c>
      <c r="Q3496" s="7">
        <f t="shared" si="961"/>
        <v>5759523.9500000002</v>
      </c>
      <c r="R3496" s="44" t="str">
        <f>VLOOKUP(F3496,'Set up'!$A$2:$E$100,5,FALSE)</f>
        <v>Trsf</v>
      </c>
    </row>
    <row r="3497" spans="1:18" ht="16.2" customHeight="1" x14ac:dyDescent="0.3">
      <c r="A3497" s="149" t="s">
        <v>3049</v>
      </c>
      <c r="B3497" s="5">
        <f t="shared" si="950"/>
        <v>12</v>
      </c>
      <c r="C3497" s="5">
        <f t="shared" si="951"/>
        <v>2024</v>
      </c>
      <c r="D3497" s="150" t="s">
        <v>3026</v>
      </c>
      <c r="E3497" s="5" t="str">
        <f>VLOOKUP(F3497,'Set up'!$A$2:$C$100,2,FALSE)</f>
        <v>C00000042</v>
      </c>
      <c r="F3497" s="151" t="s">
        <v>2013</v>
      </c>
      <c r="G3497" s="151" t="s">
        <v>3063</v>
      </c>
      <c r="H3497" s="156">
        <v>1</v>
      </c>
      <c r="I3497" s="5" t="str">
        <f>VLOOKUP(F3497,'Set up'!$A$2:$C$100,3,FALSE)</f>
        <v>Cash</v>
      </c>
      <c r="J3497" s="5">
        <f>VLOOKUP(F3497,'Set up'!$A$2:$D$100,4,FALSE)</f>
        <v>0</v>
      </c>
      <c r="K3497" s="4">
        <f t="shared" si="957"/>
        <v>45639</v>
      </c>
      <c r="L3497" s="5">
        <f t="shared" si="958"/>
        <v>12</v>
      </c>
      <c r="M3497" s="5">
        <f t="shared" si="959"/>
        <v>2024</v>
      </c>
      <c r="N3497" s="153">
        <v>345</v>
      </c>
      <c r="O3497" s="12"/>
      <c r="P3497" s="12">
        <f t="shared" si="960"/>
        <v>345</v>
      </c>
      <c r="Q3497" s="7">
        <f t="shared" si="961"/>
        <v>5759868.9500000002</v>
      </c>
      <c r="R3497" s="44" t="str">
        <f>VLOOKUP(F3497,'Set up'!$A$2:$E$100,5,FALSE)</f>
        <v>Trsf</v>
      </c>
    </row>
    <row r="3498" spans="1:18" ht="16.2" customHeight="1" x14ac:dyDescent="0.3">
      <c r="A3498" s="149" t="s">
        <v>3050</v>
      </c>
      <c r="B3498" s="5">
        <f t="shared" si="950"/>
        <v>12</v>
      </c>
      <c r="C3498" s="5">
        <f t="shared" si="951"/>
        <v>2024</v>
      </c>
      <c r="D3498" s="150" t="s">
        <v>3027</v>
      </c>
      <c r="E3498" s="5" t="str">
        <f>VLOOKUP(F3498,'Set up'!$A$2:$C$100,2,FALSE)</f>
        <v>C00000010</v>
      </c>
      <c r="F3498" s="151" t="s">
        <v>62</v>
      </c>
      <c r="G3498" s="151" t="s">
        <v>506</v>
      </c>
      <c r="H3498" s="156">
        <v>2</v>
      </c>
      <c r="I3498" s="5">
        <f>VLOOKUP(F3498,'Set up'!$A$2:$C$100,3,FALSE)</f>
        <v>120</v>
      </c>
      <c r="J3498" s="5">
        <f>VLOOKUP(F3498,'Set up'!$A$2:$D$100,4,FALSE)</f>
        <v>120</v>
      </c>
      <c r="K3498" s="4">
        <f t="shared" si="957"/>
        <v>45760</v>
      </c>
      <c r="L3498" s="5">
        <f t="shared" si="958"/>
        <v>4</v>
      </c>
      <c r="M3498" s="5">
        <f t="shared" si="959"/>
        <v>2025</v>
      </c>
      <c r="N3498" s="153">
        <v>3240</v>
      </c>
      <c r="O3498" s="12"/>
      <c r="P3498" s="12">
        <f t="shared" si="960"/>
        <v>3240</v>
      </c>
      <c r="Q3498" s="7">
        <f t="shared" si="961"/>
        <v>5763108.9500000002</v>
      </c>
      <c r="R3498" s="44" t="str">
        <f>VLOOKUP(F3498,'Set up'!$A$2:$E$100,5,FALSE)</f>
        <v>Trsf</v>
      </c>
    </row>
    <row r="3499" spans="1:18" ht="16.2" customHeight="1" x14ac:dyDescent="0.3">
      <c r="A3499" s="149" t="s">
        <v>3051</v>
      </c>
      <c r="B3499" s="5">
        <f t="shared" si="950"/>
        <v>12</v>
      </c>
      <c r="C3499" s="5">
        <f t="shared" si="951"/>
        <v>2024</v>
      </c>
      <c r="D3499" s="150" t="s">
        <v>3028</v>
      </c>
      <c r="E3499" s="5" t="str">
        <f>VLOOKUP(F3499,'Set up'!$A$2:$C$100,2,FALSE)</f>
        <v>C00000050</v>
      </c>
      <c r="F3499" s="151" t="s">
        <v>2732</v>
      </c>
      <c r="G3499" s="151" t="s">
        <v>2971</v>
      </c>
      <c r="H3499" s="156">
        <v>1</v>
      </c>
      <c r="I3499" s="5" t="str">
        <f>VLOOKUP(F3499,'Set up'!$A$2:$C$100,3,FALSE)</f>
        <v>Cash</v>
      </c>
      <c r="J3499" s="5">
        <f>VLOOKUP(F3499,'Set up'!$A$2:$D$100,4,FALSE)</f>
        <v>0</v>
      </c>
      <c r="K3499" s="4">
        <f t="shared" si="957"/>
        <v>45643</v>
      </c>
      <c r="L3499" s="5">
        <f t="shared" si="958"/>
        <v>12</v>
      </c>
      <c r="M3499" s="5">
        <f t="shared" si="959"/>
        <v>2024</v>
      </c>
      <c r="N3499" s="153">
        <v>1755</v>
      </c>
      <c r="O3499" s="12"/>
      <c r="P3499" s="12">
        <f t="shared" si="960"/>
        <v>1755</v>
      </c>
      <c r="Q3499" s="7">
        <f t="shared" si="961"/>
        <v>5764863.9500000002</v>
      </c>
      <c r="R3499" s="44" t="str">
        <f>VLOOKUP(F3499,'Set up'!$A$2:$E$100,5,FALSE)</f>
        <v>Cash</v>
      </c>
    </row>
    <row r="3500" spans="1:18" ht="16.2" customHeight="1" x14ac:dyDescent="0.3">
      <c r="A3500" s="149" t="s">
        <v>3051</v>
      </c>
      <c r="B3500" s="5">
        <f t="shared" si="950"/>
        <v>12</v>
      </c>
      <c r="C3500" s="5">
        <f t="shared" si="951"/>
        <v>2024</v>
      </c>
      <c r="D3500" s="150" t="s">
        <v>3028</v>
      </c>
      <c r="E3500" s="5" t="str">
        <f>VLOOKUP(F3500,'Set up'!$A$2:$C$100,2,FALSE)</f>
        <v>C00000050</v>
      </c>
      <c r="F3500" s="151" t="s">
        <v>2732</v>
      </c>
      <c r="G3500" s="151" t="s">
        <v>3061</v>
      </c>
      <c r="H3500" s="156">
        <v>3</v>
      </c>
      <c r="I3500" s="5" t="str">
        <f>VLOOKUP(F3500,'Set up'!$A$2:$C$100,3,FALSE)</f>
        <v>Cash</v>
      </c>
      <c r="J3500" s="5">
        <f>VLOOKUP(F3500,'Set up'!$A$2:$D$100,4,FALSE)</f>
        <v>0</v>
      </c>
      <c r="K3500" s="4">
        <f t="shared" si="957"/>
        <v>45643</v>
      </c>
      <c r="L3500" s="5">
        <f t="shared" si="958"/>
        <v>12</v>
      </c>
      <c r="M3500" s="5">
        <f t="shared" si="959"/>
        <v>2024</v>
      </c>
      <c r="N3500" s="153">
        <v>675</v>
      </c>
      <c r="O3500" s="12"/>
      <c r="P3500" s="12">
        <f t="shared" si="960"/>
        <v>675</v>
      </c>
      <c r="Q3500" s="7">
        <f t="shared" si="961"/>
        <v>5765538.9500000002</v>
      </c>
      <c r="R3500" s="44" t="str">
        <f>VLOOKUP(F3500,'Set up'!$A$2:$E$100,5,FALSE)</f>
        <v>Cash</v>
      </c>
    </row>
    <row r="3501" spans="1:18" ht="16.2" customHeight="1" x14ac:dyDescent="0.3">
      <c r="A3501" s="149" t="s">
        <v>3051</v>
      </c>
      <c r="B3501" s="5">
        <f t="shared" ref="B3501:B3555" si="962">MONTH(A3501)</f>
        <v>12</v>
      </c>
      <c r="C3501" s="5">
        <f t="shared" ref="C3501:C3555" si="963">YEAR(A3501)</f>
        <v>2024</v>
      </c>
      <c r="D3501" s="150" t="s">
        <v>3028</v>
      </c>
      <c r="E3501" s="5" t="str">
        <f>VLOOKUP(F3501,'Set up'!$A$2:$C$100,2,FALSE)</f>
        <v>C00000050</v>
      </c>
      <c r="F3501" s="151" t="s">
        <v>2732</v>
      </c>
      <c r="G3501" s="151" t="s">
        <v>1062</v>
      </c>
      <c r="H3501" s="156">
        <v>1</v>
      </c>
      <c r="I3501" s="5" t="str">
        <f>VLOOKUP(F3501,'Set up'!$A$2:$C$100,3,FALSE)</f>
        <v>Cash</v>
      </c>
      <c r="J3501" s="5">
        <f>VLOOKUP(F3501,'Set up'!$A$2:$D$100,4,FALSE)</f>
        <v>0</v>
      </c>
      <c r="K3501" s="4">
        <f t="shared" si="957"/>
        <v>45643</v>
      </c>
      <c r="L3501" s="5">
        <f t="shared" si="958"/>
        <v>12</v>
      </c>
      <c r="M3501" s="5">
        <f t="shared" si="959"/>
        <v>2024</v>
      </c>
      <c r="N3501" s="153">
        <v>95</v>
      </c>
      <c r="O3501" s="12"/>
      <c r="P3501" s="12">
        <f t="shared" si="960"/>
        <v>95</v>
      </c>
      <c r="Q3501" s="7">
        <f t="shared" si="961"/>
        <v>5765633.9500000002</v>
      </c>
      <c r="R3501" s="44" t="str">
        <f>VLOOKUP(F3501,'Set up'!$A$2:$E$100,5,FALSE)</f>
        <v>Cash</v>
      </c>
    </row>
    <row r="3502" spans="1:18" ht="16.2" customHeight="1" x14ac:dyDescent="0.3">
      <c r="A3502" s="149" t="s">
        <v>3051</v>
      </c>
      <c r="B3502" s="5">
        <f t="shared" si="962"/>
        <v>12</v>
      </c>
      <c r="C3502" s="5">
        <f t="shared" si="963"/>
        <v>2024</v>
      </c>
      <c r="D3502" s="150" t="s">
        <v>3028</v>
      </c>
      <c r="E3502" s="5" t="str">
        <f>VLOOKUP(F3502,'Set up'!$A$2:$C$100,2,FALSE)</f>
        <v>C00000050</v>
      </c>
      <c r="F3502" s="151" t="s">
        <v>2732</v>
      </c>
      <c r="G3502" s="151" t="s">
        <v>801</v>
      </c>
      <c r="H3502" s="156">
        <v>1</v>
      </c>
      <c r="I3502" s="5" t="str">
        <f>VLOOKUP(F3502,'Set up'!$A$2:$C$100,3,FALSE)</f>
        <v>Cash</v>
      </c>
      <c r="J3502" s="5">
        <f>VLOOKUP(F3502,'Set up'!$A$2:$D$100,4,FALSE)</f>
        <v>0</v>
      </c>
      <c r="K3502" s="4">
        <f t="shared" ref="K3502:K3555" si="964">A3502+J3502</f>
        <v>45643</v>
      </c>
      <c r="L3502" s="5">
        <f t="shared" ref="L3502:L3555" si="965">MONTH(K3502)</f>
        <v>12</v>
      </c>
      <c r="M3502" s="5">
        <f t="shared" ref="M3502:M3555" si="966">YEAR(K3502)</f>
        <v>2024</v>
      </c>
      <c r="N3502" s="153">
        <v>225</v>
      </c>
      <c r="O3502" s="12"/>
      <c r="P3502" s="12">
        <f t="shared" ref="N3502:P3555" si="967">SUM(N3502+O3502)</f>
        <v>225</v>
      </c>
      <c r="Q3502" s="7">
        <f t="shared" ref="Q3502:Q3555" si="968">SUM(Q3501+N3502)</f>
        <v>5765858.9500000002</v>
      </c>
      <c r="R3502" s="44" t="str">
        <f>VLOOKUP(F3502,'Set up'!$A$2:$E$100,5,FALSE)</f>
        <v>Cash</v>
      </c>
    </row>
    <row r="3503" spans="1:18" ht="16.2" customHeight="1" x14ac:dyDescent="0.3">
      <c r="A3503" s="149" t="s">
        <v>3051</v>
      </c>
      <c r="B3503" s="5">
        <f t="shared" si="962"/>
        <v>12</v>
      </c>
      <c r="C3503" s="5">
        <f t="shared" si="963"/>
        <v>2024</v>
      </c>
      <c r="D3503" s="150" t="s">
        <v>3029</v>
      </c>
      <c r="E3503" s="5" t="str">
        <f>VLOOKUP(F3503,'Set up'!$A$2:$C$100,2,FALSE)</f>
        <v>C00000042</v>
      </c>
      <c r="F3503" s="151" t="s">
        <v>2013</v>
      </c>
      <c r="G3503" s="151" t="s">
        <v>2722</v>
      </c>
      <c r="H3503" s="156">
        <v>2</v>
      </c>
      <c r="I3503" s="5" t="str">
        <f>VLOOKUP(F3503,'Set up'!$A$2:$C$100,3,FALSE)</f>
        <v>Cash</v>
      </c>
      <c r="J3503" s="5">
        <f>VLOOKUP(F3503,'Set up'!$A$2:$D$100,4,FALSE)</f>
        <v>0</v>
      </c>
      <c r="K3503" s="4">
        <f t="shared" si="964"/>
        <v>45643</v>
      </c>
      <c r="L3503" s="5">
        <f t="shared" si="965"/>
        <v>12</v>
      </c>
      <c r="M3503" s="5">
        <f t="shared" si="966"/>
        <v>2024</v>
      </c>
      <c r="N3503" s="153">
        <v>125</v>
      </c>
      <c r="O3503" s="12"/>
      <c r="P3503" s="12">
        <f t="shared" si="967"/>
        <v>125</v>
      </c>
      <c r="Q3503" s="7">
        <f t="shared" si="968"/>
        <v>5765983.9500000002</v>
      </c>
      <c r="R3503" s="44" t="str">
        <f>VLOOKUP(F3503,'Set up'!$A$2:$E$100,5,FALSE)</f>
        <v>Trsf</v>
      </c>
    </row>
    <row r="3504" spans="1:18" ht="16.2" customHeight="1" x14ac:dyDescent="0.3">
      <c r="A3504" s="149" t="s">
        <v>3051</v>
      </c>
      <c r="B3504" s="5">
        <f t="shared" si="962"/>
        <v>12</v>
      </c>
      <c r="C3504" s="5">
        <f t="shared" si="963"/>
        <v>2024</v>
      </c>
      <c r="D3504" s="150" t="s">
        <v>3030</v>
      </c>
      <c r="E3504" s="5" t="str">
        <f>VLOOKUP(F3504,'Set up'!$A$2:$C$100,2,FALSE)</f>
        <v>C00000042</v>
      </c>
      <c r="F3504" s="151" t="s">
        <v>2013</v>
      </c>
      <c r="G3504" s="151" t="s">
        <v>3003</v>
      </c>
      <c r="H3504" s="156">
        <v>3</v>
      </c>
      <c r="I3504" s="5" t="str">
        <f>VLOOKUP(F3504,'Set up'!$A$2:$C$100,3,FALSE)</f>
        <v>Cash</v>
      </c>
      <c r="J3504" s="5">
        <f>VLOOKUP(F3504,'Set up'!$A$2:$D$100,4,FALSE)</f>
        <v>0</v>
      </c>
      <c r="K3504" s="4">
        <f t="shared" si="964"/>
        <v>45643</v>
      </c>
      <c r="L3504" s="5">
        <f t="shared" si="965"/>
        <v>12</v>
      </c>
      <c r="M3504" s="5">
        <f t="shared" si="966"/>
        <v>2024</v>
      </c>
      <c r="N3504" s="153">
        <v>4860</v>
      </c>
      <c r="O3504" s="12"/>
      <c r="P3504" s="12">
        <f t="shared" si="967"/>
        <v>4860</v>
      </c>
      <c r="Q3504" s="7">
        <f t="shared" si="968"/>
        <v>5770843.9500000002</v>
      </c>
      <c r="R3504" s="44" t="str">
        <f>VLOOKUP(F3504,'Set up'!$A$2:$E$100,5,FALSE)</f>
        <v>Trsf</v>
      </c>
    </row>
    <row r="3505" spans="1:18" ht="16.2" customHeight="1" x14ac:dyDescent="0.3">
      <c r="A3505" s="149" t="s">
        <v>3051</v>
      </c>
      <c r="B3505" s="5">
        <f t="shared" si="962"/>
        <v>12</v>
      </c>
      <c r="C3505" s="5">
        <f t="shared" si="963"/>
        <v>2024</v>
      </c>
      <c r="D3505" s="150" t="s">
        <v>3030</v>
      </c>
      <c r="E3505" s="5" t="str">
        <f>VLOOKUP(F3505,'Set up'!$A$2:$C$100,2,FALSE)</f>
        <v>C00000042</v>
      </c>
      <c r="F3505" s="151" t="s">
        <v>2013</v>
      </c>
      <c r="G3505" s="151" t="s">
        <v>3062</v>
      </c>
      <c r="H3505" s="156">
        <v>10</v>
      </c>
      <c r="I3505" s="5" t="str">
        <f>VLOOKUP(F3505,'Set up'!$A$2:$C$100,3,FALSE)</f>
        <v>Cash</v>
      </c>
      <c r="J3505" s="5">
        <f>VLOOKUP(F3505,'Set up'!$A$2:$D$100,4,FALSE)</f>
        <v>0</v>
      </c>
      <c r="K3505" s="4">
        <f t="shared" si="964"/>
        <v>45643</v>
      </c>
      <c r="L3505" s="5">
        <f t="shared" si="965"/>
        <v>12</v>
      </c>
      <c r="M3505" s="5">
        <f t="shared" si="966"/>
        <v>2024</v>
      </c>
      <c r="N3505" s="153">
        <v>1740</v>
      </c>
      <c r="O3505" s="12"/>
      <c r="P3505" s="12">
        <f t="shared" si="967"/>
        <v>1740</v>
      </c>
      <c r="Q3505" s="7">
        <f t="shared" si="968"/>
        <v>5772583.9500000002</v>
      </c>
      <c r="R3505" s="44" t="str">
        <f>VLOOKUP(F3505,'Set up'!$A$2:$E$100,5,FALSE)</f>
        <v>Trsf</v>
      </c>
    </row>
    <row r="3506" spans="1:18" ht="16.2" customHeight="1" x14ac:dyDescent="0.3">
      <c r="A3506" s="149" t="s">
        <v>3051</v>
      </c>
      <c r="B3506" s="5">
        <f t="shared" si="962"/>
        <v>12</v>
      </c>
      <c r="C3506" s="5">
        <f t="shared" si="963"/>
        <v>2024</v>
      </c>
      <c r="D3506" s="150" t="s">
        <v>3030</v>
      </c>
      <c r="E3506" s="5" t="str">
        <f>VLOOKUP(F3506,'Set up'!$A$2:$C$100,2,FALSE)</f>
        <v>C00000042</v>
      </c>
      <c r="F3506" s="151" t="s">
        <v>2013</v>
      </c>
      <c r="G3506" s="151" t="s">
        <v>1923</v>
      </c>
      <c r="H3506" s="156">
        <v>4</v>
      </c>
      <c r="I3506" s="5" t="str">
        <f>VLOOKUP(F3506,'Set up'!$A$2:$C$100,3,FALSE)</f>
        <v>Cash</v>
      </c>
      <c r="J3506" s="5">
        <f>VLOOKUP(F3506,'Set up'!$A$2:$D$100,4,FALSE)</f>
        <v>0</v>
      </c>
      <c r="K3506" s="4">
        <f t="shared" si="964"/>
        <v>45643</v>
      </c>
      <c r="L3506" s="5">
        <f t="shared" si="965"/>
        <v>12</v>
      </c>
      <c r="M3506" s="5">
        <f t="shared" si="966"/>
        <v>2024</v>
      </c>
      <c r="N3506" s="153">
        <v>954</v>
      </c>
      <c r="O3506" s="12"/>
      <c r="P3506" s="12">
        <f t="shared" si="967"/>
        <v>954</v>
      </c>
      <c r="Q3506" s="7">
        <f t="shared" si="968"/>
        <v>5773537.9500000002</v>
      </c>
      <c r="R3506" s="44" t="str">
        <f>VLOOKUP(F3506,'Set up'!$A$2:$E$100,5,FALSE)</f>
        <v>Trsf</v>
      </c>
    </row>
    <row r="3507" spans="1:18" ht="16.2" customHeight="1" x14ac:dyDescent="0.3">
      <c r="A3507" s="149" t="s">
        <v>3051</v>
      </c>
      <c r="B3507" s="5">
        <f t="shared" si="962"/>
        <v>12</v>
      </c>
      <c r="C3507" s="5">
        <f t="shared" si="963"/>
        <v>2024</v>
      </c>
      <c r="D3507" s="150" t="s">
        <v>3030</v>
      </c>
      <c r="E3507" s="5" t="str">
        <f>VLOOKUP(F3507,'Set up'!$A$2:$C$100,2,FALSE)</f>
        <v>C00000042</v>
      </c>
      <c r="F3507" s="151" t="s">
        <v>2013</v>
      </c>
      <c r="G3507" s="151" t="s">
        <v>46</v>
      </c>
      <c r="H3507" s="156">
        <v>4</v>
      </c>
      <c r="I3507" s="5" t="str">
        <f>VLOOKUP(F3507,'Set up'!$A$2:$C$100,3,FALSE)</f>
        <v>Cash</v>
      </c>
      <c r="J3507" s="5">
        <f>VLOOKUP(F3507,'Set up'!$A$2:$D$100,4,FALSE)</f>
        <v>0</v>
      </c>
      <c r="K3507" s="4">
        <f t="shared" si="964"/>
        <v>45643</v>
      </c>
      <c r="L3507" s="5">
        <f t="shared" si="965"/>
        <v>12</v>
      </c>
      <c r="M3507" s="5">
        <f t="shared" si="966"/>
        <v>2024</v>
      </c>
      <c r="N3507" s="153">
        <v>460</v>
      </c>
      <c r="O3507" s="12"/>
      <c r="P3507" s="12">
        <f t="shared" si="967"/>
        <v>460</v>
      </c>
      <c r="Q3507" s="7">
        <f t="shared" si="968"/>
        <v>5773997.9500000002</v>
      </c>
      <c r="R3507" s="44" t="str">
        <f>VLOOKUP(F3507,'Set up'!$A$2:$E$100,5,FALSE)</f>
        <v>Trsf</v>
      </c>
    </row>
    <row r="3508" spans="1:18" ht="16.2" customHeight="1" x14ac:dyDescent="0.3">
      <c r="A3508" s="149" t="s">
        <v>3051</v>
      </c>
      <c r="B3508" s="5">
        <f t="shared" si="962"/>
        <v>12</v>
      </c>
      <c r="C3508" s="5">
        <f t="shared" si="963"/>
        <v>2024</v>
      </c>
      <c r="D3508" s="150" t="s">
        <v>3030</v>
      </c>
      <c r="E3508" s="5" t="str">
        <f>VLOOKUP(F3508,'Set up'!$A$2:$C$100,2,FALSE)</f>
        <v>C00000042</v>
      </c>
      <c r="F3508" s="151" t="s">
        <v>2013</v>
      </c>
      <c r="G3508" s="151" t="s">
        <v>2826</v>
      </c>
      <c r="H3508" s="156">
        <v>1</v>
      </c>
      <c r="I3508" s="5" t="str">
        <f>VLOOKUP(F3508,'Set up'!$A$2:$C$100,3,FALSE)</f>
        <v>Cash</v>
      </c>
      <c r="J3508" s="5">
        <f>VLOOKUP(F3508,'Set up'!$A$2:$D$100,4,FALSE)</f>
        <v>0</v>
      </c>
      <c r="K3508" s="4">
        <f t="shared" si="964"/>
        <v>45643</v>
      </c>
      <c r="L3508" s="5">
        <f t="shared" si="965"/>
        <v>12</v>
      </c>
      <c r="M3508" s="5">
        <f t="shared" si="966"/>
        <v>2024</v>
      </c>
      <c r="N3508" s="153">
        <v>975</v>
      </c>
      <c r="O3508" s="12"/>
      <c r="P3508" s="12">
        <f t="shared" si="967"/>
        <v>975</v>
      </c>
      <c r="Q3508" s="7">
        <f t="shared" si="968"/>
        <v>5774972.9500000002</v>
      </c>
      <c r="R3508" s="44" t="str">
        <f>VLOOKUP(F3508,'Set up'!$A$2:$E$100,5,FALSE)</f>
        <v>Trsf</v>
      </c>
    </row>
    <row r="3509" spans="1:18" ht="16.2" customHeight="1" x14ac:dyDescent="0.3">
      <c r="A3509" s="149" t="s">
        <v>3052</v>
      </c>
      <c r="B3509" s="5">
        <f t="shared" si="962"/>
        <v>12</v>
      </c>
      <c r="C3509" s="5">
        <f t="shared" si="963"/>
        <v>2024</v>
      </c>
      <c r="D3509" s="150" t="s">
        <v>3031</v>
      </c>
      <c r="E3509" s="5" t="str">
        <f>VLOOKUP(F3509,'Set up'!$A$2:$C$100,2,FALSE)</f>
        <v>C00000019</v>
      </c>
      <c r="F3509" s="151" t="s">
        <v>401</v>
      </c>
      <c r="G3509" s="151" t="s">
        <v>2971</v>
      </c>
      <c r="H3509" s="156">
        <v>1</v>
      </c>
      <c r="I3509" s="5" t="str">
        <f>VLOOKUP(F3509,'Set up'!$A$2:$C$100,3,FALSE)</f>
        <v>Cash</v>
      </c>
      <c r="J3509" s="5">
        <f>VLOOKUP(F3509,'Set up'!$A$2:$D$100,4,FALSE)</f>
        <v>0</v>
      </c>
      <c r="K3509" s="4">
        <f t="shared" si="964"/>
        <v>45645</v>
      </c>
      <c r="L3509" s="5">
        <f t="shared" si="965"/>
        <v>12</v>
      </c>
      <c r="M3509" s="5">
        <f t="shared" si="966"/>
        <v>2024</v>
      </c>
      <c r="N3509" s="153">
        <v>1755</v>
      </c>
      <c r="O3509" s="12"/>
      <c r="P3509" s="12">
        <f t="shared" si="967"/>
        <v>1755</v>
      </c>
      <c r="Q3509" s="7">
        <f t="shared" si="968"/>
        <v>5776727.9500000002</v>
      </c>
      <c r="R3509" s="44" t="str">
        <f>VLOOKUP(F3509,'Set up'!$A$2:$E$100,5,FALSE)</f>
        <v>Trsf</v>
      </c>
    </row>
    <row r="3510" spans="1:18" ht="16.2" customHeight="1" x14ac:dyDescent="0.3">
      <c r="A3510" s="149" t="s">
        <v>3052</v>
      </c>
      <c r="B3510" s="5">
        <f t="shared" si="962"/>
        <v>12</v>
      </c>
      <c r="C3510" s="5">
        <f t="shared" si="963"/>
        <v>2024</v>
      </c>
      <c r="D3510" s="150" t="s">
        <v>3031</v>
      </c>
      <c r="E3510" s="5" t="str">
        <f>VLOOKUP(F3510,'Set up'!$A$2:$C$100,2,FALSE)</f>
        <v>C00000019</v>
      </c>
      <c r="F3510" s="151" t="s">
        <v>401</v>
      </c>
      <c r="G3510" s="151" t="s">
        <v>46</v>
      </c>
      <c r="H3510" s="156">
        <v>1</v>
      </c>
      <c r="I3510" s="5" t="str">
        <f>VLOOKUP(F3510,'Set up'!$A$2:$C$100,3,FALSE)</f>
        <v>Cash</v>
      </c>
      <c r="J3510" s="5">
        <f>VLOOKUP(F3510,'Set up'!$A$2:$D$100,4,FALSE)</f>
        <v>0</v>
      </c>
      <c r="K3510" s="4">
        <f t="shared" si="964"/>
        <v>45645</v>
      </c>
      <c r="L3510" s="5">
        <f t="shared" si="965"/>
        <v>12</v>
      </c>
      <c r="M3510" s="5">
        <f t="shared" si="966"/>
        <v>2024</v>
      </c>
      <c r="N3510" s="153">
        <v>110</v>
      </c>
      <c r="O3510" s="12"/>
      <c r="P3510" s="12">
        <f t="shared" si="967"/>
        <v>110</v>
      </c>
      <c r="Q3510" s="7">
        <f t="shared" si="968"/>
        <v>5776837.9500000002</v>
      </c>
      <c r="R3510" s="44" t="str">
        <f>VLOOKUP(F3510,'Set up'!$A$2:$E$100,5,FALSE)</f>
        <v>Trsf</v>
      </c>
    </row>
    <row r="3511" spans="1:18" ht="16.2" customHeight="1" x14ac:dyDescent="0.3">
      <c r="A3511" s="149" t="s">
        <v>3052</v>
      </c>
      <c r="B3511" s="5">
        <f t="shared" si="962"/>
        <v>12</v>
      </c>
      <c r="C3511" s="5">
        <f t="shared" si="963"/>
        <v>2024</v>
      </c>
      <c r="D3511" s="150" t="s">
        <v>3031</v>
      </c>
      <c r="E3511" s="5" t="str">
        <f>VLOOKUP(F3511,'Set up'!$A$2:$C$100,2,FALSE)</f>
        <v>C00000019</v>
      </c>
      <c r="F3511" s="151" t="s">
        <v>401</v>
      </c>
      <c r="G3511" s="151" t="s">
        <v>2711</v>
      </c>
      <c r="H3511" s="156">
        <v>3</v>
      </c>
      <c r="I3511" s="5" t="str">
        <f>VLOOKUP(F3511,'Set up'!$A$2:$C$100,3,FALSE)</f>
        <v>Cash</v>
      </c>
      <c r="J3511" s="5">
        <f>VLOOKUP(F3511,'Set up'!$A$2:$D$100,4,FALSE)</f>
        <v>0</v>
      </c>
      <c r="K3511" s="4">
        <f t="shared" si="964"/>
        <v>45645</v>
      </c>
      <c r="L3511" s="5">
        <f t="shared" si="965"/>
        <v>12</v>
      </c>
      <c r="M3511" s="5">
        <f t="shared" si="966"/>
        <v>2024</v>
      </c>
      <c r="N3511" s="153">
        <v>187.5</v>
      </c>
      <c r="O3511" s="12"/>
      <c r="P3511" s="12">
        <f t="shared" si="967"/>
        <v>187.5</v>
      </c>
      <c r="Q3511" s="7">
        <f t="shared" si="968"/>
        <v>5777025.4500000002</v>
      </c>
      <c r="R3511" s="44" t="str">
        <f>VLOOKUP(F3511,'Set up'!$A$2:$E$100,5,FALSE)</f>
        <v>Trsf</v>
      </c>
    </row>
    <row r="3512" spans="1:18" ht="16.2" customHeight="1" x14ac:dyDescent="0.3">
      <c r="A3512" s="149" t="s">
        <v>3052</v>
      </c>
      <c r="B3512" s="5">
        <f t="shared" si="962"/>
        <v>12</v>
      </c>
      <c r="C3512" s="5">
        <f t="shared" si="963"/>
        <v>2024</v>
      </c>
      <c r="D3512" s="150" t="s">
        <v>3031</v>
      </c>
      <c r="E3512" s="5" t="str">
        <f>VLOOKUP(F3512,'Set up'!$A$2:$C$100,2,FALSE)</f>
        <v>C00000019</v>
      </c>
      <c r="F3512" s="151" t="s">
        <v>401</v>
      </c>
      <c r="G3512" s="151" t="s">
        <v>895</v>
      </c>
      <c r="H3512" s="156">
        <v>1</v>
      </c>
      <c r="I3512" s="5" t="str">
        <f>VLOOKUP(F3512,'Set up'!$A$2:$C$100,3,FALSE)</f>
        <v>Cash</v>
      </c>
      <c r="J3512" s="5">
        <f>VLOOKUP(F3512,'Set up'!$A$2:$D$100,4,FALSE)</f>
        <v>0</v>
      </c>
      <c r="K3512" s="4">
        <f t="shared" si="964"/>
        <v>45645</v>
      </c>
      <c r="L3512" s="5">
        <f t="shared" si="965"/>
        <v>12</v>
      </c>
      <c r="M3512" s="5">
        <f t="shared" si="966"/>
        <v>2024</v>
      </c>
      <c r="N3512" s="153">
        <v>150</v>
      </c>
      <c r="O3512" s="12"/>
      <c r="P3512" s="12">
        <f t="shared" si="967"/>
        <v>150</v>
      </c>
      <c r="Q3512" s="7">
        <f t="shared" si="968"/>
        <v>5777175.4500000002</v>
      </c>
      <c r="R3512" s="44" t="str">
        <f>VLOOKUP(F3512,'Set up'!$A$2:$E$100,5,FALSE)</f>
        <v>Trsf</v>
      </c>
    </row>
    <row r="3513" spans="1:18" ht="16.2" customHeight="1" x14ac:dyDescent="0.3">
      <c r="A3513" s="149" t="s">
        <v>3053</v>
      </c>
      <c r="B3513" s="5">
        <f t="shared" si="962"/>
        <v>12</v>
      </c>
      <c r="C3513" s="5">
        <f t="shared" si="963"/>
        <v>2024</v>
      </c>
      <c r="D3513" s="150" t="s">
        <v>3032</v>
      </c>
      <c r="E3513" s="5" t="str">
        <f>VLOOKUP(F3513,'Set up'!$A$2:$C$100,2,FALSE)</f>
        <v>C00000044</v>
      </c>
      <c r="F3513" s="151" t="s">
        <v>2959</v>
      </c>
      <c r="G3513" s="151" t="s">
        <v>2643</v>
      </c>
      <c r="H3513" s="156">
        <v>1</v>
      </c>
      <c r="I3513" s="5" t="str">
        <f>VLOOKUP(F3513,'Set up'!$A$2:$C$100,3,FALSE)</f>
        <v>Cash</v>
      </c>
      <c r="J3513" s="5">
        <f>VLOOKUP(F3513,'Set up'!$A$2:$D$100,4,FALSE)</f>
        <v>0</v>
      </c>
      <c r="K3513" s="4">
        <f t="shared" si="964"/>
        <v>45646</v>
      </c>
      <c r="L3513" s="5">
        <f t="shared" si="965"/>
        <v>12</v>
      </c>
      <c r="M3513" s="5">
        <f t="shared" si="966"/>
        <v>2024</v>
      </c>
      <c r="N3513" s="153">
        <v>216</v>
      </c>
      <c r="O3513" s="12"/>
      <c r="P3513" s="12">
        <f t="shared" si="967"/>
        <v>216</v>
      </c>
      <c r="Q3513" s="7">
        <f t="shared" si="968"/>
        <v>5777391.4500000002</v>
      </c>
      <c r="R3513" s="44" t="str">
        <f>VLOOKUP(F3513,'Set up'!$A$2:$E$100,5,FALSE)</f>
        <v>Cash</v>
      </c>
    </row>
    <row r="3514" spans="1:18" ht="16.2" customHeight="1" x14ac:dyDescent="0.3">
      <c r="A3514" s="149" t="s">
        <v>3053</v>
      </c>
      <c r="B3514" s="5">
        <f t="shared" si="962"/>
        <v>12</v>
      </c>
      <c r="C3514" s="5">
        <f t="shared" si="963"/>
        <v>2024</v>
      </c>
      <c r="D3514" s="150" t="s">
        <v>3032</v>
      </c>
      <c r="E3514" s="5" t="str">
        <f>VLOOKUP(F3514,'Set up'!$A$2:$C$100,2,FALSE)</f>
        <v>C00000044</v>
      </c>
      <c r="F3514" s="151" t="s">
        <v>2959</v>
      </c>
      <c r="G3514" s="151" t="s">
        <v>3064</v>
      </c>
      <c r="H3514" s="156">
        <v>5</v>
      </c>
      <c r="I3514" s="5" t="str">
        <f>VLOOKUP(F3514,'Set up'!$A$2:$C$100,3,FALSE)</f>
        <v>Cash</v>
      </c>
      <c r="J3514" s="5">
        <f>VLOOKUP(F3514,'Set up'!$A$2:$D$100,4,FALSE)</f>
        <v>0</v>
      </c>
      <c r="K3514" s="4">
        <f t="shared" si="964"/>
        <v>45646</v>
      </c>
      <c r="L3514" s="5">
        <f t="shared" si="965"/>
        <v>12</v>
      </c>
      <c r="M3514" s="5">
        <f t="shared" si="966"/>
        <v>2024</v>
      </c>
      <c r="N3514" s="153">
        <v>890</v>
      </c>
      <c r="O3514" s="12"/>
      <c r="P3514" s="12">
        <f t="shared" si="967"/>
        <v>890</v>
      </c>
      <c r="Q3514" s="7">
        <f t="shared" si="968"/>
        <v>5778281.4500000002</v>
      </c>
      <c r="R3514" s="44" t="str">
        <f>VLOOKUP(F3514,'Set up'!$A$2:$E$100,5,FALSE)</f>
        <v>Cash</v>
      </c>
    </row>
    <row r="3515" spans="1:18" ht="16.2" customHeight="1" x14ac:dyDescent="0.3">
      <c r="A3515" s="149" t="s">
        <v>3054</v>
      </c>
      <c r="B3515" s="5">
        <f t="shared" si="962"/>
        <v>12</v>
      </c>
      <c r="C3515" s="5">
        <f t="shared" si="963"/>
        <v>2024</v>
      </c>
      <c r="D3515" s="150" t="s">
        <v>3033</v>
      </c>
      <c r="E3515" s="5" t="str">
        <f>VLOOKUP(F3515,'Set up'!$A$2:$C$100,2,FALSE)</f>
        <v>C00000037</v>
      </c>
      <c r="F3515" s="151" t="s">
        <v>1310</v>
      </c>
      <c r="G3515" s="151" t="s">
        <v>2971</v>
      </c>
      <c r="H3515" s="156">
        <v>3</v>
      </c>
      <c r="I3515" s="5">
        <f>VLOOKUP(F3515,'Set up'!$A$2:$C$100,3,FALSE)</f>
        <v>30</v>
      </c>
      <c r="J3515" s="5">
        <f>VLOOKUP(F3515,'Set up'!$A$2:$D$100,4,FALSE)</f>
        <v>30</v>
      </c>
      <c r="K3515" s="4">
        <f t="shared" si="964"/>
        <v>45677</v>
      </c>
      <c r="L3515" s="5">
        <f t="shared" si="965"/>
        <v>1</v>
      </c>
      <c r="M3515" s="5">
        <f t="shared" si="966"/>
        <v>2025</v>
      </c>
      <c r="N3515" s="153">
        <v>5265</v>
      </c>
      <c r="O3515" s="12"/>
      <c r="P3515" s="12">
        <f t="shared" si="967"/>
        <v>5265</v>
      </c>
      <c r="Q3515" s="7">
        <f t="shared" si="968"/>
        <v>5783546.4500000002</v>
      </c>
      <c r="R3515" s="44" t="str">
        <f>VLOOKUP(F3515,'Set up'!$A$2:$E$100,5,FALSE)</f>
        <v>Chq</v>
      </c>
    </row>
    <row r="3516" spans="1:18" ht="16.2" customHeight="1" x14ac:dyDescent="0.3">
      <c r="A3516" s="149" t="s">
        <v>3054</v>
      </c>
      <c r="B3516" s="5">
        <f t="shared" si="962"/>
        <v>12</v>
      </c>
      <c r="C3516" s="5">
        <f t="shared" si="963"/>
        <v>2024</v>
      </c>
      <c r="D3516" s="150" t="s">
        <v>3033</v>
      </c>
      <c r="E3516" s="5" t="str">
        <f>VLOOKUP(F3516,'Set up'!$A$2:$C$100,2,FALSE)</f>
        <v>C00000037</v>
      </c>
      <c r="F3516" s="151" t="s">
        <v>1310</v>
      </c>
      <c r="G3516" s="151" t="s">
        <v>708</v>
      </c>
      <c r="H3516" s="156">
        <v>3</v>
      </c>
      <c r="I3516" s="5">
        <f>VLOOKUP(F3516,'Set up'!$A$2:$C$100,3,FALSE)</f>
        <v>30</v>
      </c>
      <c r="J3516" s="5">
        <f>VLOOKUP(F3516,'Set up'!$A$2:$D$100,4,FALSE)</f>
        <v>30</v>
      </c>
      <c r="K3516" s="4">
        <f t="shared" si="964"/>
        <v>45677</v>
      </c>
      <c r="L3516" s="5">
        <f t="shared" si="965"/>
        <v>1</v>
      </c>
      <c r="M3516" s="5">
        <f t="shared" si="966"/>
        <v>2025</v>
      </c>
      <c r="N3516" s="153">
        <v>1263.5999999999999</v>
      </c>
      <c r="O3516" s="12"/>
      <c r="P3516" s="12">
        <f t="shared" si="967"/>
        <v>1263.5999999999999</v>
      </c>
      <c r="Q3516" s="7">
        <f t="shared" si="968"/>
        <v>5784810.0499999998</v>
      </c>
      <c r="R3516" s="44" t="str">
        <f>VLOOKUP(F3516,'Set up'!$A$2:$E$100,5,FALSE)</f>
        <v>Chq</v>
      </c>
    </row>
    <row r="3517" spans="1:18" ht="16.2" customHeight="1" x14ac:dyDescent="0.3">
      <c r="A3517" s="149" t="s">
        <v>3054</v>
      </c>
      <c r="B3517" s="5">
        <f t="shared" si="962"/>
        <v>12</v>
      </c>
      <c r="C3517" s="5">
        <f t="shared" si="963"/>
        <v>2024</v>
      </c>
      <c r="D3517" s="150" t="s">
        <v>3033</v>
      </c>
      <c r="E3517" s="5" t="str">
        <f>VLOOKUP(F3517,'Set up'!$A$2:$C$100,2,FALSE)</f>
        <v>C00000037</v>
      </c>
      <c r="F3517" s="151" t="s">
        <v>1310</v>
      </c>
      <c r="G3517" s="151" t="s">
        <v>2629</v>
      </c>
      <c r="H3517" s="156">
        <v>2</v>
      </c>
      <c r="I3517" s="5">
        <f>VLOOKUP(F3517,'Set up'!$A$2:$C$100,3,FALSE)</f>
        <v>30</v>
      </c>
      <c r="J3517" s="5">
        <f>VLOOKUP(F3517,'Set up'!$A$2:$D$100,4,FALSE)</f>
        <v>30</v>
      </c>
      <c r="K3517" s="4">
        <f t="shared" si="964"/>
        <v>45677</v>
      </c>
      <c r="L3517" s="5">
        <f t="shared" si="965"/>
        <v>1</v>
      </c>
      <c r="M3517" s="5">
        <f t="shared" si="966"/>
        <v>2025</v>
      </c>
      <c r="N3517" s="153">
        <v>842.4</v>
      </c>
      <c r="O3517" s="12"/>
      <c r="P3517" s="12">
        <f t="shared" si="967"/>
        <v>842.4</v>
      </c>
      <c r="Q3517" s="7">
        <f t="shared" si="968"/>
        <v>5785652.4500000002</v>
      </c>
      <c r="R3517" s="44" t="str">
        <f>VLOOKUP(F3517,'Set up'!$A$2:$E$100,5,FALSE)</f>
        <v>Chq</v>
      </c>
    </row>
    <row r="3518" spans="1:18" ht="16.2" customHeight="1" x14ac:dyDescent="0.3">
      <c r="A3518" s="149" t="s">
        <v>3054</v>
      </c>
      <c r="B3518" s="5">
        <f t="shared" si="962"/>
        <v>12</v>
      </c>
      <c r="C3518" s="5">
        <f t="shared" si="963"/>
        <v>2024</v>
      </c>
      <c r="D3518" s="150" t="s">
        <v>3033</v>
      </c>
      <c r="E3518" s="5" t="str">
        <f>VLOOKUP(F3518,'Set up'!$A$2:$C$100,2,FALSE)</f>
        <v>C00000037</v>
      </c>
      <c r="F3518" s="151" t="s">
        <v>1310</v>
      </c>
      <c r="G3518" s="151" t="s">
        <v>1406</v>
      </c>
      <c r="H3518" s="156">
        <v>5</v>
      </c>
      <c r="I3518" s="5">
        <f>VLOOKUP(F3518,'Set up'!$A$2:$C$100,3,FALSE)</f>
        <v>30</v>
      </c>
      <c r="J3518" s="5">
        <f>VLOOKUP(F3518,'Set up'!$A$2:$D$100,4,FALSE)</f>
        <v>30</v>
      </c>
      <c r="K3518" s="4">
        <f t="shared" si="964"/>
        <v>45677</v>
      </c>
      <c r="L3518" s="5">
        <f t="shared" si="965"/>
        <v>1</v>
      </c>
      <c r="M3518" s="5">
        <f t="shared" si="966"/>
        <v>2025</v>
      </c>
      <c r="N3518" s="153">
        <v>240</v>
      </c>
      <c r="O3518" s="12"/>
      <c r="P3518" s="12">
        <f t="shared" si="967"/>
        <v>240</v>
      </c>
      <c r="Q3518" s="7">
        <f t="shared" si="968"/>
        <v>5785892.4500000002</v>
      </c>
      <c r="R3518" s="44" t="str">
        <f>VLOOKUP(F3518,'Set up'!$A$2:$E$100,5,FALSE)</f>
        <v>Chq</v>
      </c>
    </row>
    <row r="3519" spans="1:18" ht="16.2" customHeight="1" x14ac:dyDescent="0.3">
      <c r="A3519" s="149" t="s">
        <v>3054</v>
      </c>
      <c r="B3519" s="5">
        <f t="shared" si="962"/>
        <v>12</v>
      </c>
      <c r="C3519" s="5">
        <f t="shared" si="963"/>
        <v>2024</v>
      </c>
      <c r="D3519" s="150" t="s">
        <v>3033</v>
      </c>
      <c r="E3519" s="5" t="str">
        <f>VLOOKUP(F3519,'Set up'!$A$2:$C$100,2,FALSE)</f>
        <v>C00000037</v>
      </c>
      <c r="F3519" s="151" t="s">
        <v>1310</v>
      </c>
      <c r="G3519" s="151" t="s">
        <v>2722</v>
      </c>
      <c r="H3519" s="156">
        <v>3</v>
      </c>
      <c r="I3519" s="5">
        <f>VLOOKUP(F3519,'Set up'!$A$2:$C$100,3,FALSE)</f>
        <v>30</v>
      </c>
      <c r="J3519" s="5">
        <f>VLOOKUP(F3519,'Set up'!$A$2:$D$100,4,FALSE)</f>
        <v>30</v>
      </c>
      <c r="K3519" s="4">
        <f t="shared" si="964"/>
        <v>45677</v>
      </c>
      <c r="L3519" s="5">
        <f t="shared" si="965"/>
        <v>1</v>
      </c>
      <c r="M3519" s="5">
        <f t="shared" si="966"/>
        <v>2025</v>
      </c>
      <c r="N3519" s="153">
        <v>187.5</v>
      </c>
      <c r="O3519" s="12"/>
      <c r="P3519" s="12">
        <f t="shared" si="967"/>
        <v>187.5</v>
      </c>
      <c r="Q3519" s="7">
        <f t="shared" si="968"/>
        <v>5786079.9500000002</v>
      </c>
      <c r="R3519" s="44" t="str">
        <f>VLOOKUP(F3519,'Set up'!$A$2:$E$100,5,FALSE)</f>
        <v>Chq</v>
      </c>
    </row>
    <row r="3520" spans="1:18" ht="16.2" customHeight="1" x14ac:dyDescent="0.3">
      <c r="A3520" s="149" t="s">
        <v>3054</v>
      </c>
      <c r="B3520" s="5">
        <f t="shared" si="962"/>
        <v>12</v>
      </c>
      <c r="C3520" s="5">
        <f t="shared" si="963"/>
        <v>2024</v>
      </c>
      <c r="D3520" s="150" t="s">
        <v>3033</v>
      </c>
      <c r="E3520" s="5" t="str">
        <f>VLOOKUP(F3520,'Set up'!$A$2:$C$100,2,FALSE)</f>
        <v>C00000037</v>
      </c>
      <c r="F3520" s="151" t="s">
        <v>1310</v>
      </c>
      <c r="G3520" s="151" t="s">
        <v>1062</v>
      </c>
      <c r="H3520" s="156">
        <v>1</v>
      </c>
      <c r="I3520" s="5">
        <f>VLOOKUP(F3520,'Set up'!$A$2:$C$100,3,FALSE)</f>
        <v>30</v>
      </c>
      <c r="J3520" s="5">
        <f>VLOOKUP(F3520,'Set up'!$A$2:$D$100,4,FALSE)</f>
        <v>30</v>
      </c>
      <c r="K3520" s="4">
        <f t="shared" si="964"/>
        <v>45677</v>
      </c>
      <c r="L3520" s="5">
        <f t="shared" si="965"/>
        <v>1</v>
      </c>
      <c r="M3520" s="5">
        <f t="shared" si="966"/>
        <v>2025</v>
      </c>
      <c r="N3520" s="153">
        <v>95</v>
      </c>
      <c r="O3520" s="12"/>
      <c r="P3520" s="12">
        <f t="shared" si="967"/>
        <v>95</v>
      </c>
      <c r="Q3520" s="7">
        <f t="shared" si="968"/>
        <v>5786174.9500000002</v>
      </c>
      <c r="R3520" s="44" t="str">
        <f>VLOOKUP(F3520,'Set up'!$A$2:$E$100,5,FALSE)</f>
        <v>Chq</v>
      </c>
    </row>
    <row r="3521" spans="1:18" ht="16.2" customHeight="1" x14ac:dyDescent="0.3">
      <c r="A3521" s="149" t="s">
        <v>3054</v>
      </c>
      <c r="B3521" s="5">
        <f t="shared" si="962"/>
        <v>12</v>
      </c>
      <c r="C3521" s="5">
        <f t="shared" si="963"/>
        <v>2024</v>
      </c>
      <c r="D3521" s="150" t="s">
        <v>3033</v>
      </c>
      <c r="E3521" s="5" t="str">
        <f>VLOOKUP(F3521,'Set up'!$A$2:$C$100,2,FALSE)</f>
        <v>C00000037</v>
      </c>
      <c r="F3521" s="151" t="s">
        <v>1310</v>
      </c>
      <c r="G3521" s="151" t="s">
        <v>2215</v>
      </c>
      <c r="H3521" s="156">
        <v>2</v>
      </c>
      <c r="I3521" s="5">
        <f>VLOOKUP(F3521,'Set up'!$A$2:$C$100,3,FALSE)</f>
        <v>30</v>
      </c>
      <c r="J3521" s="5">
        <f>VLOOKUP(F3521,'Set up'!$A$2:$D$100,4,FALSE)</f>
        <v>30</v>
      </c>
      <c r="K3521" s="4">
        <f t="shared" si="964"/>
        <v>45677</v>
      </c>
      <c r="L3521" s="5">
        <f t="shared" si="965"/>
        <v>1</v>
      </c>
      <c r="M3521" s="5">
        <f t="shared" si="966"/>
        <v>2025</v>
      </c>
      <c r="N3521" s="153">
        <v>572</v>
      </c>
      <c r="O3521" s="12"/>
      <c r="P3521" s="12">
        <f t="shared" si="967"/>
        <v>572</v>
      </c>
      <c r="Q3521" s="7">
        <f t="shared" si="968"/>
        <v>5786746.9500000002</v>
      </c>
      <c r="R3521" s="44" t="str">
        <f>VLOOKUP(F3521,'Set up'!$A$2:$E$100,5,FALSE)</f>
        <v>Chq</v>
      </c>
    </row>
    <row r="3522" spans="1:18" ht="16.2" customHeight="1" x14ac:dyDescent="0.3">
      <c r="A3522" s="149" t="s">
        <v>3054</v>
      </c>
      <c r="B3522" s="5">
        <f t="shared" si="962"/>
        <v>12</v>
      </c>
      <c r="C3522" s="5">
        <f t="shared" si="963"/>
        <v>2024</v>
      </c>
      <c r="D3522" s="150" t="s">
        <v>3033</v>
      </c>
      <c r="E3522" s="5" t="str">
        <f>VLOOKUP(F3522,'Set up'!$A$2:$C$100,2,FALSE)</f>
        <v>C00000037</v>
      </c>
      <c r="F3522" s="151" t="s">
        <v>1310</v>
      </c>
      <c r="G3522" s="151" t="s">
        <v>3065</v>
      </c>
      <c r="H3522" s="156">
        <v>1</v>
      </c>
      <c r="I3522" s="5">
        <f>VLOOKUP(F3522,'Set up'!$A$2:$C$100,3,FALSE)</f>
        <v>30</v>
      </c>
      <c r="J3522" s="5">
        <f>VLOOKUP(F3522,'Set up'!$A$2:$D$100,4,FALSE)</f>
        <v>30</v>
      </c>
      <c r="K3522" s="4">
        <f t="shared" si="964"/>
        <v>45677</v>
      </c>
      <c r="L3522" s="5">
        <f t="shared" si="965"/>
        <v>1</v>
      </c>
      <c r="M3522" s="5">
        <f t="shared" si="966"/>
        <v>2025</v>
      </c>
      <c r="N3522" s="153">
        <v>930</v>
      </c>
      <c r="O3522" s="12"/>
      <c r="P3522" s="12">
        <f t="shared" si="967"/>
        <v>930</v>
      </c>
      <c r="Q3522" s="7">
        <f t="shared" si="968"/>
        <v>5787676.9500000002</v>
      </c>
      <c r="R3522" s="44" t="str">
        <f>VLOOKUP(F3522,'Set up'!$A$2:$E$100,5,FALSE)</f>
        <v>Chq</v>
      </c>
    </row>
    <row r="3523" spans="1:18" ht="16.2" customHeight="1" x14ac:dyDescent="0.3">
      <c r="A3523" s="149" t="s">
        <v>3055</v>
      </c>
      <c r="B3523" s="5">
        <f t="shared" si="962"/>
        <v>12</v>
      </c>
      <c r="C3523" s="5">
        <f t="shared" si="963"/>
        <v>2024</v>
      </c>
      <c r="D3523" s="150" t="s">
        <v>3034</v>
      </c>
      <c r="E3523" s="5" t="str">
        <f>VLOOKUP(F3523,'Set up'!$A$2:$C$100,2,FALSE)</f>
        <v>C00000050</v>
      </c>
      <c r="F3523" s="151" t="s">
        <v>2732</v>
      </c>
      <c r="G3523" s="151" t="s">
        <v>2971</v>
      </c>
      <c r="H3523" s="156">
        <v>1</v>
      </c>
      <c r="I3523" s="5" t="str">
        <f>VLOOKUP(F3523,'Set up'!$A$2:$C$100,3,FALSE)</f>
        <v>Cash</v>
      </c>
      <c r="J3523" s="5">
        <f>VLOOKUP(F3523,'Set up'!$A$2:$D$100,4,FALSE)</f>
        <v>0</v>
      </c>
      <c r="K3523" s="4">
        <f t="shared" si="964"/>
        <v>45649</v>
      </c>
      <c r="L3523" s="5">
        <f t="shared" si="965"/>
        <v>12</v>
      </c>
      <c r="M3523" s="5">
        <f t="shared" si="966"/>
        <v>2024</v>
      </c>
      <c r="N3523" s="153">
        <v>1755</v>
      </c>
      <c r="O3523" s="12"/>
      <c r="P3523" s="12">
        <f t="shared" si="967"/>
        <v>1755</v>
      </c>
      <c r="Q3523" s="7">
        <f t="shared" si="968"/>
        <v>5789431.9500000002</v>
      </c>
      <c r="R3523" s="44" t="str">
        <f>VLOOKUP(F3523,'Set up'!$A$2:$E$100,5,FALSE)</f>
        <v>Cash</v>
      </c>
    </row>
    <row r="3524" spans="1:18" ht="16.2" customHeight="1" x14ac:dyDescent="0.3">
      <c r="A3524" s="149" t="s">
        <v>3055</v>
      </c>
      <c r="B3524" s="5">
        <f t="shared" si="962"/>
        <v>12</v>
      </c>
      <c r="C3524" s="5">
        <f t="shared" si="963"/>
        <v>2024</v>
      </c>
      <c r="D3524" s="150" t="s">
        <v>3034</v>
      </c>
      <c r="E3524" s="5" t="str">
        <f>VLOOKUP(F3524,'Set up'!$A$2:$C$100,2,FALSE)</f>
        <v>C00000050</v>
      </c>
      <c r="F3524" s="151" t="s">
        <v>2732</v>
      </c>
      <c r="G3524" s="151" t="s">
        <v>2199</v>
      </c>
      <c r="H3524" s="156">
        <v>3</v>
      </c>
      <c r="I3524" s="5" t="str">
        <f>VLOOKUP(F3524,'Set up'!$A$2:$C$100,3,FALSE)</f>
        <v>Cash</v>
      </c>
      <c r="J3524" s="5">
        <f>VLOOKUP(F3524,'Set up'!$A$2:$D$100,4,FALSE)</f>
        <v>0</v>
      </c>
      <c r="K3524" s="4">
        <f t="shared" si="964"/>
        <v>45649</v>
      </c>
      <c r="L3524" s="5">
        <f t="shared" si="965"/>
        <v>12</v>
      </c>
      <c r="M3524" s="5">
        <f t="shared" si="966"/>
        <v>2024</v>
      </c>
      <c r="N3524" s="153">
        <v>832.5</v>
      </c>
      <c r="O3524" s="12"/>
      <c r="P3524" s="12">
        <f t="shared" si="967"/>
        <v>832.5</v>
      </c>
      <c r="Q3524" s="7">
        <f t="shared" si="968"/>
        <v>5790264.4500000002</v>
      </c>
      <c r="R3524" s="44" t="str">
        <f>VLOOKUP(F3524,'Set up'!$A$2:$E$100,5,FALSE)</f>
        <v>Cash</v>
      </c>
    </row>
    <row r="3525" spans="1:18" ht="16.2" customHeight="1" x14ac:dyDescent="0.3">
      <c r="A3525" s="149" t="s">
        <v>3055</v>
      </c>
      <c r="B3525" s="5">
        <f t="shared" si="962"/>
        <v>12</v>
      </c>
      <c r="C3525" s="5">
        <f t="shared" si="963"/>
        <v>2024</v>
      </c>
      <c r="D3525" s="150" t="s">
        <v>3034</v>
      </c>
      <c r="E3525" s="5" t="str">
        <f>VLOOKUP(F3525,'Set up'!$A$2:$C$100,2,FALSE)</f>
        <v>C00000050</v>
      </c>
      <c r="F3525" s="151" t="s">
        <v>2732</v>
      </c>
      <c r="G3525" s="151" t="s">
        <v>1062</v>
      </c>
      <c r="H3525" s="156">
        <v>1</v>
      </c>
      <c r="I3525" s="5" t="str">
        <f>VLOOKUP(F3525,'Set up'!$A$2:$C$100,3,FALSE)</f>
        <v>Cash</v>
      </c>
      <c r="J3525" s="5">
        <f>VLOOKUP(F3525,'Set up'!$A$2:$D$100,4,FALSE)</f>
        <v>0</v>
      </c>
      <c r="K3525" s="4">
        <f t="shared" si="964"/>
        <v>45649</v>
      </c>
      <c r="L3525" s="5">
        <f t="shared" si="965"/>
        <v>12</v>
      </c>
      <c r="M3525" s="5">
        <f t="shared" si="966"/>
        <v>2024</v>
      </c>
      <c r="N3525" s="153">
        <v>95</v>
      </c>
      <c r="O3525" s="12"/>
      <c r="P3525" s="12">
        <f t="shared" si="967"/>
        <v>95</v>
      </c>
      <c r="Q3525" s="7">
        <f t="shared" si="968"/>
        <v>5790359.4500000002</v>
      </c>
      <c r="R3525" s="44" t="str">
        <f>VLOOKUP(F3525,'Set up'!$A$2:$E$100,5,FALSE)</f>
        <v>Cash</v>
      </c>
    </row>
    <row r="3526" spans="1:18" ht="16.2" customHeight="1" x14ac:dyDescent="0.3">
      <c r="A3526" s="149" t="s">
        <v>3055</v>
      </c>
      <c r="B3526" s="5">
        <f t="shared" si="962"/>
        <v>12</v>
      </c>
      <c r="C3526" s="5">
        <f t="shared" si="963"/>
        <v>2024</v>
      </c>
      <c r="D3526" s="150" t="s">
        <v>3034</v>
      </c>
      <c r="E3526" s="5" t="str">
        <f>VLOOKUP(F3526,'Set up'!$A$2:$C$100,2,FALSE)</f>
        <v>C00000050</v>
      </c>
      <c r="F3526" s="151" t="s">
        <v>2732</v>
      </c>
      <c r="G3526" s="151" t="s">
        <v>3066</v>
      </c>
      <c r="H3526" s="156">
        <v>1</v>
      </c>
      <c r="I3526" s="5" t="str">
        <f>VLOOKUP(F3526,'Set up'!$A$2:$C$100,3,FALSE)</f>
        <v>Cash</v>
      </c>
      <c r="J3526" s="5">
        <f>VLOOKUP(F3526,'Set up'!$A$2:$D$100,4,FALSE)</f>
        <v>0</v>
      </c>
      <c r="K3526" s="4">
        <f t="shared" si="964"/>
        <v>45649</v>
      </c>
      <c r="L3526" s="5">
        <f t="shared" si="965"/>
        <v>12</v>
      </c>
      <c r="M3526" s="5">
        <f t="shared" si="966"/>
        <v>2024</v>
      </c>
      <c r="N3526" s="153">
        <v>155</v>
      </c>
      <c r="O3526" s="12"/>
      <c r="P3526" s="12">
        <f t="shared" si="967"/>
        <v>155</v>
      </c>
      <c r="Q3526" s="7">
        <f t="shared" si="968"/>
        <v>5790514.4500000002</v>
      </c>
      <c r="R3526" s="44" t="str">
        <f>VLOOKUP(F3526,'Set up'!$A$2:$E$100,5,FALSE)</f>
        <v>Cash</v>
      </c>
    </row>
    <row r="3527" spans="1:18" ht="16.2" customHeight="1" x14ac:dyDescent="0.3">
      <c r="A3527" s="149" t="s">
        <v>3056</v>
      </c>
      <c r="B3527" s="5">
        <f t="shared" si="962"/>
        <v>12</v>
      </c>
      <c r="C3527" s="5">
        <f t="shared" si="963"/>
        <v>2024</v>
      </c>
      <c r="D3527" s="150" t="s">
        <v>3035</v>
      </c>
      <c r="E3527" s="5" t="str">
        <f>VLOOKUP(F3527,'Set up'!$A$2:$C$100,2,FALSE)</f>
        <v>C00000042</v>
      </c>
      <c r="F3527" s="151" t="s">
        <v>2013</v>
      </c>
      <c r="G3527" s="151" t="s">
        <v>2722</v>
      </c>
      <c r="H3527" s="156">
        <v>5</v>
      </c>
      <c r="I3527" s="5" t="str">
        <f>VLOOKUP(F3527,'Set up'!$A$2:$C$100,3,FALSE)</f>
        <v>Cash</v>
      </c>
      <c r="J3527" s="5">
        <f>VLOOKUP(F3527,'Set up'!$A$2:$D$100,4,FALSE)</f>
        <v>0</v>
      </c>
      <c r="K3527" s="4">
        <f t="shared" si="964"/>
        <v>45650</v>
      </c>
      <c r="L3527" s="5">
        <f t="shared" si="965"/>
        <v>12</v>
      </c>
      <c r="M3527" s="5">
        <f t="shared" si="966"/>
        <v>2024</v>
      </c>
      <c r="N3527" s="153">
        <v>312.5</v>
      </c>
      <c r="O3527" s="12"/>
      <c r="P3527" s="12">
        <f t="shared" si="967"/>
        <v>312.5</v>
      </c>
      <c r="Q3527" s="7">
        <f t="shared" si="968"/>
        <v>5790826.9500000002</v>
      </c>
      <c r="R3527" s="44" t="str">
        <f>VLOOKUP(F3527,'Set up'!$A$2:$E$100,5,FALSE)</f>
        <v>Trsf</v>
      </c>
    </row>
    <row r="3528" spans="1:18" ht="16.2" customHeight="1" x14ac:dyDescent="0.3">
      <c r="A3528" s="149" t="s">
        <v>3056</v>
      </c>
      <c r="B3528" s="5">
        <f t="shared" si="962"/>
        <v>12</v>
      </c>
      <c r="C3528" s="5">
        <f t="shared" si="963"/>
        <v>2024</v>
      </c>
      <c r="D3528" s="150" t="s">
        <v>3036</v>
      </c>
      <c r="E3528" s="5" t="str">
        <f>VLOOKUP(F3528,'Set up'!$A$2:$C$100,2,FALSE)</f>
        <v>C00000042</v>
      </c>
      <c r="F3528" s="151" t="s">
        <v>2013</v>
      </c>
      <c r="G3528" s="151" t="s">
        <v>3003</v>
      </c>
      <c r="H3528" s="156">
        <v>5</v>
      </c>
      <c r="I3528" s="5" t="str">
        <f>VLOOKUP(F3528,'Set up'!$A$2:$C$100,3,FALSE)</f>
        <v>Cash</v>
      </c>
      <c r="J3528" s="5">
        <f>VLOOKUP(F3528,'Set up'!$A$2:$D$100,4,FALSE)</f>
        <v>0</v>
      </c>
      <c r="K3528" s="4">
        <f t="shared" si="964"/>
        <v>45650</v>
      </c>
      <c r="L3528" s="5">
        <f t="shared" si="965"/>
        <v>12</v>
      </c>
      <c r="M3528" s="5">
        <f t="shared" si="966"/>
        <v>2024</v>
      </c>
      <c r="N3528" s="153">
        <v>8100</v>
      </c>
      <c r="O3528" s="12"/>
      <c r="P3528" s="12">
        <f t="shared" si="967"/>
        <v>8100</v>
      </c>
      <c r="Q3528" s="7">
        <f t="shared" si="968"/>
        <v>5798926.9500000002</v>
      </c>
      <c r="R3528" s="44" t="str">
        <f>VLOOKUP(F3528,'Set up'!$A$2:$E$100,5,FALSE)</f>
        <v>Trsf</v>
      </c>
    </row>
    <row r="3529" spans="1:18" ht="16.2" customHeight="1" x14ac:dyDescent="0.3">
      <c r="A3529" s="149" t="s">
        <v>3056</v>
      </c>
      <c r="B3529" s="5">
        <f t="shared" si="962"/>
        <v>12</v>
      </c>
      <c r="C3529" s="5">
        <f t="shared" si="963"/>
        <v>2024</v>
      </c>
      <c r="D3529" s="150" t="s">
        <v>3036</v>
      </c>
      <c r="E3529" s="5" t="str">
        <f>VLOOKUP(F3529,'Set up'!$A$2:$C$100,2,FALSE)</f>
        <v>C00000042</v>
      </c>
      <c r="F3529" s="151" t="s">
        <v>2013</v>
      </c>
      <c r="G3529" s="151" t="s">
        <v>3062</v>
      </c>
      <c r="H3529" s="156">
        <v>15</v>
      </c>
      <c r="I3529" s="5" t="str">
        <f>VLOOKUP(F3529,'Set up'!$A$2:$C$100,3,FALSE)</f>
        <v>Cash</v>
      </c>
      <c r="J3529" s="5">
        <f>VLOOKUP(F3529,'Set up'!$A$2:$D$100,4,FALSE)</f>
        <v>0</v>
      </c>
      <c r="K3529" s="4">
        <f t="shared" si="964"/>
        <v>45650</v>
      </c>
      <c r="L3529" s="5">
        <f t="shared" si="965"/>
        <v>12</v>
      </c>
      <c r="M3529" s="5">
        <f t="shared" si="966"/>
        <v>2024</v>
      </c>
      <c r="N3529" s="153">
        <v>2610</v>
      </c>
      <c r="O3529" s="12"/>
      <c r="P3529" s="12">
        <f t="shared" si="967"/>
        <v>2610</v>
      </c>
      <c r="Q3529" s="7">
        <f t="shared" si="968"/>
        <v>5801536.9500000002</v>
      </c>
      <c r="R3529" s="44" t="str">
        <f>VLOOKUP(F3529,'Set up'!$A$2:$E$100,5,FALSE)</f>
        <v>Trsf</v>
      </c>
    </row>
    <row r="3530" spans="1:18" ht="16.2" customHeight="1" x14ac:dyDescent="0.3">
      <c r="A3530" s="149" t="s">
        <v>3056</v>
      </c>
      <c r="B3530" s="5">
        <f t="shared" si="962"/>
        <v>12</v>
      </c>
      <c r="C3530" s="5">
        <f t="shared" si="963"/>
        <v>2024</v>
      </c>
      <c r="D3530" s="150" t="s">
        <v>3036</v>
      </c>
      <c r="E3530" s="5" t="str">
        <f>VLOOKUP(F3530,'Set up'!$A$2:$C$100,2,FALSE)</f>
        <v>C00000042</v>
      </c>
      <c r="F3530" s="151" t="s">
        <v>2013</v>
      </c>
      <c r="G3530" s="151" t="s">
        <v>1923</v>
      </c>
      <c r="H3530" s="156">
        <v>7</v>
      </c>
      <c r="I3530" s="5" t="str">
        <f>VLOOKUP(F3530,'Set up'!$A$2:$C$100,3,FALSE)</f>
        <v>Cash</v>
      </c>
      <c r="J3530" s="5">
        <f>VLOOKUP(F3530,'Set up'!$A$2:$D$100,4,FALSE)</f>
        <v>0</v>
      </c>
      <c r="K3530" s="4">
        <f t="shared" si="964"/>
        <v>45650</v>
      </c>
      <c r="L3530" s="5">
        <f t="shared" si="965"/>
        <v>12</v>
      </c>
      <c r="M3530" s="5">
        <f t="shared" si="966"/>
        <v>2024</v>
      </c>
      <c r="N3530" s="153">
        <v>1669.5</v>
      </c>
      <c r="O3530" s="12"/>
      <c r="P3530" s="12">
        <f t="shared" si="967"/>
        <v>1669.5</v>
      </c>
      <c r="Q3530" s="7">
        <f t="shared" si="968"/>
        <v>5803206.4500000002</v>
      </c>
      <c r="R3530" s="44" t="str">
        <f>VLOOKUP(F3530,'Set up'!$A$2:$E$100,5,FALSE)</f>
        <v>Trsf</v>
      </c>
    </row>
    <row r="3531" spans="1:18" ht="16.2" customHeight="1" x14ac:dyDescent="0.3">
      <c r="A3531" s="149" t="s">
        <v>3056</v>
      </c>
      <c r="B3531" s="5">
        <f t="shared" si="962"/>
        <v>12</v>
      </c>
      <c r="C3531" s="5">
        <f t="shared" si="963"/>
        <v>2024</v>
      </c>
      <c r="D3531" s="150" t="s">
        <v>3036</v>
      </c>
      <c r="E3531" s="5" t="str">
        <f>VLOOKUP(F3531,'Set up'!$A$2:$C$100,2,FALSE)</f>
        <v>C00000042</v>
      </c>
      <c r="F3531" s="151" t="s">
        <v>2013</v>
      </c>
      <c r="G3531" s="151" t="s">
        <v>46</v>
      </c>
      <c r="H3531" s="156">
        <v>4</v>
      </c>
      <c r="I3531" s="5" t="str">
        <f>VLOOKUP(F3531,'Set up'!$A$2:$C$100,3,FALSE)</f>
        <v>Cash</v>
      </c>
      <c r="J3531" s="5">
        <f>VLOOKUP(F3531,'Set up'!$A$2:$D$100,4,FALSE)</f>
        <v>0</v>
      </c>
      <c r="K3531" s="4">
        <f t="shared" si="964"/>
        <v>45650</v>
      </c>
      <c r="L3531" s="5">
        <f t="shared" si="965"/>
        <v>12</v>
      </c>
      <c r="M3531" s="5">
        <f t="shared" si="966"/>
        <v>2024</v>
      </c>
      <c r="N3531" s="153">
        <v>460</v>
      </c>
      <c r="O3531" s="12"/>
      <c r="P3531" s="12">
        <f t="shared" si="967"/>
        <v>460</v>
      </c>
      <c r="Q3531" s="7">
        <f t="shared" si="968"/>
        <v>5803666.4500000002</v>
      </c>
      <c r="R3531" s="44" t="str">
        <f>VLOOKUP(F3531,'Set up'!$A$2:$E$100,5,FALSE)</f>
        <v>Trsf</v>
      </c>
    </row>
    <row r="3532" spans="1:18" ht="16.2" customHeight="1" x14ac:dyDescent="0.3">
      <c r="A3532" s="149" t="s">
        <v>3056</v>
      </c>
      <c r="B3532" s="5">
        <f t="shared" si="962"/>
        <v>12</v>
      </c>
      <c r="C3532" s="5">
        <f t="shared" si="963"/>
        <v>2024</v>
      </c>
      <c r="D3532" s="150" t="s">
        <v>3036</v>
      </c>
      <c r="E3532" s="5" t="str">
        <f>VLOOKUP(F3532,'Set up'!$A$2:$C$100,2,FALSE)</f>
        <v>C00000042</v>
      </c>
      <c r="F3532" s="151" t="s">
        <v>2013</v>
      </c>
      <c r="G3532" s="151" t="s">
        <v>2826</v>
      </c>
      <c r="H3532" s="156">
        <v>1</v>
      </c>
      <c r="I3532" s="5" t="str">
        <f>VLOOKUP(F3532,'Set up'!$A$2:$C$100,3,FALSE)</f>
        <v>Cash</v>
      </c>
      <c r="J3532" s="5">
        <f>VLOOKUP(F3532,'Set up'!$A$2:$D$100,4,FALSE)</f>
        <v>0</v>
      </c>
      <c r="K3532" s="4">
        <f t="shared" si="964"/>
        <v>45650</v>
      </c>
      <c r="L3532" s="5">
        <f t="shared" si="965"/>
        <v>12</v>
      </c>
      <c r="M3532" s="5">
        <f t="shared" si="966"/>
        <v>2024</v>
      </c>
      <c r="N3532" s="153">
        <v>975</v>
      </c>
      <c r="O3532" s="12"/>
      <c r="P3532" s="12">
        <f t="shared" si="967"/>
        <v>975</v>
      </c>
      <c r="Q3532" s="7">
        <f t="shared" si="968"/>
        <v>5804641.4500000002</v>
      </c>
      <c r="R3532" s="44" t="str">
        <f>VLOOKUP(F3532,'Set up'!$A$2:$E$100,5,FALSE)</f>
        <v>Trsf</v>
      </c>
    </row>
    <row r="3533" spans="1:18" ht="16.2" customHeight="1" x14ac:dyDescent="0.3">
      <c r="A3533" s="149" t="s">
        <v>3056</v>
      </c>
      <c r="B3533" s="5">
        <f t="shared" si="962"/>
        <v>12</v>
      </c>
      <c r="C3533" s="5">
        <f t="shared" si="963"/>
        <v>2024</v>
      </c>
      <c r="D3533" s="150" t="s">
        <v>3037</v>
      </c>
      <c r="E3533" s="5" t="str">
        <f>VLOOKUP(F3533,'Set up'!$A$2:$C$100,2,FALSE)</f>
        <v>C00000049</v>
      </c>
      <c r="F3533" s="151" t="s">
        <v>2808</v>
      </c>
      <c r="G3533" s="151" t="s">
        <v>3067</v>
      </c>
      <c r="H3533" s="156">
        <v>1</v>
      </c>
      <c r="I3533" s="5" t="str">
        <f>VLOOKUP(F3533,'Set up'!$A$2:$C$100,3,FALSE)</f>
        <v>Cash</v>
      </c>
      <c r="J3533" s="5">
        <f>VLOOKUP(F3533,'Set up'!$A$2:$D$100,4,FALSE)</f>
        <v>0</v>
      </c>
      <c r="K3533" s="4">
        <f t="shared" si="964"/>
        <v>45650</v>
      </c>
      <c r="L3533" s="5">
        <f t="shared" si="965"/>
        <v>12</v>
      </c>
      <c r="M3533" s="5">
        <f t="shared" si="966"/>
        <v>2024</v>
      </c>
      <c r="N3533" s="153">
        <v>40</v>
      </c>
      <c r="O3533" s="12"/>
      <c r="P3533" s="12">
        <f t="shared" si="967"/>
        <v>40</v>
      </c>
      <c r="Q3533" s="7">
        <f t="shared" si="968"/>
        <v>5804681.4500000002</v>
      </c>
      <c r="R3533" s="44" t="str">
        <f>VLOOKUP(F3533,'Set up'!$A$2:$E$100,5,FALSE)</f>
        <v>Cash</v>
      </c>
    </row>
    <row r="3534" spans="1:18" ht="16.2" customHeight="1" x14ac:dyDescent="0.3">
      <c r="A3534" s="149" t="s">
        <v>3056</v>
      </c>
      <c r="B3534" s="5">
        <f t="shared" si="962"/>
        <v>12</v>
      </c>
      <c r="C3534" s="5">
        <f t="shared" si="963"/>
        <v>2024</v>
      </c>
      <c r="D3534" s="150" t="s">
        <v>3038</v>
      </c>
      <c r="E3534" s="5" t="str">
        <f>VLOOKUP(F3534,'Set up'!$A$2:$C$100,2,FALSE)</f>
        <v>C00000058</v>
      </c>
      <c r="F3534" s="151" t="s">
        <v>3068</v>
      </c>
      <c r="G3534" s="151" t="s">
        <v>3069</v>
      </c>
      <c r="H3534" s="156">
        <v>6</v>
      </c>
      <c r="I3534" s="5" t="str">
        <f>VLOOKUP(F3534,'Set up'!$A$2:$C$100,3,FALSE)</f>
        <v>Cash</v>
      </c>
      <c r="J3534" s="5">
        <f>VLOOKUP(F3534,'Set up'!$A$2:$D$100,4,FALSE)</f>
        <v>0</v>
      </c>
      <c r="K3534" s="4">
        <f t="shared" si="964"/>
        <v>45650</v>
      </c>
      <c r="L3534" s="5">
        <f t="shared" si="965"/>
        <v>12</v>
      </c>
      <c r="M3534" s="5">
        <f t="shared" si="966"/>
        <v>2024</v>
      </c>
      <c r="N3534" s="153">
        <v>2775</v>
      </c>
      <c r="O3534" s="12"/>
      <c r="P3534" s="12">
        <f t="shared" si="967"/>
        <v>2775</v>
      </c>
      <c r="Q3534" s="7">
        <f t="shared" si="968"/>
        <v>5807456.4500000002</v>
      </c>
      <c r="R3534" s="44" t="str">
        <f>VLOOKUP(F3534,'Set up'!$A$2:$E$100,5,FALSE)</f>
        <v>Cash</v>
      </c>
    </row>
    <row r="3535" spans="1:18" ht="16.2" customHeight="1" x14ac:dyDescent="0.3">
      <c r="A3535" s="149" t="s">
        <v>3056</v>
      </c>
      <c r="B3535" s="5">
        <f t="shared" si="962"/>
        <v>12</v>
      </c>
      <c r="C3535" s="5">
        <f t="shared" si="963"/>
        <v>2024</v>
      </c>
      <c r="D3535" s="150" t="s">
        <v>3038</v>
      </c>
      <c r="E3535" s="5" t="str">
        <f>VLOOKUP(F3535,'Set up'!$A$2:$C$100,2,FALSE)</f>
        <v>C00000058</v>
      </c>
      <c r="F3535" s="151" t="s">
        <v>3068</v>
      </c>
      <c r="G3535" s="151" t="s">
        <v>46</v>
      </c>
      <c r="H3535" s="156">
        <v>1</v>
      </c>
      <c r="I3535" s="5" t="str">
        <f>VLOOKUP(F3535,'Set up'!$A$2:$C$100,3,FALSE)</f>
        <v>Cash</v>
      </c>
      <c r="J3535" s="5">
        <f>VLOOKUP(F3535,'Set up'!$A$2:$D$100,4,FALSE)</f>
        <v>0</v>
      </c>
      <c r="K3535" s="4">
        <f t="shared" si="964"/>
        <v>45650</v>
      </c>
      <c r="L3535" s="5">
        <f t="shared" si="965"/>
        <v>12</v>
      </c>
      <c r="M3535" s="5">
        <f t="shared" si="966"/>
        <v>2024</v>
      </c>
      <c r="N3535" s="153">
        <v>115</v>
      </c>
      <c r="O3535" s="12"/>
      <c r="P3535" s="12">
        <f t="shared" si="967"/>
        <v>115</v>
      </c>
      <c r="Q3535" s="7">
        <f t="shared" si="968"/>
        <v>5807571.4500000002</v>
      </c>
      <c r="R3535" s="44" t="str">
        <f>VLOOKUP(F3535,'Set up'!$A$2:$E$100,5,FALSE)</f>
        <v>Cash</v>
      </c>
    </row>
    <row r="3536" spans="1:18" ht="16.2" customHeight="1" x14ac:dyDescent="0.3">
      <c r="A3536" s="149" t="s">
        <v>3056</v>
      </c>
      <c r="B3536" s="5">
        <f t="shared" si="962"/>
        <v>12</v>
      </c>
      <c r="C3536" s="5">
        <f t="shared" si="963"/>
        <v>2024</v>
      </c>
      <c r="D3536" s="150" t="s">
        <v>3038</v>
      </c>
      <c r="E3536" s="5" t="str">
        <f>VLOOKUP(F3536,'Set up'!$A$2:$C$100,2,FALSE)</f>
        <v>C00000058</v>
      </c>
      <c r="F3536" s="151" t="s">
        <v>3068</v>
      </c>
      <c r="G3536" s="151" t="s">
        <v>3017</v>
      </c>
      <c r="H3536" s="156">
        <v>1</v>
      </c>
      <c r="I3536" s="5" t="str">
        <f>VLOOKUP(F3536,'Set up'!$A$2:$C$100,3,FALSE)</f>
        <v>Cash</v>
      </c>
      <c r="J3536" s="5">
        <f>VLOOKUP(F3536,'Set up'!$A$2:$D$100,4,FALSE)</f>
        <v>0</v>
      </c>
      <c r="K3536" s="4">
        <f t="shared" si="964"/>
        <v>45650</v>
      </c>
      <c r="L3536" s="5">
        <f t="shared" si="965"/>
        <v>12</v>
      </c>
      <c r="M3536" s="5">
        <f t="shared" si="966"/>
        <v>2024</v>
      </c>
      <c r="N3536" s="153">
        <v>320</v>
      </c>
      <c r="O3536" s="12"/>
      <c r="P3536" s="12">
        <f t="shared" si="967"/>
        <v>320</v>
      </c>
      <c r="Q3536" s="7">
        <f t="shared" si="968"/>
        <v>5807891.4500000002</v>
      </c>
      <c r="R3536" s="44" t="str">
        <f>VLOOKUP(F3536,'Set up'!$A$2:$E$100,5,FALSE)</f>
        <v>Cash</v>
      </c>
    </row>
    <row r="3537" spans="1:18" ht="16.2" customHeight="1" x14ac:dyDescent="0.3">
      <c r="A3537" s="149" t="s">
        <v>3056</v>
      </c>
      <c r="B3537" s="5">
        <f t="shared" si="962"/>
        <v>12</v>
      </c>
      <c r="C3537" s="5">
        <f t="shared" si="963"/>
        <v>2024</v>
      </c>
      <c r="D3537" s="150" t="s">
        <v>3038</v>
      </c>
      <c r="E3537" s="5" t="str">
        <f>VLOOKUP(F3537,'Set up'!$A$2:$C$100,2,FALSE)</f>
        <v>C00000058</v>
      </c>
      <c r="F3537" s="151" t="s">
        <v>3068</v>
      </c>
      <c r="G3537" s="151" t="s">
        <v>2722</v>
      </c>
      <c r="H3537" s="156">
        <v>1</v>
      </c>
      <c r="I3537" s="5" t="str">
        <f>VLOOKUP(F3537,'Set up'!$A$2:$C$100,3,FALSE)</f>
        <v>Cash</v>
      </c>
      <c r="J3537" s="5">
        <f>VLOOKUP(F3537,'Set up'!$A$2:$D$100,4,FALSE)</f>
        <v>0</v>
      </c>
      <c r="K3537" s="4">
        <f t="shared" si="964"/>
        <v>45650</v>
      </c>
      <c r="L3537" s="5">
        <f t="shared" si="965"/>
        <v>12</v>
      </c>
      <c r="M3537" s="5">
        <f t="shared" si="966"/>
        <v>2024</v>
      </c>
      <c r="N3537" s="153">
        <v>65</v>
      </c>
      <c r="O3537" s="12"/>
      <c r="P3537" s="12">
        <f t="shared" si="967"/>
        <v>65</v>
      </c>
      <c r="Q3537" s="7">
        <f t="shared" si="968"/>
        <v>5807956.4500000002</v>
      </c>
      <c r="R3537" s="44" t="str">
        <f>VLOOKUP(F3537,'Set up'!$A$2:$E$100,5,FALSE)</f>
        <v>Cash</v>
      </c>
    </row>
    <row r="3538" spans="1:18" ht="16.2" customHeight="1" x14ac:dyDescent="0.3">
      <c r="A3538" s="149" t="s">
        <v>3056</v>
      </c>
      <c r="B3538" s="5">
        <f t="shared" si="962"/>
        <v>12</v>
      </c>
      <c r="C3538" s="5">
        <f t="shared" si="963"/>
        <v>2024</v>
      </c>
      <c r="D3538" s="150" t="s">
        <v>3038</v>
      </c>
      <c r="E3538" s="5" t="str">
        <f>VLOOKUP(F3538,'Set up'!$A$2:$C$100,2,FALSE)</f>
        <v>C00000058</v>
      </c>
      <c r="F3538" s="151" t="s">
        <v>3068</v>
      </c>
      <c r="G3538" s="151" t="s">
        <v>3070</v>
      </c>
      <c r="H3538" s="156">
        <v>1</v>
      </c>
      <c r="I3538" s="5" t="str">
        <f>VLOOKUP(F3538,'Set up'!$A$2:$C$100,3,FALSE)</f>
        <v>Cash</v>
      </c>
      <c r="J3538" s="5">
        <f>VLOOKUP(F3538,'Set up'!$A$2:$D$100,4,FALSE)</f>
        <v>0</v>
      </c>
      <c r="K3538" s="4">
        <f t="shared" si="964"/>
        <v>45650</v>
      </c>
      <c r="L3538" s="5">
        <f t="shared" si="965"/>
        <v>12</v>
      </c>
      <c r="M3538" s="5">
        <f t="shared" si="966"/>
        <v>2024</v>
      </c>
      <c r="N3538" s="153">
        <v>160</v>
      </c>
      <c r="O3538" s="12"/>
      <c r="P3538" s="12">
        <f t="shared" si="967"/>
        <v>160</v>
      </c>
      <c r="Q3538" s="7">
        <f t="shared" si="968"/>
        <v>5808116.4500000002</v>
      </c>
      <c r="R3538" s="44" t="str">
        <f>VLOOKUP(F3538,'Set up'!$A$2:$E$100,5,FALSE)</f>
        <v>Cash</v>
      </c>
    </row>
    <row r="3539" spans="1:18" ht="16.2" customHeight="1" x14ac:dyDescent="0.3">
      <c r="A3539" s="149" t="s">
        <v>3057</v>
      </c>
      <c r="B3539" s="5">
        <f t="shared" si="962"/>
        <v>12</v>
      </c>
      <c r="C3539" s="5">
        <f t="shared" si="963"/>
        <v>2024</v>
      </c>
      <c r="D3539" s="150" t="s">
        <v>3039</v>
      </c>
      <c r="E3539" s="5" t="str">
        <f>VLOOKUP(F3539,'Set up'!$A$2:$C$100,2,FALSE)</f>
        <v>C00000044</v>
      </c>
      <c r="F3539" s="151" t="s">
        <v>2959</v>
      </c>
      <c r="G3539" s="151" t="s">
        <v>2643</v>
      </c>
      <c r="H3539" s="156">
        <v>2</v>
      </c>
      <c r="I3539" s="5" t="str">
        <f>VLOOKUP(F3539,'Set up'!$A$2:$C$100,3,FALSE)</f>
        <v>Cash</v>
      </c>
      <c r="J3539" s="5">
        <f>VLOOKUP(F3539,'Set up'!$A$2:$D$100,4,FALSE)</f>
        <v>0</v>
      </c>
      <c r="K3539" s="4">
        <f t="shared" si="964"/>
        <v>45653</v>
      </c>
      <c r="L3539" s="5">
        <f t="shared" si="965"/>
        <v>12</v>
      </c>
      <c r="M3539" s="5">
        <f t="shared" si="966"/>
        <v>2024</v>
      </c>
      <c r="N3539" s="153">
        <v>432</v>
      </c>
      <c r="O3539" s="12"/>
      <c r="P3539" s="12">
        <f t="shared" si="967"/>
        <v>432</v>
      </c>
      <c r="Q3539" s="7">
        <f t="shared" si="968"/>
        <v>5808548.4500000002</v>
      </c>
      <c r="R3539" s="44" t="str">
        <f>VLOOKUP(F3539,'Set up'!$A$2:$E$100,5,FALSE)</f>
        <v>Cash</v>
      </c>
    </row>
    <row r="3540" spans="1:18" ht="16.2" customHeight="1" x14ac:dyDescent="0.3">
      <c r="A3540" s="149" t="s">
        <v>3057</v>
      </c>
      <c r="B3540" s="5">
        <f t="shared" si="962"/>
        <v>12</v>
      </c>
      <c r="C3540" s="5">
        <f t="shared" si="963"/>
        <v>2024</v>
      </c>
      <c r="D3540" s="150" t="s">
        <v>3039</v>
      </c>
      <c r="E3540" s="5" t="str">
        <f>VLOOKUP(F3540,'Set up'!$A$2:$C$100,2,FALSE)</f>
        <v>C00000044</v>
      </c>
      <c r="F3540" s="151" t="s">
        <v>2959</v>
      </c>
      <c r="G3540" s="151" t="s">
        <v>46</v>
      </c>
      <c r="H3540" s="156">
        <v>1</v>
      </c>
      <c r="I3540" s="5" t="str">
        <f>VLOOKUP(F3540,'Set up'!$A$2:$C$100,3,FALSE)</f>
        <v>Cash</v>
      </c>
      <c r="J3540" s="5">
        <f>VLOOKUP(F3540,'Set up'!$A$2:$D$100,4,FALSE)</f>
        <v>0</v>
      </c>
      <c r="K3540" s="4">
        <f t="shared" si="964"/>
        <v>45653</v>
      </c>
      <c r="L3540" s="5">
        <f t="shared" si="965"/>
        <v>12</v>
      </c>
      <c r="M3540" s="5">
        <f t="shared" si="966"/>
        <v>2024</v>
      </c>
      <c r="N3540" s="153">
        <v>110</v>
      </c>
      <c r="O3540" s="12"/>
      <c r="P3540" s="12">
        <f t="shared" si="967"/>
        <v>110</v>
      </c>
      <c r="Q3540" s="7">
        <f t="shared" si="968"/>
        <v>5808658.4500000002</v>
      </c>
      <c r="R3540" s="44" t="str">
        <f>VLOOKUP(F3540,'Set up'!$A$2:$E$100,5,FALSE)</f>
        <v>Cash</v>
      </c>
    </row>
    <row r="3541" spans="1:18" ht="16.2" customHeight="1" x14ac:dyDescent="0.3">
      <c r="A3541" s="149" t="s">
        <v>3057</v>
      </c>
      <c r="B3541" s="5">
        <f t="shared" si="962"/>
        <v>12</v>
      </c>
      <c r="C3541" s="5">
        <f t="shared" si="963"/>
        <v>2024</v>
      </c>
      <c r="D3541" s="150" t="s">
        <v>3039</v>
      </c>
      <c r="E3541" s="5" t="str">
        <f>VLOOKUP(F3541,'Set up'!$A$2:$C$100,2,FALSE)</f>
        <v>C00000044</v>
      </c>
      <c r="F3541" s="151" t="s">
        <v>2959</v>
      </c>
      <c r="G3541" s="151" t="s">
        <v>2971</v>
      </c>
      <c r="H3541" s="156">
        <v>1</v>
      </c>
      <c r="I3541" s="5" t="str">
        <f>VLOOKUP(F3541,'Set up'!$A$2:$C$100,3,FALSE)</f>
        <v>Cash</v>
      </c>
      <c r="J3541" s="5">
        <f>VLOOKUP(F3541,'Set up'!$A$2:$D$100,4,FALSE)</f>
        <v>0</v>
      </c>
      <c r="K3541" s="4">
        <f t="shared" si="964"/>
        <v>45653</v>
      </c>
      <c r="L3541" s="5">
        <f t="shared" si="965"/>
        <v>12</v>
      </c>
      <c r="M3541" s="5">
        <f t="shared" si="966"/>
        <v>2024</v>
      </c>
      <c r="N3541" s="153">
        <v>1732.5</v>
      </c>
      <c r="O3541" s="12"/>
      <c r="P3541" s="12">
        <f t="shared" si="967"/>
        <v>1732.5</v>
      </c>
      <c r="Q3541" s="7">
        <f t="shared" si="968"/>
        <v>5810390.9500000002</v>
      </c>
      <c r="R3541" s="44" t="str">
        <f>VLOOKUP(F3541,'Set up'!$A$2:$E$100,5,FALSE)</f>
        <v>Cash</v>
      </c>
    </row>
    <row r="3542" spans="1:18" ht="16.2" customHeight="1" x14ac:dyDescent="0.3">
      <c r="A3542" s="149" t="s">
        <v>3057</v>
      </c>
      <c r="B3542" s="5">
        <f t="shared" si="962"/>
        <v>12</v>
      </c>
      <c r="C3542" s="5">
        <f t="shared" si="963"/>
        <v>2024</v>
      </c>
      <c r="D3542" s="150" t="s">
        <v>3039</v>
      </c>
      <c r="E3542" s="5" t="str">
        <f>VLOOKUP(F3542,'Set up'!$A$2:$C$100,2,FALSE)</f>
        <v>C00000044</v>
      </c>
      <c r="F3542" s="151" t="s">
        <v>2959</v>
      </c>
      <c r="G3542" s="151" t="s">
        <v>2722</v>
      </c>
      <c r="H3542" s="156">
        <v>1</v>
      </c>
      <c r="I3542" s="5" t="str">
        <f>VLOOKUP(F3542,'Set up'!$A$2:$C$100,3,FALSE)</f>
        <v>Cash</v>
      </c>
      <c r="J3542" s="5">
        <f>VLOOKUP(F3542,'Set up'!$A$2:$D$100,4,FALSE)</f>
        <v>0</v>
      </c>
      <c r="K3542" s="4">
        <f t="shared" si="964"/>
        <v>45653</v>
      </c>
      <c r="L3542" s="5">
        <f t="shared" si="965"/>
        <v>12</v>
      </c>
      <c r="M3542" s="5">
        <f t="shared" si="966"/>
        <v>2024</v>
      </c>
      <c r="N3542" s="153">
        <v>62.5</v>
      </c>
      <c r="O3542" s="12"/>
      <c r="P3542" s="12">
        <f t="shared" si="967"/>
        <v>62.5</v>
      </c>
      <c r="Q3542" s="7">
        <f t="shared" si="968"/>
        <v>5810453.4500000002</v>
      </c>
      <c r="R3542" s="44" t="str">
        <f>VLOOKUP(F3542,'Set up'!$A$2:$E$100,5,FALSE)</f>
        <v>Cash</v>
      </c>
    </row>
    <row r="3543" spans="1:18" ht="16.2" customHeight="1" x14ac:dyDescent="0.3">
      <c r="A3543" s="149" t="s">
        <v>3057</v>
      </c>
      <c r="B3543" s="5">
        <f t="shared" si="962"/>
        <v>12</v>
      </c>
      <c r="C3543" s="5">
        <f t="shared" si="963"/>
        <v>2024</v>
      </c>
      <c r="D3543" s="150" t="s">
        <v>3040</v>
      </c>
      <c r="E3543" s="5" t="str">
        <f>VLOOKUP(F3543,'Set up'!$A$2:$C$100,2,FALSE)</f>
        <v>C00000042</v>
      </c>
      <c r="F3543" s="151" t="s">
        <v>2013</v>
      </c>
      <c r="G3543" s="151" t="s">
        <v>3003</v>
      </c>
      <c r="H3543" s="156">
        <v>6</v>
      </c>
      <c r="I3543" s="5" t="str">
        <f>VLOOKUP(F3543,'Set up'!$A$2:$C$100,3,FALSE)</f>
        <v>Cash</v>
      </c>
      <c r="J3543" s="5">
        <f>VLOOKUP(F3543,'Set up'!$A$2:$D$100,4,FALSE)</f>
        <v>0</v>
      </c>
      <c r="K3543" s="4">
        <f t="shared" si="964"/>
        <v>45653</v>
      </c>
      <c r="L3543" s="5">
        <f t="shared" si="965"/>
        <v>12</v>
      </c>
      <c r="M3543" s="5">
        <f t="shared" si="966"/>
        <v>2024</v>
      </c>
      <c r="N3543" s="153">
        <v>9720</v>
      </c>
      <c r="O3543" s="12"/>
      <c r="P3543" s="12">
        <f t="shared" si="967"/>
        <v>9720</v>
      </c>
      <c r="Q3543" s="7">
        <f t="shared" si="968"/>
        <v>5820173.4500000002</v>
      </c>
      <c r="R3543" s="44" t="str">
        <f>VLOOKUP(F3543,'Set up'!$A$2:$E$100,5,FALSE)</f>
        <v>Trsf</v>
      </c>
    </row>
    <row r="3544" spans="1:18" ht="16.2" customHeight="1" x14ac:dyDescent="0.3">
      <c r="A3544" s="149" t="s">
        <v>3057</v>
      </c>
      <c r="B3544" s="5">
        <f t="shared" si="962"/>
        <v>12</v>
      </c>
      <c r="C3544" s="5">
        <f t="shared" si="963"/>
        <v>2024</v>
      </c>
      <c r="D3544" s="150" t="s">
        <v>3040</v>
      </c>
      <c r="E3544" s="5" t="str">
        <f>VLOOKUP(F3544,'Set up'!$A$2:$C$100,2,FALSE)</f>
        <v>C00000042</v>
      </c>
      <c r="F3544" s="151" t="s">
        <v>2013</v>
      </c>
      <c r="G3544" s="151" t="s">
        <v>3062</v>
      </c>
      <c r="H3544" s="156">
        <v>15</v>
      </c>
      <c r="I3544" s="5" t="str">
        <f>VLOOKUP(F3544,'Set up'!$A$2:$C$100,3,FALSE)</f>
        <v>Cash</v>
      </c>
      <c r="J3544" s="5">
        <f>VLOOKUP(F3544,'Set up'!$A$2:$D$100,4,FALSE)</f>
        <v>0</v>
      </c>
      <c r="K3544" s="4">
        <f t="shared" si="964"/>
        <v>45653</v>
      </c>
      <c r="L3544" s="5">
        <f t="shared" si="965"/>
        <v>12</v>
      </c>
      <c r="M3544" s="5">
        <f t="shared" si="966"/>
        <v>2024</v>
      </c>
      <c r="N3544" s="153">
        <v>2610</v>
      </c>
      <c r="O3544" s="12"/>
      <c r="P3544" s="12">
        <f t="shared" si="967"/>
        <v>2610</v>
      </c>
      <c r="Q3544" s="7">
        <f t="shared" si="968"/>
        <v>5822783.4500000002</v>
      </c>
      <c r="R3544" s="44" t="str">
        <f>VLOOKUP(F3544,'Set up'!$A$2:$E$100,5,FALSE)</f>
        <v>Trsf</v>
      </c>
    </row>
    <row r="3545" spans="1:18" ht="16.2" customHeight="1" x14ac:dyDescent="0.3">
      <c r="A3545" s="149" t="s">
        <v>3057</v>
      </c>
      <c r="B3545" s="5">
        <f t="shared" si="962"/>
        <v>12</v>
      </c>
      <c r="C3545" s="5">
        <f t="shared" si="963"/>
        <v>2024</v>
      </c>
      <c r="D3545" s="150" t="s">
        <v>3040</v>
      </c>
      <c r="E3545" s="5" t="str">
        <f>VLOOKUP(F3545,'Set up'!$A$2:$C$100,2,FALSE)</f>
        <v>C00000042</v>
      </c>
      <c r="F3545" s="151" t="s">
        <v>2013</v>
      </c>
      <c r="G3545" s="151" t="s">
        <v>1923</v>
      </c>
      <c r="H3545" s="156">
        <v>7</v>
      </c>
      <c r="I3545" s="5" t="str">
        <f>VLOOKUP(F3545,'Set up'!$A$2:$C$100,3,FALSE)</f>
        <v>Cash</v>
      </c>
      <c r="J3545" s="5">
        <f>VLOOKUP(F3545,'Set up'!$A$2:$D$100,4,FALSE)</f>
        <v>0</v>
      </c>
      <c r="K3545" s="4">
        <f t="shared" si="964"/>
        <v>45653</v>
      </c>
      <c r="L3545" s="5">
        <f t="shared" si="965"/>
        <v>12</v>
      </c>
      <c r="M3545" s="5">
        <f t="shared" si="966"/>
        <v>2024</v>
      </c>
      <c r="N3545" s="153">
        <v>1669.5</v>
      </c>
      <c r="O3545" s="12"/>
      <c r="P3545" s="12">
        <f t="shared" si="967"/>
        <v>1669.5</v>
      </c>
      <c r="Q3545" s="7">
        <f t="shared" si="968"/>
        <v>5824452.9500000002</v>
      </c>
      <c r="R3545" s="44" t="str">
        <f>VLOOKUP(F3545,'Set up'!$A$2:$E$100,5,FALSE)</f>
        <v>Trsf</v>
      </c>
    </row>
    <row r="3546" spans="1:18" ht="16.2" customHeight="1" x14ac:dyDescent="0.3">
      <c r="A3546" s="149" t="s">
        <v>3058</v>
      </c>
      <c r="B3546" s="5">
        <f t="shared" si="962"/>
        <v>12</v>
      </c>
      <c r="C3546" s="5">
        <f t="shared" si="963"/>
        <v>2024</v>
      </c>
      <c r="D3546" s="150" t="s">
        <v>3041</v>
      </c>
      <c r="E3546" s="5" t="str">
        <f>VLOOKUP(F3546,'Set up'!$A$2:$C$100,2,FALSE)</f>
        <v>C00000050</v>
      </c>
      <c r="F3546" s="151" t="s">
        <v>2732</v>
      </c>
      <c r="G3546" s="151" t="s">
        <v>2971</v>
      </c>
      <c r="H3546" s="156">
        <v>1</v>
      </c>
      <c r="I3546" s="5" t="str">
        <f>VLOOKUP(F3546,'Set up'!$A$2:$C$100,3,FALSE)</f>
        <v>Cash</v>
      </c>
      <c r="J3546" s="5">
        <f>VLOOKUP(F3546,'Set up'!$A$2:$D$100,4,FALSE)</f>
        <v>0</v>
      </c>
      <c r="K3546" s="4">
        <f t="shared" si="964"/>
        <v>45654</v>
      </c>
      <c r="L3546" s="5">
        <f t="shared" si="965"/>
        <v>12</v>
      </c>
      <c r="M3546" s="5">
        <f t="shared" si="966"/>
        <v>2024</v>
      </c>
      <c r="N3546" s="153">
        <v>1755</v>
      </c>
      <c r="O3546" s="12"/>
      <c r="P3546" s="12">
        <f t="shared" si="967"/>
        <v>1755</v>
      </c>
      <c r="Q3546" s="7">
        <f t="shared" si="968"/>
        <v>5826207.9500000002</v>
      </c>
      <c r="R3546" s="44" t="str">
        <f>VLOOKUP(F3546,'Set up'!$A$2:$E$100,5,FALSE)</f>
        <v>Cash</v>
      </c>
    </row>
    <row r="3547" spans="1:18" ht="16.2" customHeight="1" x14ac:dyDescent="0.3">
      <c r="A3547" s="149" t="s">
        <v>3058</v>
      </c>
      <c r="B3547" s="5">
        <f t="shared" si="962"/>
        <v>12</v>
      </c>
      <c r="C3547" s="5">
        <f t="shared" si="963"/>
        <v>2024</v>
      </c>
      <c r="D3547" s="150" t="s">
        <v>3041</v>
      </c>
      <c r="E3547" s="5" t="str">
        <f>VLOOKUP(F3547,'Set up'!$A$2:$C$100,2,FALSE)</f>
        <v>C00000050</v>
      </c>
      <c r="F3547" s="151" t="s">
        <v>2732</v>
      </c>
      <c r="G3547" s="151" t="s">
        <v>2199</v>
      </c>
      <c r="H3547" s="156">
        <v>2</v>
      </c>
      <c r="I3547" s="5" t="str">
        <f>VLOOKUP(F3547,'Set up'!$A$2:$C$100,3,FALSE)</f>
        <v>Cash</v>
      </c>
      <c r="J3547" s="5">
        <f>VLOOKUP(F3547,'Set up'!$A$2:$D$100,4,FALSE)</f>
        <v>0</v>
      </c>
      <c r="K3547" s="4">
        <f t="shared" si="964"/>
        <v>45654</v>
      </c>
      <c r="L3547" s="5">
        <f t="shared" si="965"/>
        <v>12</v>
      </c>
      <c r="M3547" s="5">
        <f t="shared" si="966"/>
        <v>2024</v>
      </c>
      <c r="N3547" s="153">
        <v>555</v>
      </c>
      <c r="O3547" s="12"/>
      <c r="P3547" s="12">
        <f t="shared" si="967"/>
        <v>555</v>
      </c>
      <c r="Q3547" s="7">
        <f t="shared" si="968"/>
        <v>5826762.9500000002</v>
      </c>
      <c r="R3547" s="44" t="str">
        <f>VLOOKUP(F3547,'Set up'!$A$2:$E$100,5,FALSE)</f>
        <v>Cash</v>
      </c>
    </row>
    <row r="3548" spans="1:18" ht="16.2" customHeight="1" x14ac:dyDescent="0.3">
      <c r="A3548" s="149" t="s">
        <v>3058</v>
      </c>
      <c r="B3548" s="5">
        <f t="shared" si="962"/>
        <v>12</v>
      </c>
      <c r="C3548" s="5">
        <f t="shared" si="963"/>
        <v>2024</v>
      </c>
      <c r="D3548" s="150" t="s">
        <v>3041</v>
      </c>
      <c r="E3548" s="5" t="str">
        <f>VLOOKUP(F3548,'Set up'!$A$2:$C$100,2,FALSE)</f>
        <v>C00000050</v>
      </c>
      <c r="F3548" s="151" t="s">
        <v>2732</v>
      </c>
      <c r="G3548" s="151" t="s">
        <v>1062</v>
      </c>
      <c r="H3548" s="156">
        <v>1</v>
      </c>
      <c r="I3548" s="5" t="str">
        <f>VLOOKUP(F3548,'Set up'!$A$2:$C$100,3,FALSE)</f>
        <v>Cash</v>
      </c>
      <c r="J3548" s="5">
        <f>VLOOKUP(F3548,'Set up'!$A$2:$D$100,4,FALSE)</f>
        <v>0</v>
      </c>
      <c r="K3548" s="4">
        <f t="shared" si="964"/>
        <v>45654</v>
      </c>
      <c r="L3548" s="5">
        <f t="shared" si="965"/>
        <v>12</v>
      </c>
      <c r="M3548" s="5">
        <f t="shared" si="966"/>
        <v>2024</v>
      </c>
      <c r="N3548" s="153">
        <v>95</v>
      </c>
      <c r="O3548" s="12"/>
      <c r="P3548" s="12">
        <f t="shared" si="967"/>
        <v>95</v>
      </c>
      <c r="Q3548" s="7">
        <f t="shared" si="968"/>
        <v>5826857.9500000002</v>
      </c>
      <c r="R3548" s="44" t="str">
        <f>VLOOKUP(F3548,'Set up'!$A$2:$E$100,5,FALSE)</f>
        <v>Cash</v>
      </c>
    </row>
    <row r="3549" spans="1:18" ht="16.2" customHeight="1" x14ac:dyDescent="0.3">
      <c r="A3549" s="149" t="s">
        <v>3058</v>
      </c>
      <c r="B3549" s="5">
        <f t="shared" si="962"/>
        <v>12</v>
      </c>
      <c r="C3549" s="5">
        <f t="shared" si="963"/>
        <v>2024</v>
      </c>
      <c r="D3549" s="150" t="s">
        <v>3041</v>
      </c>
      <c r="E3549" s="5" t="str">
        <f>VLOOKUP(F3549,'Set up'!$A$2:$C$100,2,FALSE)</f>
        <v>C00000050</v>
      </c>
      <c r="F3549" s="151" t="s">
        <v>2732</v>
      </c>
      <c r="G3549" s="151" t="s">
        <v>2722</v>
      </c>
      <c r="H3549" s="156">
        <v>5</v>
      </c>
      <c r="I3549" s="5" t="str">
        <f>VLOOKUP(F3549,'Set up'!$A$2:$C$100,3,FALSE)</f>
        <v>Cash</v>
      </c>
      <c r="J3549" s="5">
        <f>VLOOKUP(F3549,'Set up'!$A$2:$D$100,4,FALSE)</f>
        <v>0</v>
      </c>
      <c r="K3549" s="4">
        <f t="shared" si="964"/>
        <v>45654</v>
      </c>
      <c r="L3549" s="5">
        <f t="shared" si="965"/>
        <v>12</v>
      </c>
      <c r="M3549" s="5">
        <f t="shared" si="966"/>
        <v>2024</v>
      </c>
      <c r="N3549" s="153">
        <v>312.5</v>
      </c>
      <c r="O3549" s="12"/>
      <c r="P3549" s="12">
        <f t="shared" si="967"/>
        <v>312.5</v>
      </c>
      <c r="Q3549" s="7">
        <f t="shared" si="968"/>
        <v>5827170.4500000002</v>
      </c>
      <c r="R3549" s="44" t="str">
        <f>VLOOKUP(F3549,'Set up'!$A$2:$E$100,5,FALSE)</f>
        <v>Cash</v>
      </c>
    </row>
    <row r="3550" spans="1:18" ht="16.2" customHeight="1" x14ac:dyDescent="0.3">
      <c r="A3550" s="149" t="s">
        <v>3059</v>
      </c>
      <c r="B3550" s="5">
        <f t="shared" si="962"/>
        <v>12</v>
      </c>
      <c r="C3550" s="5">
        <f t="shared" si="963"/>
        <v>2024</v>
      </c>
      <c r="D3550" s="150" t="s">
        <v>3042</v>
      </c>
      <c r="E3550" s="5" t="str">
        <f>VLOOKUP(F3550,'Set up'!$A$2:$C$100,2,FALSE)</f>
        <v>C00000061</v>
      </c>
      <c r="F3550" s="151" t="s">
        <v>3020</v>
      </c>
      <c r="G3550" s="151" t="s">
        <v>3017</v>
      </c>
      <c r="H3550" s="156">
        <v>1</v>
      </c>
      <c r="I3550" s="5" t="str">
        <f>VLOOKUP(F3550,'Set up'!$A$2:$C$100,3,FALSE)</f>
        <v>Cash</v>
      </c>
      <c r="J3550" s="5">
        <f>VLOOKUP(F3550,'Set up'!$A$2:$D$100,4,FALSE)</f>
        <v>0</v>
      </c>
      <c r="K3550" s="4">
        <f t="shared" si="964"/>
        <v>45656</v>
      </c>
      <c r="L3550" s="5">
        <f t="shared" si="965"/>
        <v>12</v>
      </c>
      <c r="M3550" s="5">
        <f t="shared" si="966"/>
        <v>2024</v>
      </c>
      <c r="N3550" s="153">
        <v>325</v>
      </c>
      <c r="O3550" s="12"/>
      <c r="P3550" s="12">
        <f t="shared" si="967"/>
        <v>325</v>
      </c>
      <c r="Q3550" s="7">
        <f t="shared" si="968"/>
        <v>5827495.4500000002</v>
      </c>
      <c r="R3550" s="44" t="str">
        <f>VLOOKUP(F3550,'Set up'!$A$2:$E$100,5,FALSE)</f>
        <v>Cash</v>
      </c>
    </row>
    <row r="3551" spans="1:18" ht="16.2" customHeight="1" x14ac:dyDescent="0.3">
      <c r="A3551" s="149" t="s">
        <v>3060</v>
      </c>
      <c r="B3551" s="5">
        <f t="shared" si="962"/>
        <v>12</v>
      </c>
      <c r="C3551" s="5">
        <f t="shared" si="963"/>
        <v>2024</v>
      </c>
      <c r="D3551" s="150" t="s">
        <v>3043</v>
      </c>
      <c r="E3551" s="5" t="str">
        <f>VLOOKUP(F3551,'Set up'!$A$2:$C$100,2,FALSE)</f>
        <v>C00000003</v>
      </c>
      <c r="F3551" s="151" t="s">
        <v>20</v>
      </c>
      <c r="G3551" s="151" t="s">
        <v>3003</v>
      </c>
      <c r="H3551" s="156">
        <v>1</v>
      </c>
      <c r="I3551" s="5">
        <f>VLOOKUP(F3551,'Set up'!$A$2:$C$100,3,FALSE)</f>
        <v>45</v>
      </c>
      <c r="J3551" s="5">
        <f>VLOOKUP(F3551,'Set up'!$A$2:$D$100,4,FALSE)</f>
        <v>45</v>
      </c>
      <c r="K3551" s="4">
        <f t="shared" si="964"/>
        <v>45702</v>
      </c>
      <c r="L3551" s="5">
        <f t="shared" si="965"/>
        <v>2</v>
      </c>
      <c r="M3551" s="5">
        <f t="shared" si="966"/>
        <v>2025</v>
      </c>
      <c r="N3551" s="153">
        <v>1755</v>
      </c>
      <c r="O3551" s="12"/>
      <c r="P3551" s="12">
        <f t="shared" si="967"/>
        <v>1755</v>
      </c>
      <c r="Q3551" s="7">
        <f t="shared" si="968"/>
        <v>5829250.4500000002</v>
      </c>
      <c r="R3551" s="44" t="str">
        <f>VLOOKUP(F3551,'Set up'!$A$2:$E$100,5,FALSE)</f>
        <v>PD Chq</v>
      </c>
    </row>
    <row r="3552" spans="1:18" ht="16.2" customHeight="1" x14ac:dyDescent="0.3">
      <c r="A3552" s="149" t="s">
        <v>3060</v>
      </c>
      <c r="B3552" s="5">
        <f t="shared" si="962"/>
        <v>12</v>
      </c>
      <c r="C3552" s="5">
        <f t="shared" si="963"/>
        <v>2024</v>
      </c>
      <c r="D3552" s="150" t="s">
        <v>3043</v>
      </c>
      <c r="E3552" s="5" t="str">
        <f>VLOOKUP(F3552,'Set up'!$A$2:$C$100,2,FALSE)</f>
        <v>C00000003</v>
      </c>
      <c r="F3552" s="151" t="s">
        <v>20</v>
      </c>
      <c r="G3552" s="151" t="s">
        <v>17</v>
      </c>
      <c r="H3552" s="156">
        <v>2</v>
      </c>
      <c r="I3552" s="5">
        <f>VLOOKUP(F3552,'Set up'!$A$2:$C$100,3,FALSE)</f>
        <v>45</v>
      </c>
      <c r="J3552" s="5">
        <f>VLOOKUP(F3552,'Set up'!$A$2:$D$100,4,FALSE)</f>
        <v>45</v>
      </c>
      <c r="K3552" s="4">
        <f t="shared" si="964"/>
        <v>45702</v>
      </c>
      <c r="L3552" s="5">
        <f t="shared" si="965"/>
        <v>2</v>
      </c>
      <c r="M3552" s="5">
        <f t="shared" si="966"/>
        <v>2025</v>
      </c>
      <c r="N3552" s="153">
        <v>220</v>
      </c>
      <c r="O3552" s="12"/>
      <c r="P3552" s="12">
        <f t="shared" si="967"/>
        <v>220</v>
      </c>
      <c r="Q3552" s="7">
        <f t="shared" si="968"/>
        <v>5829470.4500000002</v>
      </c>
      <c r="R3552" s="44" t="str">
        <f>VLOOKUP(F3552,'Set up'!$A$2:$E$100,5,FALSE)</f>
        <v>PD Chq</v>
      </c>
    </row>
    <row r="3553" spans="1:18" ht="16.2" customHeight="1" x14ac:dyDescent="0.3">
      <c r="A3553" s="149" t="s">
        <v>3060</v>
      </c>
      <c r="B3553" s="5">
        <f t="shared" si="962"/>
        <v>12</v>
      </c>
      <c r="C3553" s="5">
        <f t="shared" si="963"/>
        <v>2024</v>
      </c>
      <c r="D3553" s="150" t="s">
        <v>3043</v>
      </c>
      <c r="E3553" s="5" t="str">
        <f>VLOOKUP(F3553,'Set up'!$A$2:$C$100,2,FALSE)</f>
        <v>C00000003</v>
      </c>
      <c r="F3553" s="151" t="s">
        <v>20</v>
      </c>
      <c r="G3553" s="151" t="s">
        <v>2711</v>
      </c>
      <c r="H3553" s="156">
        <v>2</v>
      </c>
      <c r="I3553" s="5">
        <f>VLOOKUP(F3553,'Set up'!$A$2:$C$100,3,FALSE)</f>
        <v>45</v>
      </c>
      <c r="J3553" s="5">
        <f>VLOOKUP(F3553,'Set up'!$A$2:$D$100,4,FALSE)</f>
        <v>45</v>
      </c>
      <c r="K3553" s="4">
        <f t="shared" si="964"/>
        <v>45702</v>
      </c>
      <c r="L3553" s="5">
        <f t="shared" si="965"/>
        <v>2</v>
      </c>
      <c r="M3553" s="5">
        <f t="shared" si="966"/>
        <v>2025</v>
      </c>
      <c r="N3553" s="153">
        <v>130</v>
      </c>
      <c r="O3553" s="12"/>
      <c r="P3553" s="12">
        <f t="shared" si="967"/>
        <v>130</v>
      </c>
      <c r="Q3553" s="7">
        <f t="shared" si="968"/>
        <v>5829600.4500000002</v>
      </c>
      <c r="R3553" s="44" t="str">
        <f>VLOOKUP(F3553,'Set up'!$A$2:$E$100,5,FALSE)</f>
        <v>PD Chq</v>
      </c>
    </row>
    <row r="3554" spans="1:18" ht="16.2" customHeight="1" x14ac:dyDescent="0.3">
      <c r="A3554" s="149" t="s">
        <v>3060</v>
      </c>
      <c r="B3554" s="5">
        <f t="shared" si="962"/>
        <v>12</v>
      </c>
      <c r="C3554" s="5">
        <f t="shared" si="963"/>
        <v>2024</v>
      </c>
      <c r="D3554" s="150" t="s">
        <v>3044</v>
      </c>
      <c r="E3554" s="5" t="str">
        <f>VLOOKUP(F3554,'Set up'!$A$2:$C$100,2,FALSE)</f>
        <v>C00000019</v>
      </c>
      <c r="F3554" s="151" t="s">
        <v>401</v>
      </c>
      <c r="G3554" s="151" t="s">
        <v>1412</v>
      </c>
      <c r="H3554" s="156">
        <v>1</v>
      </c>
      <c r="I3554" s="5" t="str">
        <f>VLOOKUP(F3554,'Set up'!$A$2:$C$100,3,FALSE)</f>
        <v>Cash</v>
      </c>
      <c r="J3554" s="5">
        <f>VLOOKUP(F3554,'Set up'!$A$2:$D$100,4,FALSE)</f>
        <v>0</v>
      </c>
      <c r="K3554" s="4">
        <f t="shared" si="964"/>
        <v>45657</v>
      </c>
      <c r="L3554" s="5">
        <f t="shared" si="965"/>
        <v>12</v>
      </c>
      <c r="M3554" s="5">
        <f t="shared" si="966"/>
        <v>2024</v>
      </c>
      <c r="N3554" s="153">
        <v>405</v>
      </c>
      <c r="O3554" s="12"/>
      <c r="P3554" s="12">
        <f t="shared" si="967"/>
        <v>405</v>
      </c>
      <c r="Q3554" s="7">
        <f t="shared" si="968"/>
        <v>5830005.4500000002</v>
      </c>
      <c r="R3554" s="44" t="str">
        <f>VLOOKUP(F3554,'Set up'!$A$2:$E$100,5,FALSE)</f>
        <v>Trsf</v>
      </c>
    </row>
    <row r="3555" spans="1:18" ht="16.2" customHeight="1" x14ac:dyDescent="0.3">
      <c r="A3555" s="149" t="s">
        <v>3060</v>
      </c>
      <c r="B3555" s="5">
        <f t="shared" si="962"/>
        <v>12</v>
      </c>
      <c r="C3555" s="5">
        <f t="shared" si="963"/>
        <v>2024</v>
      </c>
      <c r="D3555" s="150" t="s">
        <v>3045</v>
      </c>
      <c r="E3555" s="5" t="str">
        <f>VLOOKUP(F3555,'Set up'!$A$2:$C$100,2,FALSE)</f>
        <v>C00000054</v>
      </c>
      <c r="F3555" s="151" t="s">
        <v>2901</v>
      </c>
      <c r="G3555" s="151" t="s">
        <v>3071</v>
      </c>
      <c r="H3555" s="156">
        <v>1</v>
      </c>
      <c r="I3555" s="5" t="str">
        <f>VLOOKUP(F3555,'Set up'!$A$2:$C$100,3,FALSE)</f>
        <v>Cash</v>
      </c>
      <c r="J3555" s="5">
        <f>VLOOKUP(F3555,'Set up'!$A$2:$D$100,4,FALSE)</f>
        <v>1</v>
      </c>
      <c r="K3555" s="4">
        <f t="shared" si="964"/>
        <v>45658</v>
      </c>
      <c r="L3555" s="5">
        <f t="shared" si="965"/>
        <v>1</v>
      </c>
      <c r="M3555" s="5">
        <f t="shared" si="966"/>
        <v>2025</v>
      </c>
      <c r="N3555" s="153">
        <v>360</v>
      </c>
      <c r="O3555" s="12"/>
      <c r="P3555" s="12">
        <f t="shared" si="967"/>
        <v>360</v>
      </c>
      <c r="Q3555" s="7">
        <f t="shared" si="968"/>
        <v>5830365.4500000002</v>
      </c>
      <c r="R3555" s="44" t="str">
        <f>VLOOKUP(F3555,'Set up'!$A$2:$E$100,5,FALSE)</f>
        <v>Cash</v>
      </c>
    </row>
    <row r="3556" spans="1:18" ht="15" customHeight="1" x14ac:dyDescent="0.3">
      <c r="A3556" s="4"/>
      <c r="D3556" s="148"/>
      <c r="G3556" s="98"/>
      <c r="K3556" s="4"/>
      <c r="Q3556" s="7"/>
      <c r="R3556" s="44"/>
    </row>
    <row r="3557" spans="1:18" ht="15" customHeight="1" x14ac:dyDescent="0.3">
      <c r="A3557" s="4"/>
      <c r="D3557" s="148"/>
      <c r="G3557" s="98"/>
      <c r="K3557" s="4"/>
      <c r="Q3557" s="7"/>
      <c r="R3557" s="44"/>
    </row>
    <row r="3558" spans="1:18" x14ac:dyDescent="0.3">
      <c r="D3558" s="148"/>
      <c r="K3558" s="4"/>
      <c r="Q3558" s="51"/>
    </row>
    <row r="3559" spans="1:18" x14ac:dyDescent="0.3">
      <c r="D3559" s="148"/>
      <c r="K3559" s="11" t="s">
        <v>195</v>
      </c>
      <c r="N3559" s="30">
        <f>SUM(N2:N3558)</f>
        <v>5830365.4500000002</v>
      </c>
      <c r="O3559" s="32">
        <f>SUM(O2:O3558)</f>
        <v>-4084857.25</v>
      </c>
      <c r="P3559" s="34">
        <f>SUM(P2:P3558)</f>
        <v>1745508.2</v>
      </c>
      <c r="Q3559" s="52">
        <f>SUM(N3559+O3559)</f>
        <v>1745508.2000000002</v>
      </c>
    </row>
    <row r="3560" spans="1:18" x14ac:dyDescent="0.3">
      <c r="D3560" s="148"/>
      <c r="N3560" s="31" t="s">
        <v>198</v>
      </c>
      <c r="O3560" s="33" t="s">
        <v>196</v>
      </c>
      <c r="P3560" s="35" t="s">
        <v>197</v>
      </c>
      <c r="Q3560" s="53"/>
    </row>
    <row r="3561" spans="1:18" x14ac:dyDescent="0.3">
      <c r="D3561" s="148"/>
      <c r="N3561" s="28"/>
      <c r="O3561" s="28"/>
      <c r="P3561" s="28"/>
      <c r="Q3561" s="28"/>
    </row>
    <row r="3562" spans="1:18" x14ac:dyDescent="0.3">
      <c r="Q3562" s="51"/>
    </row>
    <row r="3563" spans="1:18" x14ac:dyDescent="0.3">
      <c r="O3563" s="32">
        <f>SUM(O3559)</f>
        <v>-4084857.25</v>
      </c>
      <c r="P3563" s="27" t="s">
        <v>194</v>
      </c>
      <c r="Q3563" s="54" t="s">
        <v>196</v>
      </c>
    </row>
    <row r="3564" spans="1:18" x14ac:dyDescent="0.3">
      <c r="O3564" s="6">
        <v>0.5</v>
      </c>
      <c r="P3564" s="27" t="s">
        <v>194</v>
      </c>
      <c r="Q3564" s="50" t="s">
        <v>285</v>
      </c>
    </row>
    <row r="3565" spans="1:18" x14ac:dyDescent="0.3">
      <c r="P3565" s="27"/>
      <c r="Q3565" s="50"/>
    </row>
    <row r="3566" spans="1:18" ht="16.2" thickBot="1" x14ac:dyDescent="0.35">
      <c r="O3566" s="29">
        <f>SUM(O3563:O3565)</f>
        <v>-4084856.75</v>
      </c>
      <c r="P3566" s="27" t="s">
        <v>194</v>
      </c>
      <c r="Q3566" s="49" t="s">
        <v>2813</v>
      </c>
    </row>
    <row r="3567" spans="1:18" ht="16.2" thickTop="1" x14ac:dyDescent="0.3">
      <c r="Q3567" s="51"/>
    </row>
    <row r="3568" spans="1:18" x14ac:dyDescent="0.3">
      <c r="Q3568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topLeftCell="A40" workbookViewId="0">
      <selection activeCell="C60" sqref="C60:E60"/>
    </sheetView>
  </sheetViews>
  <sheetFormatPr defaultRowHeight="14.4" x14ac:dyDescent="0.3"/>
  <cols>
    <col min="1" max="1" width="38.33203125" bestFit="1" customWidth="1"/>
    <col min="2" max="2" width="16" style="120" bestFit="1" customWidth="1"/>
    <col min="3" max="3" width="17.5546875" style="120" bestFit="1" customWidth="1"/>
    <col min="4" max="4" width="7.44140625" style="120" bestFit="1" customWidth="1"/>
    <col min="5" max="5" width="13.44140625" style="120" bestFit="1" customWidth="1"/>
  </cols>
  <sheetData>
    <row r="1" spans="1:5" x14ac:dyDescent="0.3">
      <c r="A1" t="s">
        <v>1</v>
      </c>
      <c r="B1" s="120" t="s">
        <v>0</v>
      </c>
      <c r="C1" s="120" t="s">
        <v>4</v>
      </c>
      <c r="D1" s="120" t="s">
        <v>87</v>
      </c>
      <c r="E1" s="120" t="s">
        <v>83</v>
      </c>
    </row>
    <row r="2" spans="1:5" x14ac:dyDescent="0.3">
      <c r="A2" t="s">
        <v>7</v>
      </c>
      <c r="B2" s="120" t="s">
        <v>6</v>
      </c>
      <c r="C2" s="120" t="s">
        <v>5</v>
      </c>
      <c r="D2" s="120">
        <v>0</v>
      </c>
      <c r="E2" s="120" t="s">
        <v>84</v>
      </c>
    </row>
    <row r="3" spans="1:5" x14ac:dyDescent="0.3">
      <c r="A3" t="s">
        <v>14</v>
      </c>
      <c r="B3" s="120" t="s">
        <v>13</v>
      </c>
      <c r="C3" s="120" t="s">
        <v>5</v>
      </c>
      <c r="D3" s="120">
        <v>0</v>
      </c>
      <c r="E3" s="120" t="s">
        <v>85</v>
      </c>
    </row>
    <row r="4" spans="1:5" x14ac:dyDescent="0.3">
      <c r="A4" t="s">
        <v>20</v>
      </c>
      <c r="B4" s="120" t="s">
        <v>19</v>
      </c>
      <c r="C4" s="120">
        <v>45</v>
      </c>
      <c r="D4" s="120">
        <v>45</v>
      </c>
      <c r="E4" s="120" t="s">
        <v>86</v>
      </c>
    </row>
    <row r="5" spans="1:5" x14ac:dyDescent="0.3">
      <c r="A5" t="s">
        <v>23</v>
      </c>
      <c r="B5" s="120" t="s">
        <v>22</v>
      </c>
      <c r="C5" s="120">
        <v>120</v>
      </c>
      <c r="D5" s="120">
        <v>120</v>
      </c>
      <c r="E5" s="120" t="s">
        <v>85</v>
      </c>
    </row>
    <row r="6" spans="1:5" x14ac:dyDescent="0.3">
      <c r="A6" t="s">
        <v>35</v>
      </c>
      <c r="B6" s="120" t="s">
        <v>34</v>
      </c>
      <c r="C6" s="120" t="s">
        <v>5</v>
      </c>
      <c r="D6" s="120">
        <v>0</v>
      </c>
      <c r="E6" s="120" t="s">
        <v>85</v>
      </c>
    </row>
    <row r="7" spans="1:5" x14ac:dyDescent="0.3">
      <c r="A7" t="s">
        <v>43</v>
      </c>
      <c r="B7" s="120" t="s">
        <v>42</v>
      </c>
      <c r="C7" s="120" t="s">
        <v>5</v>
      </c>
      <c r="D7" s="120">
        <v>0</v>
      </c>
      <c r="E7" s="120" t="s">
        <v>85</v>
      </c>
    </row>
    <row r="8" spans="1:5" x14ac:dyDescent="0.3">
      <c r="A8" t="s">
        <v>47</v>
      </c>
      <c r="B8" s="120" t="s">
        <v>48</v>
      </c>
      <c r="C8" s="120" t="s">
        <v>5</v>
      </c>
      <c r="D8" s="120">
        <v>0</v>
      </c>
      <c r="E8" s="120" t="s">
        <v>84</v>
      </c>
    </row>
    <row r="9" spans="1:5" x14ac:dyDescent="0.3">
      <c r="A9" t="s">
        <v>52</v>
      </c>
      <c r="B9" s="120" t="s">
        <v>51</v>
      </c>
      <c r="C9" s="120" t="s">
        <v>5</v>
      </c>
      <c r="D9" s="120">
        <v>0</v>
      </c>
      <c r="E9" s="120" t="s">
        <v>84</v>
      </c>
    </row>
    <row r="10" spans="1:5" x14ac:dyDescent="0.3">
      <c r="A10" t="s">
        <v>58</v>
      </c>
      <c r="B10" s="120" t="s">
        <v>59</v>
      </c>
      <c r="C10" s="120">
        <v>60</v>
      </c>
      <c r="D10" s="120">
        <v>60</v>
      </c>
      <c r="E10" s="120" t="s">
        <v>85</v>
      </c>
    </row>
    <row r="11" spans="1:5" x14ac:dyDescent="0.3">
      <c r="A11" t="s">
        <v>62</v>
      </c>
      <c r="B11" s="120" t="s">
        <v>61</v>
      </c>
      <c r="C11" s="120">
        <v>120</v>
      </c>
      <c r="D11" s="120">
        <v>120</v>
      </c>
      <c r="E11" s="120" t="s">
        <v>84</v>
      </c>
    </row>
    <row r="12" spans="1:5" x14ac:dyDescent="0.3">
      <c r="A12" t="s">
        <v>174</v>
      </c>
      <c r="B12" s="120" t="s">
        <v>175</v>
      </c>
      <c r="C12" s="120" t="s">
        <v>5</v>
      </c>
      <c r="D12" s="120">
        <v>0</v>
      </c>
      <c r="E12" s="120" t="s">
        <v>84</v>
      </c>
    </row>
    <row r="13" spans="1:5" x14ac:dyDescent="0.3">
      <c r="A13" t="s">
        <v>2023</v>
      </c>
      <c r="B13" s="120" t="s">
        <v>1697</v>
      </c>
      <c r="C13" s="120" t="s">
        <v>5</v>
      </c>
      <c r="D13" s="120">
        <v>0</v>
      </c>
      <c r="E13" s="120" t="s">
        <v>5</v>
      </c>
    </row>
    <row r="14" spans="1:5" x14ac:dyDescent="0.3">
      <c r="A14" t="s">
        <v>1454</v>
      </c>
      <c r="B14" s="120" t="s">
        <v>228</v>
      </c>
      <c r="C14" s="120" t="s">
        <v>5</v>
      </c>
      <c r="D14" s="120">
        <v>0</v>
      </c>
      <c r="E14" s="120" t="s">
        <v>85</v>
      </c>
    </row>
    <row r="15" spans="1:5" x14ac:dyDescent="0.3">
      <c r="A15" t="s">
        <v>263</v>
      </c>
      <c r="B15" s="120" t="s">
        <v>258</v>
      </c>
      <c r="C15" s="120" t="s">
        <v>5</v>
      </c>
      <c r="D15" s="120">
        <v>0</v>
      </c>
      <c r="E15" s="120" t="s">
        <v>5</v>
      </c>
    </row>
    <row r="16" spans="1:5" x14ac:dyDescent="0.3">
      <c r="A16" t="s">
        <v>281</v>
      </c>
      <c r="B16" s="120" t="s">
        <v>280</v>
      </c>
      <c r="C16" s="120" t="s">
        <v>5</v>
      </c>
      <c r="D16" s="120">
        <v>0</v>
      </c>
      <c r="E16" s="120" t="s">
        <v>84</v>
      </c>
    </row>
    <row r="17" spans="1:5" x14ac:dyDescent="0.3">
      <c r="A17" t="s">
        <v>290</v>
      </c>
      <c r="B17" s="120" t="s">
        <v>289</v>
      </c>
      <c r="C17" s="120" t="s">
        <v>5</v>
      </c>
      <c r="D17" s="120">
        <v>0</v>
      </c>
      <c r="E17" s="120" t="s">
        <v>84</v>
      </c>
    </row>
    <row r="18" spans="1:5" x14ac:dyDescent="0.3">
      <c r="A18" t="s">
        <v>1698</v>
      </c>
      <c r="B18" s="120" t="s">
        <v>365</v>
      </c>
      <c r="C18" s="120" t="s">
        <v>5</v>
      </c>
      <c r="D18" s="120">
        <v>0</v>
      </c>
      <c r="E18" s="120" t="s">
        <v>84</v>
      </c>
    </row>
    <row r="19" spans="1:5" x14ac:dyDescent="0.3">
      <c r="A19" t="s">
        <v>376</v>
      </c>
      <c r="B19" s="120" t="s">
        <v>375</v>
      </c>
      <c r="C19" s="120" t="s">
        <v>5</v>
      </c>
      <c r="D19" s="120">
        <v>0</v>
      </c>
      <c r="E19" s="120" t="s">
        <v>84</v>
      </c>
    </row>
    <row r="20" spans="1:5" x14ac:dyDescent="0.3">
      <c r="A20" t="s">
        <v>401</v>
      </c>
      <c r="B20" s="120" t="s">
        <v>400</v>
      </c>
      <c r="C20" s="120" t="s">
        <v>5</v>
      </c>
      <c r="D20" s="120">
        <v>0</v>
      </c>
      <c r="E20" s="120" t="s">
        <v>84</v>
      </c>
    </row>
    <row r="21" spans="1:5" x14ac:dyDescent="0.3">
      <c r="A21" t="s">
        <v>410</v>
      </c>
      <c r="B21" s="120" t="s">
        <v>409</v>
      </c>
      <c r="C21" s="120" t="s">
        <v>5</v>
      </c>
      <c r="D21" s="120">
        <v>0</v>
      </c>
      <c r="E21" s="120" t="s">
        <v>84</v>
      </c>
    </row>
    <row r="22" spans="1:5" x14ac:dyDescent="0.3">
      <c r="A22" t="s">
        <v>492</v>
      </c>
      <c r="B22" s="120" t="s">
        <v>475</v>
      </c>
      <c r="C22" s="120" t="s">
        <v>5</v>
      </c>
      <c r="D22" s="120">
        <v>0</v>
      </c>
      <c r="E22" s="121" t="s">
        <v>86</v>
      </c>
    </row>
    <row r="23" spans="1:5" x14ac:dyDescent="0.3">
      <c r="A23" t="s">
        <v>638</v>
      </c>
      <c r="B23" s="120" t="s">
        <v>637</v>
      </c>
      <c r="C23" s="120" t="s">
        <v>5</v>
      </c>
      <c r="D23" s="120">
        <v>0</v>
      </c>
      <c r="E23" s="120" t="s">
        <v>84</v>
      </c>
    </row>
    <row r="24" spans="1:5" x14ac:dyDescent="0.3">
      <c r="A24" t="s">
        <v>666</v>
      </c>
      <c r="B24" s="120" t="s">
        <v>665</v>
      </c>
      <c r="C24" s="120" t="s">
        <v>5</v>
      </c>
      <c r="D24" s="120">
        <v>0</v>
      </c>
      <c r="E24" s="120" t="s">
        <v>84</v>
      </c>
    </row>
    <row r="25" spans="1:5" x14ac:dyDescent="0.3">
      <c r="A25" t="s">
        <v>774</v>
      </c>
      <c r="B25" s="120" t="s">
        <v>705</v>
      </c>
      <c r="C25" s="120" t="s">
        <v>5</v>
      </c>
      <c r="D25" s="120">
        <v>0</v>
      </c>
      <c r="E25" s="120" t="s">
        <v>84</v>
      </c>
    </row>
    <row r="26" spans="1:5" x14ac:dyDescent="0.3">
      <c r="A26" t="s">
        <v>710</v>
      </c>
      <c r="B26" s="120" t="s">
        <v>711</v>
      </c>
      <c r="C26" s="120" t="s">
        <v>5</v>
      </c>
      <c r="D26" s="120">
        <v>0</v>
      </c>
      <c r="E26" s="120" t="s">
        <v>84</v>
      </c>
    </row>
    <row r="27" spans="1:5" x14ac:dyDescent="0.3">
      <c r="A27" t="s">
        <v>785</v>
      </c>
      <c r="B27" s="120" t="s">
        <v>786</v>
      </c>
      <c r="C27" s="120" t="s">
        <v>5</v>
      </c>
      <c r="D27" s="120">
        <v>0</v>
      </c>
      <c r="E27" s="120" t="s">
        <v>84</v>
      </c>
    </row>
    <row r="28" spans="1:5" x14ac:dyDescent="0.3">
      <c r="A28" t="s">
        <v>860</v>
      </c>
      <c r="B28" s="120" t="s">
        <v>861</v>
      </c>
      <c r="C28" s="120" t="s">
        <v>5</v>
      </c>
      <c r="D28" s="120">
        <v>0</v>
      </c>
      <c r="E28" s="120" t="s">
        <v>84</v>
      </c>
    </row>
    <row r="29" spans="1:5" x14ac:dyDescent="0.3">
      <c r="A29" t="s">
        <v>1700</v>
      </c>
      <c r="B29" s="120" t="s">
        <v>1699</v>
      </c>
      <c r="C29" s="120" t="s">
        <v>5</v>
      </c>
      <c r="D29" s="120">
        <v>0</v>
      </c>
      <c r="E29" s="120" t="s">
        <v>84</v>
      </c>
    </row>
    <row r="30" spans="1:5" x14ac:dyDescent="0.3">
      <c r="A30" t="s">
        <v>959</v>
      </c>
      <c r="B30" s="120" t="s">
        <v>930</v>
      </c>
      <c r="C30" s="120" t="s">
        <v>5</v>
      </c>
      <c r="D30" s="120">
        <v>0</v>
      </c>
      <c r="E30" s="120" t="s">
        <v>84</v>
      </c>
    </row>
    <row r="31" spans="1:5" x14ac:dyDescent="0.3">
      <c r="A31" t="s">
        <v>1058</v>
      </c>
      <c r="B31" s="120" t="s">
        <v>1701</v>
      </c>
      <c r="C31" s="120" t="s">
        <v>5</v>
      </c>
      <c r="D31" s="120">
        <v>0</v>
      </c>
      <c r="E31" s="120" t="s">
        <v>84</v>
      </c>
    </row>
    <row r="32" spans="1:5" x14ac:dyDescent="0.3">
      <c r="A32" t="s">
        <v>1052</v>
      </c>
      <c r="B32" s="120" t="s">
        <v>1053</v>
      </c>
      <c r="C32" s="120" t="s">
        <v>5</v>
      </c>
      <c r="D32" s="120">
        <v>0</v>
      </c>
      <c r="E32" s="120" t="s">
        <v>84</v>
      </c>
    </row>
    <row r="33" spans="1:5" x14ac:dyDescent="0.3">
      <c r="A33" t="s">
        <v>1058</v>
      </c>
      <c r="B33" s="120" t="s">
        <v>1053</v>
      </c>
      <c r="C33" s="120" t="s">
        <v>5</v>
      </c>
      <c r="D33" s="120">
        <v>0</v>
      </c>
      <c r="E33" s="120" t="s">
        <v>84</v>
      </c>
    </row>
    <row r="34" spans="1:5" x14ac:dyDescent="0.3">
      <c r="A34" t="s">
        <v>1102</v>
      </c>
      <c r="B34" s="120" t="s">
        <v>1099</v>
      </c>
      <c r="C34" s="120" t="s">
        <v>5</v>
      </c>
      <c r="D34" s="120">
        <v>0</v>
      </c>
      <c r="E34" s="120" t="s">
        <v>84</v>
      </c>
    </row>
    <row r="35" spans="1:5" x14ac:dyDescent="0.3">
      <c r="A35" t="s">
        <v>1101</v>
      </c>
      <c r="B35" s="120" t="s">
        <v>1100</v>
      </c>
      <c r="C35" s="120" t="s">
        <v>5</v>
      </c>
      <c r="D35" s="120">
        <v>0</v>
      </c>
      <c r="E35" s="120" t="s">
        <v>84</v>
      </c>
    </row>
    <row r="36" spans="1:5" x14ac:dyDescent="0.3">
      <c r="A36" t="s">
        <v>1197</v>
      </c>
      <c r="B36" s="120" t="s">
        <v>1203</v>
      </c>
      <c r="C36" s="120" t="s">
        <v>5</v>
      </c>
      <c r="D36" s="120">
        <v>0</v>
      </c>
      <c r="E36" s="120" t="s">
        <v>84</v>
      </c>
    </row>
    <row r="37" spans="1:5" x14ac:dyDescent="0.3">
      <c r="A37" t="s">
        <v>1258</v>
      </c>
      <c r="B37" s="120" t="s">
        <v>1262</v>
      </c>
      <c r="C37" s="120" t="s">
        <v>5</v>
      </c>
      <c r="D37" s="120">
        <v>0</v>
      </c>
      <c r="E37" s="120" t="s">
        <v>84</v>
      </c>
    </row>
    <row r="38" spans="1:5" x14ac:dyDescent="0.3">
      <c r="A38" t="s">
        <v>1305</v>
      </c>
      <c r="B38" s="120" t="s">
        <v>1306</v>
      </c>
      <c r="C38" s="120" t="s">
        <v>5</v>
      </c>
      <c r="D38" s="120">
        <v>0</v>
      </c>
      <c r="E38" s="120" t="s">
        <v>84</v>
      </c>
    </row>
    <row r="39" spans="1:5" x14ac:dyDescent="0.3">
      <c r="A39" t="s">
        <v>1310</v>
      </c>
      <c r="B39" s="120" t="s">
        <v>1311</v>
      </c>
      <c r="C39" s="120">
        <v>30</v>
      </c>
      <c r="D39" s="120">
        <v>30</v>
      </c>
      <c r="E39" s="121" t="s">
        <v>85</v>
      </c>
    </row>
    <row r="40" spans="1:5" x14ac:dyDescent="0.3">
      <c r="A40" t="s">
        <v>1421</v>
      </c>
      <c r="B40" s="120" t="s">
        <v>1422</v>
      </c>
      <c r="C40" s="120" t="s">
        <v>5</v>
      </c>
      <c r="D40" s="120">
        <v>0</v>
      </c>
      <c r="E40" s="120" t="s">
        <v>84</v>
      </c>
    </row>
    <row r="41" spans="1:5" x14ac:dyDescent="0.3">
      <c r="A41" t="s">
        <v>1621</v>
      </c>
      <c r="B41" s="120" t="s">
        <v>1620</v>
      </c>
      <c r="C41" s="120" t="s">
        <v>5</v>
      </c>
      <c r="D41" s="120">
        <v>0</v>
      </c>
      <c r="E41" s="120" t="s">
        <v>84</v>
      </c>
    </row>
    <row r="42" spans="1:5" x14ac:dyDescent="0.3">
      <c r="A42" t="s">
        <v>1703</v>
      </c>
      <c r="B42" s="120" t="s">
        <v>1702</v>
      </c>
      <c r="C42" s="120" t="s">
        <v>5</v>
      </c>
      <c r="D42" s="120">
        <v>0</v>
      </c>
      <c r="E42" s="120" t="s">
        <v>5</v>
      </c>
    </row>
    <row r="43" spans="1:5" x14ac:dyDescent="0.3">
      <c r="A43" t="s">
        <v>1705</v>
      </c>
      <c r="B43" s="120" t="s">
        <v>1704</v>
      </c>
      <c r="C43" s="120" t="s">
        <v>5</v>
      </c>
      <c r="D43" s="120">
        <v>0</v>
      </c>
      <c r="E43" s="120" t="s">
        <v>84</v>
      </c>
    </row>
    <row r="44" spans="1:5" x14ac:dyDescent="0.3">
      <c r="A44" t="s">
        <v>2013</v>
      </c>
      <c r="B44" s="120" t="s">
        <v>2016</v>
      </c>
      <c r="C44" s="120" t="s">
        <v>5</v>
      </c>
      <c r="D44" s="120">
        <v>0</v>
      </c>
      <c r="E44" s="120" t="s">
        <v>84</v>
      </c>
    </row>
    <row r="45" spans="1:5" x14ac:dyDescent="0.3">
      <c r="A45" t="s">
        <v>2204</v>
      </c>
      <c r="B45" s="120" t="s">
        <v>2217</v>
      </c>
      <c r="C45" s="120" t="s">
        <v>5</v>
      </c>
      <c r="D45" s="120">
        <v>0</v>
      </c>
      <c r="E45" s="120" t="s">
        <v>84</v>
      </c>
    </row>
    <row r="46" spans="1:5" x14ac:dyDescent="0.3">
      <c r="A46" t="s">
        <v>2959</v>
      </c>
      <c r="B46" s="120" t="s">
        <v>2218</v>
      </c>
      <c r="C46" s="120" t="s">
        <v>5</v>
      </c>
      <c r="D46" s="120">
        <v>0</v>
      </c>
      <c r="E46" s="120" t="s">
        <v>5</v>
      </c>
    </row>
    <row r="47" spans="1:5" x14ac:dyDescent="0.3">
      <c r="A47" t="s">
        <v>2344</v>
      </c>
      <c r="B47" s="120" t="s">
        <v>2375</v>
      </c>
      <c r="C47" s="120" t="s">
        <v>5</v>
      </c>
      <c r="D47" s="120">
        <v>0</v>
      </c>
      <c r="E47" s="120" t="s">
        <v>84</v>
      </c>
    </row>
    <row r="48" spans="1:5" x14ac:dyDescent="0.3">
      <c r="A48" t="s">
        <v>2357</v>
      </c>
      <c r="B48" s="120" t="s">
        <v>2376</v>
      </c>
      <c r="C48" s="120" t="s">
        <v>5</v>
      </c>
      <c r="D48" s="120">
        <v>0</v>
      </c>
      <c r="E48" s="120" t="s">
        <v>5</v>
      </c>
    </row>
    <row r="49" spans="1:5" x14ac:dyDescent="0.3">
      <c r="A49" t="s">
        <v>2435</v>
      </c>
      <c r="B49" s="120" t="s">
        <v>2434</v>
      </c>
      <c r="C49" s="120" t="s">
        <v>5</v>
      </c>
      <c r="D49" s="120">
        <v>0</v>
      </c>
      <c r="E49" s="120" t="s">
        <v>5</v>
      </c>
    </row>
    <row r="50" spans="1:5" x14ac:dyDescent="0.3">
      <c r="A50" t="s">
        <v>2513</v>
      </c>
      <c r="B50" s="120" t="s">
        <v>2620</v>
      </c>
      <c r="C50" s="120" t="s">
        <v>5</v>
      </c>
      <c r="D50" s="120">
        <v>0</v>
      </c>
      <c r="E50" s="120" t="s">
        <v>5</v>
      </c>
    </row>
    <row r="51" spans="1:5" x14ac:dyDescent="0.3">
      <c r="A51" s="122" t="s">
        <v>2808</v>
      </c>
      <c r="B51" s="120" t="s">
        <v>2809</v>
      </c>
      <c r="C51" s="120" t="s">
        <v>5</v>
      </c>
      <c r="D51" s="120">
        <v>0</v>
      </c>
      <c r="E51" s="120" t="s">
        <v>5</v>
      </c>
    </row>
    <row r="52" spans="1:5" x14ac:dyDescent="0.3">
      <c r="A52" t="s">
        <v>2732</v>
      </c>
      <c r="B52" s="120" t="s">
        <v>2731</v>
      </c>
      <c r="C52" s="120" t="s">
        <v>5</v>
      </c>
      <c r="D52" s="120">
        <v>0</v>
      </c>
      <c r="E52" s="120" t="s">
        <v>5</v>
      </c>
    </row>
    <row r="53" spans="1:5" ht="15.6" x14ac:dyDescent="0.3">
      <c r="A53" s="1" t="s">
        <v>2740</v>
      </c>
      <c r="B53" s="120" t="s">
        <v>2739</v>
      </c>
      <c r="C53" s="120" t="s">
        <v>5</v>
      </c>
      <c r="D53" s="120">
        <v>0</v>
      </c>
      <c r="E53" s="120" t="s">
        <v>5</v>
      </c>
    </row>
    <row r="54" spans="1:5" x14ac:dyDescent="0.3">
      <c r="A54" t="s">
        <v>2816</v>
      </c>
      <c r="B54" s="120" t="s">
        <v>2829</v>
      </c>
      <c r="C54" s="120" t="s">
        <v>5</v>
      </c>
      <c r="D54" s="120">
        <v>0</v>
      </c>
      <c r="E54" s="120" t="s">
        <v>5</v>
      </c>
    </row>
    <row r="55" spans="1:5" x14ac:dyDescent="0.3">
      <c r="A55" t="s">
        <v>2822</v>
      </c>
      <c r="B55" s="120" t="s">
        <v>2857</v>
      </c>
      <c r="C55" s="120" t="s">
        <v>5</v>
      </c>
      <c r="D55" s="120">
        <v>0</v>
      </c>
      <c r="E55" s="120" t="s">
        <v>5</v>
      </c>
    </row>
    <row r="56" spans="1:5" x14ac:dyDescent="0.3">
      <c r="A56" t="s">
        <v>2901</v>
      </c>
      <c r="B56" s="120" t="s">
        <v>2900</v>
      </c>
      <c r="C56" s="120" t="s">
        <v>5</v>
      </c>
      <c r="D56" s="120">
        <v>1</v>
      </c>
      <c r="E56" s="120" t="s">
        <v>5</v>
      </c>
    </row>
    <row r="57" spans="1:5" ht="15.6" x14ac:dyDescent="0.3">
      <c r="A57" s="1"/>
      <c r="B57" s="120" t="s">
        <v>3013</v>
      </c>
    </row>
    <row r="58" spans="1:5" ht="15.6" x14ac:dyDescent="0.3">
      <c r="A58" s="1" t="s">
        <v>3012</v>
      </c>
      <c r="B58" s="120" t="s">
        <v>3014</v>
      </c>
      <c r="C58" s="120" t="s">
        <v>5</v>
      </c>
      <c r="D58" s="120">
        <v>0</v>
      </c>
      <c r="E58" s="120" t="s">
        <v>5</v>
      </c>
    </row>
    <row r="59" spans="1:5" x14ac:dyDescent="0.3">
      <c r="B59" s="120" t="s">
        <v>3072</v>
      </c>
    </row>
    <row r="60" spans="1:5" ht="15.6" x14ac:dyDescent="0.3">
      <c r="A60" s="1" t="s">
        <v>3068</v>
      </c>
      <c r="B60" s="120" t="s">
        <v>3073</v>
      </c>
      <c r="C60" s="120" t="s">
        <v>5</v>
      </c>
      <c r="D60" s="120">
        <v>0</v>
      </c>
      <c r="E60" s="120" t="s">
        <v>5</v>
      </c>
    </row>
    <row r="61" spans="1:5" x14ac:dyDescent="0.3">
      <c r="B61" s="120" t="s">
        <v>3074</v>
      </c>
    </row>
    <row r="62" spans="1:5" x14ac:dyDescent="0.3">
      <c r="B62" s="120" t="s">
        <v>3075</v>
      </c>
    </row>
    <row r="63" spans="1:5" ht="15.6" x14ac:dyDescent="0.3">
      <c r="A63" s="1" t="s">
        <v>3020</v>
      </c>
      <c r="B63" s="120" t="s">
        <v>3076</v>
      </c>
      <c r="C63" s="120" t="s">
        <v>5</v>
      </c>
      <c r="D63" s="120">
        <v>0</v>
      </c>
      <c r="E63" s="120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0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1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1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1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1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1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1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1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1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1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1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2025-01-05T14:38:53Z</dcterms:modified>
</cp:coreProperties>
</file>