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5" activeTab="18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</sheets>
  <externalReferences>
    <externalReference r:id="rId20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<sst xmlns="http://schemas.openxmlformats.org/spreadsheetml/2006/main" count="2049">
  <si>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</si>
  <si>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</si>
  <si>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</si>
  <si>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</si>
  <si>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</si>
  <si>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</si>
  <si>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</si>
  <si>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</si>
  <si>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</si>
  <si>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</si>
  <si>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</si>
  <si>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</si>
  <si>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</si>
  <si>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</si>
  <si>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</si>
  <si>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</si>
  <si>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</si>
  <si>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</si>
  <si>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</si>
  <si>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</si>
  <si>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</si>
  <si>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</si>
  <si>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</si>
  <si>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</si>
  <si>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</si>
  <si>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</si>
  <si>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</si>
  <si>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</si>
  <si>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</si>
  <si>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</si>
  <si>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</si>
  <si>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</si>
  <si>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</si>
  <si>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</si>
  <si>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</si>
  <si>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</si>
  <si>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</si>
  <si>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</si>
  <si>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</si>
  <si>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</si>
  <si>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</si>
  <si>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</si>
  <si>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</si>
  <si>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</si>
  <si>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</si>
  <si>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</si>
  <si>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</si>
  <si>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</si>
  <si>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</si>
  <si>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</si>
  <si>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</si>
  <si>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</si>
  <si>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</si>
  <si>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</si>
  <si>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</si>
  <si>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</si>
  <si>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</si>
  <si>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</si>
  <si>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</si>
  <si>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</si>
  <si>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</si>
  <si>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</si>
  <si>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</si>
  <si>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</si>
  <si>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</si>
  <si>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</si>
  <si>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</si>
  <si>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</si>
  <si>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</si>
  <si>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</si>
  <si>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</si>
  <si>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</si>
  <si>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</si>
  <si>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</si>
  <si>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</si>
  <si>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</si>
  <si>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</si>
  <si>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</si>
  <si>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</si>
  <si>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</si>
  <si>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</si>
  <si>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</si>
  <si>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</si>
  <si>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</si>
  <si>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</si>
  <si>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</si>
  <si>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</si>
  <si>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</si>
  <si>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</si>
  <si>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</si>
  <si>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</si>
  <si>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</si>
  <si>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</si>
  <si>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</si>
  <si>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</si>
  <si>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</si>
  <si>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</si>
  <si>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</si>
  <si>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</si>
  <si>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</si>
  <si>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</si>
  <si>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</si>
  <si>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</si>
  <si>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</si>
  <si>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</si>
  <si>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</si>
  <si>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</si>
  <si>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</si>
  <si>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</si>
  <si>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</si>
  <si>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</si>
  <si>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</si>
  <si>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</si>
  <si>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</si>
  <si>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</si>
  <si>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</si>
  <si>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</si>
  <si>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</si>
  <si>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</si>
  <si>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</si>
  <si>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</si>
  <si>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</si>
  <si>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</si>
  <si>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</si>
  <si>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</si>
  <si>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</si>
  <si>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</si>
  <si>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</si>
  <si>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</si>
  <si>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</si>
  <si>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</si>
  <si>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</si>
  <si>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</si>
  <si>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</si>
  <si>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</si>
  <si>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</si>
  <si>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</si>
  <si>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</si>
  <si>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</si>
  <si>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</si>
  <si>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</si>
  <si>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</si>
  <si>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</si>
  <si>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</si>
  <si>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</si>
  <si>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</si>
  <si>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</si>
  <si>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</si>
  <si>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</si>
  <si>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</si>
  <si>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</si>
  <si>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</si>
  <si>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</si>
  <si>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</si>
  <si>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</si>
  <si>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</si>
  <si>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</si>
  <si>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</si>
  <si>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</si>
  <si>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</si>
  <si>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</si>
  <si>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</si>
  <si>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</si>
  <si>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</si>
  <si>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</si>
  <si>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</si>
  <si>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</si>
  <si>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</si>
  <si>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</si>
  <si>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</si>
  <si>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</si>
  <si>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</si>
  <si>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</si>
  <si>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</si>
  <si>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</si>
  <si>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</si>
  <si>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</si>
  <si>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</si>
  <si>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</si>
  <si>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</si>
  <si>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</si>
  <si>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</si>
  <si>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</si>
  <si>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</si>
  <si>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</si>
  <si>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</si>
  <si>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</si>
  <si>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</si>
  <si>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</si>
  <si>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</si>
  <si>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</si>
  <si>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</si>
  <si>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</si>
  <si>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</si>
  <si>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</si>
  <si>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</si>
  <si>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</si>
  <si>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</si>
  <si>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</si>
  <si>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</si>
  <si>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</si>
  <si>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</si>
  <si>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</si>
  <si>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</si>
  <si>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</si>
  <si>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</si>
  <si>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</si>
  <si>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</si>
  <si>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</si>
  <si>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</si>
  <si>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</si>
  <si>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</si>
  <si>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</si>
  <si>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</si>
  <si>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</si>
  <si>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</si>
  <si>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</si>
  <si>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</si>
  <si>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</si>
  <si>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</si>
  <si>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</si>
  <si>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</si>
  <si>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</si>
  <si>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</si>
  <si>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</si>
  <si>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</si>
  <si>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</si>
  <si>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</si>
  <si>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</si>
  <si>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</si>
  <si>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</si>
  <si>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</si>
  <si>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</si>
  <si>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</si>
  <si>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</si>
  <si>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</si>
  <si>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</si>
  <si>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</si>
  <si>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</si>
  <si>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</si>
  <si>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</si>
  <si>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</si>
  <si>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</si>
  <si>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</si>
  <si>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</si>
  <si>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</si>
  <si>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</si>
  <si>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</si>
  <si>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</si>
  <si>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</si>
  <si>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</si>
  <si>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</si>
  <si>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</si>
  <si>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</si>
  <si>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</si>
  <si>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</si>
  <si>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</si>
  <si>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</si>
  <si>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</si>
  <si>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</si>
  <si>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</si>
  <si>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</si>
  <si>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</si>
  <si>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</si>
  <si>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</si>
  <si>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</si>
  <si>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</si>
  <si>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</si>
  <si>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</si>
  <si>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</si>
  <si>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</si>
  <si>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</si>
  <si>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</si>
  <si>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</si>
  <si>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</si>
  <si>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</si>
  <si>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</si>
  <si>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</si>
  <si>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</si>
  <si>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</si>
  <si>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</si>
  <si>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</si>
  <si>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</si>
  <si>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</si>
  <si>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</si>
  <si>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</si>
  <si>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</si>
  <si>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</si>
  <si>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</si>
  <si>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</si>
  <si>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</si>
  <si>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</si>
  <si>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</si>
  <si>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</si>
  <si>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</si>
  <si>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</si>
  <si>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</si>
  <si>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</si>
  <si>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</si>
  <si>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</si>
  <si>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</si>
  <si>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</si>
  <si>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</si>
  <si>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</si>
  <si>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</si>
  <si>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</si>
  <si>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</si>
  <si>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</si>
  <si>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</si>
  <si>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</si>
  <si>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</si>
  <si>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</si>
  <si>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</si>
  <si>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</si>
  <si>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</si>
  <si>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</si>
  <si>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</si>
  <si>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</si>
  <si>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</si>
  <si>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</si>
  <si>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</si>
  <si>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</si>
  <si>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</si>
  <si>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</si>
  <si>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</si>
  <si>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</si>
  <si>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</si>
  <si>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</si>
  <si>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</si>
  <si>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</si>
  <si>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</si>
  <si>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</si>
  <si>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</si>
  <si>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</si>
  <si>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</si>
  <si>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</si>
  <si>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</si>
  <si>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</si>
  <si>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</si>
  <si>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</si>
  <si>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</si>
  <si>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</si>
  <si>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</si>
  <si>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</si>
  <si>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</si>
  <si>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</si>
  <si>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</si>
  <si>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</si>
  <si>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</si>
  <si>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</si>
  <si>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</si>
  <si>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</si>
  <si>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</si>
  <si>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</si>
  <si>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</si>
  <si>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</si>
  <si>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</si>
  <si>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</si>
  <si>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</si>
  <si>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</si>
  <si>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</si>
  <si>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</si>
  <si>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</si>
  <si>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</si>
  <si>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</si>
  <si>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</si>
  <si>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</si>
  <si>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</si>
  <si>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</si>
  <si>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</si>
  <si>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</si>
  <si>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</si>
  <si>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</si>
  <si>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</si>
  <si>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</si>
  <si>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</si>
  <si>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</si>
  <si>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</si>
  <si>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</si>
  <si>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</si>
  <si>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</si>
  <si>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</si>
  <si>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</si>
  <si>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</si>
  <si>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</si>
  <si>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</si>
  <si>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</si>
  <si>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</si>
  <si>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</si>
  <si>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</si>
  <si>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</si>
  <si>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</si>
  <si>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</si>
  <si>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</si>
  <si>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</si>
  <si>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</si>
  <si>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</si>
  <si>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</si>
  <si>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</si>
  <si>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</si>
  <si>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</si>
  <si>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</si>
  <si>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</si>
  <si>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</si>
  <si>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</si>
  <si>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</si>
  <si>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</si>
  <si>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</si>
  <si>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</si>
  <si>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</si>
  <si>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</si>
  <si>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</si>
  <si>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</si>
  <si>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</si>
  <si>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</si>
  <si>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</si>
  <si>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</si>
  <si>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</si>
  <si>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</si>
  <si>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</si>
  <si>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</si>
  <si>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</si>
  <si>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</si>
  <si>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</si>
  <si>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</si>
  <si>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</si>
  <si>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</si>
  <si>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</si>
  <si>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</si>
  <si>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</si>
  <si>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</si>
  <si>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</si>
  <si>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</si>
  <si>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</si>
  <si>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</si>
  <si>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</si>
  <si>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</si>
  <si>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</si>
  <si>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</si>
  <si>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</si>
  <si>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</si>
  <si>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</si>
  <si>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</si>
  <si>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</si>
  <si>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</si>
  <si>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</si>
  <si>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</si>
  <si>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</si>
  <si>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</si>
  <si>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</si>
  <si>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</si>
  <si>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</si>
  <si>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</si>
  <si>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</si>
  <si>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</si>
  <si>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</si>
  <si>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</si>
  <si>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</si>
  <si>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</si>
  <si>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</si>
  <si>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</si>
  <si>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</si>
  <si>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</si>
  <si>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</si>
  <si>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</si>
  <si>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</si>
  <si>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</si>
  <si>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</si>
  <si>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</si>
  <si>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</si>
  <si>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</si>
  <si>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</si>
  <si>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</si>
  <si>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</si>
  <si>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</si>
  <si>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</si>
  <si>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</si>
  <si>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</si>
  <si>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</si>
  <si>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</si>
  <si>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</si>
  <si>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</si>
  <si>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</si>
  <si>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</si>
  <si>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</si>
  <si>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</si>
  <si>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</si>
  <si>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</si>
  <si>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</si>
  <si>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</si>
  <si>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</si>
  <si>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</si>
  <si>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</si>
  <si>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</si>
  <si>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</si>
  <si>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</si>
  <si>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</si>
  <si>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</si>
  <si>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</si>
  <si>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</si>
  <si>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</si>
  <si>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</si>
  <si>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</si>
  <si>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</si>
  <si>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</si>
  <si>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</si>
  <si>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</si>
  <si>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</si>
  <si>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</si>
  <si>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</si>
  <si>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</si>
  <si>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</si>
  <si>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</si>
  <si>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</si>
  <si>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</si>
  <si>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</si>
  <si>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</si>
  <si>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</si>
  <si>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</si>
  <si>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</si>
  <si>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</si>
  <si>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</si>
  <si>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</si>
  <si>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</si>
  <si>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</si>
  <si>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</si>
  <si>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</si>
  <si>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</si>
  <si>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</si>
  <si>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</si>
  <si>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</si>
  <si>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</si>
  <si>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</si>
  <si>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</si>
  <si>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</si>
  <si>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</si>
  <si>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</si>
  <si>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</si>
  <si>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</si>
  <si>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</si>
  <si>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</si>
  <si>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</si>
  <si>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</si>
  <si>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</si>
  <si>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</si>
  <si>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</si>
  <si>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</si>
  <si>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</si>
  <si>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</si>
  <si>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</si>
  <si>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</si>
  <si>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</si>
  <si>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</si>
  <si>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</si>
  <si>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</si>
  <si>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</si>
  <si>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</si>
  <si>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</si>
  <si>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</si>
  <si>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</si>
  <si>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</si>
  <si>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</si>
  <si>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</si>
  <si>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</si>
  <si>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</si>
  <si>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</si>
  <si>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</si>
  <si>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</si>
  <si>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</si>
  <si>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</si>
  <si>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</si>
  <si>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</si>
  <si>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</si>
  <si>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</si>
  <si>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</si>
  <si>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</si>
  <si>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</si>
  <si>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</si>
  <si>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</si>
  <si>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</si>
  <si>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</si>
  <si>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</si>
  <si>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</si>
  <si>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</si>
  <si>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</si>
  <si>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</si>
  <si>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</si>
  <si>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</si>
  <si>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</si>
  <si>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</si>
  <si>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</si>
  <si>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</si>
  <si>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</si>
  <si>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</si>
  <si>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</si>
  <si>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</si>
  <si>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</si>
  <si>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</si>
  <si>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</si>
  <si>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</si>
  <si>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</si>
  <si>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</si>
  <si>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</si>
  <si>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</si>
  <si>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</si>
  <si>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</si>
  <si>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</si>
  <si>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</si>
  <si>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</si>
  <si>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</si>
  <si>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</si>
  <si>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</si>
  <si>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</si>
  <si>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</si>
  <si>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</si>
  <si>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</si>
  <si>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</si>
  <si>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</si>
  <si>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</si>
  <si>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</si>
  <si>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</si>
  <si>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</si>
  <si>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</si>
  <si>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</si>
  <si>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</si>
  <si>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</si>
  <si>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</si>
  <si>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</si>
  <si>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</si>
  <si>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</si>
  <si>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</si>
  <si>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</si>
  <si>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</si>
  <si>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</si>
  <si>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</si>
  <si>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</si>
  <si>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</si>
  <si>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</si>
  <si>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</si>
  <si>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</si>
  <si>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</si>
  <si>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</si>
  <si>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</si>
  <si>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</si>
  <si>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</si>
  <si>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</si>
  <si>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</si>
  <si>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</si>
  <si>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</si>
  <si>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</si>
  <si>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</si>
  <si>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</si>
  <si>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</si>
  <si>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</si>
  <si>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</si>
  <si>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</si>
  <si>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</si>
  <si>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</si>
  <si>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</si>
  <si>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</si>
  <si>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</si>
  <si>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</si>
  <si>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</si>
  <si>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</si>
  <si>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</si>
  <si>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</si>
  <si>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</si>
  <si>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</si>
  <si>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</si>
  <si>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</si>
  <si>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</si>
  <si>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</si>
  <si>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</si>
  <si>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</si>
  <si>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</si>
  <si>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</si>
  <si>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</si>
  <si>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</si>
  <si>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</si>
  <si>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</si>
  <si>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</si>
  <si>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</si>
  <si>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</si>
  <si>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</si>
  <si>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</si>
  <si>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</si>
  <si>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</si>
  <si>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</si>
  <si>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</si>
  <si>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</si>
  <si>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</si>
  <si>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</si>
  <si>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</si>
  <si>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</si>
  <si>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</si>
  <si>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</si>
  <si>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</si>
  <si>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</si>
  <si>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</si>
  <si>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</si>
  <si>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</si>
  <si>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</si>
  <si>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</si>
  <si>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</si>
  <si>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</si>
  <si>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</si>
  <si>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</si>
  <si>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</si>
  <si>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</si>
  <si>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</si>
  <si>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</si>
  <si>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</si>
  <si>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</si>
  <si>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</si>
  <si>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</si>
  <si>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</si>
  <si>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</si>
  <si>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</si>
  <si>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</si>
  <si>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</si>
  <si>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</si>
  <si>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</si>
  <si>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</si>
  <si>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</si>
  <si>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</si>
  <si>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</si>
  <si>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</si>
  <si>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</si>
  <si>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</si>
  <si>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</si>
  <si>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</si>
  <si>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</si>
  <si>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</si>
  <si>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</si>
  <si>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</si>
  <si>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</si>
  <si>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</si>
  <si>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</si>
  <si>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</si>
  <si>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</si>
  <si>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</si>
  <si>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</si>
  <si>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</si>
  <si>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</si>
  <si>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</si>
  <si>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</si>
  <si>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</si>
  <si>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</si>
  <si>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</si>
  <si>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</si>
  <si>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</si>
  <si>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</si>
  <si>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</si>
  <si>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</si>
  <si>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</si>
  <si>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</si>
  <si>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</si>
  <si>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</si>
  <si>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</si>
  <si>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</si>
  <si>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</si>
  <si>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</si>
  <si>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</si>
  <si>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</si>
  <si>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</si>
  <si>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</si>
  <si>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</si>
  <si>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</si>
  <si>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</si>
  <si>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</si>
  <si>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</si>
  <si>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</si>
  <si>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</si>
  <si>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</si>
  <si>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</si>
  <si>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</si>
  <si>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</si>
  <si>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</si>
  <si>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</si>
  <si>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</si>
  <si>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</si>
  <si>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</si>
  <si>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</si>
  <si>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</si>
  <si>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</si>
  <si>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</si>
  <si>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</si>
  <si>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</si>
  <si>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</si>
  <si>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</si>
  <si>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</si>
  <si>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</si>
  <si>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</si>
  <si>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</si>
  <si>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</si>
  <si>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</si>
  <si>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</si>
  <si>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</si>
  <si>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</si>
  <si>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</si>
  <si>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</si>
  <si>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</si>
  <si>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</si>
  <si>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</si>
  <si>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</si>
  <si>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</si>
  <si>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</si>
  <si>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</si>
  <si>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</si>
  <si>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</si>
  <si>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</si>
  <si>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</si>
  <si>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</si>
  <si>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</si>
  <si>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</si>
  <si>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</si>
  <si>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</si>
  <si>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</si>
  <si>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</si>
  <si>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</si>
  <si>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</si>
  <si>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</si>
  <si>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</si>
  <si>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</si>
  <si>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</si>
  <si>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</si>
  <si>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</si>
  <si>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</si>
  <si>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</si>
  <si>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</si>
  <si>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</si>
  <si>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</si>
  <si>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</si>
  <si>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</si>
  <si>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</si>
  <si>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</si>
  <si>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</si>
  <si>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</si>
  <si>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</si>
  <si>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</si>
  <si>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</si>
  <si>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</si>
  <si>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</si>
  <si>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</si>
  <si>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</si>
  <si>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</si>
  <si>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</si>
  <si>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</si>
  <si>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</si>
  <si>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</si>
  <si>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</si>
  <si>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</si>
  <si>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</si>
  <si>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</si>
  <si>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</si>
  <si>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</si>
  <si>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</si>
  <si>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</si>
  <si>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</si>
  <si>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</si>
  <si>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</si>
  <si>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</si>
  <si>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</si>
  <si>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</si>
  <si>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</si>
  <si>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</si>
  <si>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</si>
  <si>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</si>
  <si>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</si>
  <si>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</si>
  <si>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</si>
  <si>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</si>
  <si>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</si>
  <si>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</si>
  <si>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</si>
  <si>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</si>
  <si>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</si>
  <si>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</si>
  <si>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</si>
  <si>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</si>
  <si>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</si>
  <si>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</si>
  <si>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</si>
  <si>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</si>
  <si>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</si>
  <si>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</si>
  <si>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</si>
  <si>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</si>
  <si>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</si>
  <si>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</si>
  <si>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</si>
  <si>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</si>
  <si>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</si>
  <si>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</si>
  <si>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</si>
  <si>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</si>
  <si>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</si>
  <si>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</si>
  <si>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</si>
  <si>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</si>
  <si>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</si>
  <si>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</si>
  <si>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</si>
  <si>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</si>
  <si>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</si>
  <si>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</si>
  <si>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</si>
  <si>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</si>
  <si>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</si>
  <si>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</si>
  <si>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</si>
  <si>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</si>
  <si>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</si>
  <si>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</si>
  <si>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</si>
  <si>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</si>
  <si>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</si>
  <si>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</si>
  <si>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</si>
  <si>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</si>
  <si>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</si>
  <si>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</si>
  <si>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</si>
  <si>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</si>
  <si>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</si>
  <si>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</si>
  <si>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</si>
  <si>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</si>
  <si>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</si>
  <si>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</si>
  <si>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</si>
  <si>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</si>
  <si>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</si>
  <si>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</si>
  <si>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</si>
  <si>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</si>
  <si>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</si>
  <si>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</si>
  <si>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</si>
  <si>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</si>
  <si>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</si>
  <si>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</si>
  <si>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</si>
  <si>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</si>
  <si>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</si>
  <si>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</si>
  <si>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</si>
  <si>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</si>
  <si>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</si>
  <si>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</si>
  <si>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</si>
  <si>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</si>
  <si>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</si>
  <si>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</si>
  <si>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</si>
  <si>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</si>
  <si>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</si>
  <si>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</si>
  <si>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</si>
  <si>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</si>
  <si>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</si>
  <si>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</si>
  <si>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</si>
  <si>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</si>
  <si>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</si>
  <si>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</si>
  <si>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</si>
  <si>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</si>
  <si>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</si>
  <si>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</si>
  <si>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</si>
  <si>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</si>
  <si>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</si>
  <si>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</si>
  <si>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</si>
  <si>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</si>
  <si>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</si>
  <si>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</si>
  <si>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</si>
  <si>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</si>
  <si>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</si>
  <si>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</si>
  <si>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</si>
  <si>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</si>
  <si>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</si>
  <si>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</si>
  <si>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</si>
  <si>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</si>
  <si>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</si>
  <si>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</si>
  <si>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</si>
  <si>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</si>
  <si>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</si>
  <si>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</si>
  <si>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</si>
  <si>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</si>
  <si>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</si>
  <si>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</si>
  <si>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</si>
  <si>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</si>
  <si>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</si>
  <si>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</si>
  <si>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</si>
  <si>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</si>
  <si>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</si>
  <si>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</si>
  <si>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</si>
  <si>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</si>
  <si>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</si>
  <si>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</si>
  <si>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</si>
  <si>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</si>
  <si>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</si>
  <si>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</si>
  <si>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</si>
  <si>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</si>
  <si>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</si>
  <si>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</si>
  <si>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</si>
  <si>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</si>
  <si>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</si>
  <si>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</si>
  <si>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</si>
  <si>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</si>
  <si>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</si>
  <si>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</si>
  <si>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</si>
  <si>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</si>
  <si>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</si>
  <si>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</si>
  <si>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</si>
  <si>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</si>
  <si>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</si>
  <si>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</si>
  <si>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</si>
  <si>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</si>
  <si>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</si>
  <si>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</si>
  <si>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</si>
  <si>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</si>
  <si>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</si>
  <si>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</si>
  <si>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</si>
  <si>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</si>
  <si>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</si>
  <si>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</si>
  <si>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</si>
  <si>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</si>
  <si>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</si>
  <si>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</si>
  <si>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</si>
  <si>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</si>
  <si>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</si>
  <si>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</si>
  <si>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</si>
  <si>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</si>
  <si>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</si>
  <si>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</si>
  <si>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</si>
  <si>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</si>
  <si>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</si>
  <si>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</si>
  <si>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</si>
  <si>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</si>
  <si>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</si>
  <si>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</si>
  <si>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</si>
  <si>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</si>
  <si>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</si>
  <si>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</si>
  <si>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</si>
  <si>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</si>
  <si>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</si>
  <si>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</si>
  <si>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</si>
  <si>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</si>
  <si>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</si>
  <si>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</si>
  <si>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</si>
  <si>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</si>
  <si>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</si>
  <si>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</si>
  <si>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</si>
  <si>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</si>
  <si>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</si>
  <si>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</si>
  <si>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</si>
  <si>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</si>
  <si>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</si>
  <si>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</si>
  <si>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</si>
  <si>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</si>
  <si>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</si>
  <si>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</si>
  <si>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</si>
  <si>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</si>
  <si>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</si>
  <si>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</si>
  <si>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</si>
  <si>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</si>
  <si>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</si>
  <si>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</si>
  <si>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</si>
  <si>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</si>
  <si>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</si>
  <si>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</si>
  <si>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</si>
  <si>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</si>
  <si>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</si>
  <si>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</si>
  <si>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</si>
  <si>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</si>
  <si>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</si>
  <si>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</si>
  <si>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</si>
  <si>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</si>
  <si>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</si>
  <si>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</si>
  <si>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</si>
  <si>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</si>
  <si>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</si>
  <si>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</si>
  <si>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</si>
  <si>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</si>
  <si>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</si>
  <si>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</si>
  <si>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</si>
  <si>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</si>
  <si>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</si>
  <si>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</si>
  <si>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</si>
  <si>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</si>
  <si>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</si>
  <si>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</si>
  <si>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</si>
  <si>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</si>
  <si>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</si>
  <si>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</si>
  <si>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</si>
  <si>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</si>
  <si>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</si>
  <si>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</si>
  <si>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</si>
  <si>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</si>
  <si>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</si>
  <si>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</si>
  <si>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</si>
  <si>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</si>
  <si>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</si>
  <si>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</si>
  <si>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</si>
  <si>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</si>
  <si>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</si>
  <si>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</si>
  <si>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</si>
  <si>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</si>
  <si>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</si>
  <si>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</si>
  <si>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</si>
  <si>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</si>
  <si>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</si>
  <si>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</si>
  <si>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</si>
  <si>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</si>
  <si>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</si>
  <si>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</si>
  <si>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</si>
  <si>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</si>
  <si>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</si>
  <si>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</si>
  <si>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</si>
  <si>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</si>
  <si>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</si>
  <si>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</si>
  <si>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</si>
  <si>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</si>
  <si>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</si>
  <si>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</si>
  <si>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</si>
  <si>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</si>
  <si>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</si>
  <si>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</si>
  <si>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</si>
  <si>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</si>
  <si>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</si>
  <si>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</si>
  <si>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</si>
  <si>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</si>
  <si>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</si>
  <si>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</si>
  <si>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</si>
  <si>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</si>
  <si>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</si>
  <si>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</si>
  <si>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</si>
  <si>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</si>
  <si>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</si>
  <si>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</si>
  <si>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</si>
  <si>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</si>
  <si>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</si>
  <si>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</si>
  <si>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</si>
  <si>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</si>
  <si>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</si>
  <si>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</si>
  <si>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</si>
  <si>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</si>
  <si>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</si>
  <si>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</si>
  <si>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</si>
  <si>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</si>
  <si>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</si>
  <si>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</si>
  <si>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</si>
  <si>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</si>
  <si>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</si>
  <si>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</si>
  <si>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</si>
  <si>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</si>
  <si>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</si>
  <si>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</si>
  <si>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</si>
  <si>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</si>
  <si>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</si>
  <si>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</si>
  <si>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</si>
  <si>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</si>
  <si>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</si>
  <si>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</si>
  <si>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</si>
  <si>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</si>
  <si>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</si>
  <si>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</si>
  <si>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</si>
  <si>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</si>
  <si>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</si>
  <si>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</si>
  <si>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</si>
  <si>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</si>
  <si>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</si>
  <si>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</si>
  <si>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</si>
  <si>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</si>
  <si>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</si>
  <si>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</si>
  <si>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</si>
  <si>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</si>
  <si>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</si>
  <si>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</si>
  <si>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</si>
  <si>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</si>
  <si>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</si>
  <si>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</si>
  <si>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</si>
  <si>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</si>
  <si>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</si>
  <si>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</si>
  <si>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</si>
  <si>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</si>
  <si>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</si>
  <si>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</si>
  <si>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</si>
  <si>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</si>
  <si>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</si>
  <si>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</si>
  <si>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</si>
  <si>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</si>
  <si>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</si>
  <si>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</si>
  <si>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</si>
  <si>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</si>
  <si>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</si>
  <si>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</si>
  <si>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</si>
  <si>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</si>
  <si>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</si>
  <si>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</si>
  <si>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</si>
  <si>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</si>
  <si>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</si>
  <si>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</si>
  <si>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</si>
  <si>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</si>
  <si>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</si>
  <si>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</si>
  <si>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</si>
  <si>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</si>
  <si>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</si>
  <si>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</si>
  <si>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</si>
  <si>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</si>
  <si>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</si>
  <si>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</si>
  <si>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</si>
  <si>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</si>
  <si>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</si>
  <si>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</si>
  <si>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</si>
  <si>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</si>
  <si>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</si>
  <si>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</si>
  <si>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</si>
  <si>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</si>
  <si>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</si>
  <si>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</si>
  <si>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</si>
  <si>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</si>
  <si>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</si>
  <si>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</si>
  <si>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</si>
  <si>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</si>
  <si>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</si>
  <si>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</si>
  <si>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</si>
  <si>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</si>
  <si>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</si>
  <si>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</si>
  <si>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</si>
  <si>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</si>
  <si>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</si>
  <si>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</si>
  <si>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</si>
  <si>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</si>
  <si>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</si>
  <si>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</si>
  <si>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</si>
  <si>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</si>
  <si>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</si>
  <si>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</si>
  <si>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</si>
  <si>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</si>
  <si>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</si>
  <si>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</si>
  <si>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</si>
  <si>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</si>
  <si>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</si>
  <si>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</si>
  <si>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</si>
  <si>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</si>
  <si>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</si>
  <si>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</si>
  <si>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</si>
  <si>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</si>
  <si>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</si>
  <si>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</si>
  <si>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</si>
  <si>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</si>
  <si>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</si>
  <si>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</si>
  <si>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</si>
  <si>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</si>
  <si>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</si>
  <si>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</si>
  <si>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</si>
  <si>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</si>
  <si>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</si>
  <si>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</si>
  <si>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</si>
  <si>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</si>
  <si>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</si>
  <si>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</si>
  <si>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</si>
  <si>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</si>
  <si>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</si>
  <si>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</si>
  <si>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</si>
  <si>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</si>
  <si>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</si>
  <si>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</si>
  <si>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</si>
  <si>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</si>
  <si>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</si>
  <si>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</si>
  <si>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</si>
  <si>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</si>
  <si>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</si>
  <si>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</si>
  <si>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</si>
  <si>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</si>
  <si>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</si>
  <si>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</si>
  <si>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</si>
  <si>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</si>
  <si>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</si>
  <si>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</si>
  <si>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</si>
  <si>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</si>
  <si>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</si>
  <si>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</si>
  <si>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</si>
  <si>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</si>
  <si>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</si>
  <si>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</si>
  <si>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</si>
  <si>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</si>
  <si>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</si>
  <si>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</si>
  <si>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</si>
  <si>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</si>
  <si>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</si>
  <si>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</si>
  <si>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</si>
  <si>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</si>
  <si>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</si>
  <si>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30级宝石</t>
  </si>
  <si>
    <t>5级生命石</t>
  </si>
  <si>
    <t>技能冷却时间缩减5%</t>
  </si>
  <si>
    <t>6级生命石</t>
  </si>
  <si>
    <t>优良的血色石</t>
  </si>
  <si>
    <t>血量+24  战斗血量恢复提升2.5%</t>
  </si>
  <si>
    <t>受到最后一击攻击有2.5%概率恢复满血状态</t>
  </si>
  <si>
    <t>7级生命石</t>
  </si>
  <si>
    <t>优良的精准石</t>
  </si>
  <si>
    <t xml:space="preserve">命中等级+10  </t>
  </si>
  <si>
    <t>技能造成伤害提升10%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</si>
  <si>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</si>
  <si>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</si>
  <si>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</si>
  <si>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</si>
  <si>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</si>
  <si>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</si>
  <si>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</si>
  <si>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</si>
  <si>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</si>
  <si>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</si>
  <si>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</si>
  <si>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</si>
  <si>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</si>
  <si>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</si>
  <si>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</si>
  <si>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</si>
  <si>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</si>
  <si>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</si>
  <si>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</si>
  <si>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</si>
  <si>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</si>
  <si>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</si>
  <si>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</si>
  <si>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</si>
  <si>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</si>
  <si>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</si>
  <si>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</si>
  <si>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</si>
  <si>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</si>
  <si>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</si>
  <si>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</si>
  <si>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</si>
  <si>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</si>
  <si>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</si>
  <si>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</si>
  <si>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</si>
  <si>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</si>
  <si>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</si>
  <si>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</si>
  <si>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</si>
  <si>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</si>
  <si>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</si>
  <si>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</si>
  <si>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</si>
  <si>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</si>
  <si>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</si>
  <si>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</si>
  <si>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</si>
  <si>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</si>
  <si>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</si>
  <si>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</si>
  <si>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</si>
  <si>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</si>
  <si>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</si>
  <si>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</si>
  <si>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</si>
  <si>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</si>
  <si>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</si>
  <si>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</si>
  <si>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</si>
  <si>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</si>
  <si>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</si>
  <si>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</si>
  <si>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</si>
  <si>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</si>
  <si>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</si>
  <si>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</si>
  <si>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</si>
  <si>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</si>
  <si>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</si>
  <si>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</si>
  <si>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</si>
  <si>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</si>
  <si>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</si>
  <si>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</si>
  <si>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</si>
  <si>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</si>
  <si>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</si>
  <si>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</si>
  <si>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</si>
  <si>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</si>
  <si>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</si>
  <si>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</si>
  <si>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</si>
  <si>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</si>
  <si>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</si>
  <si>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</si>
  <si>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</si>
  <si>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</si>
  <si>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</si>
  <si>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</si>
  <si>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</si>
  <si>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</si>
  <si>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</si>
  <si>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</si>
  <si>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</si>
  <si>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</si>
  <si>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</si>
  <si>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</si>
  <si>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</si>
  <si>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</si>
  <si>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</si>
  <si>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</si>
  <si>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</si>
  <si>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</si>
  <si>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</si>
  <si>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</si>
  <si>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</si>
  <si>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</si>
  <si>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</si>
  <si>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</si>
  <si>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</si>
  <si>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</si>
  <si>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</si>
  <si>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</si>
  <si>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</si>
  <si>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</si>
  <si>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</si>
  <si>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</si>
  <si>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</si>
  <si>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</si>
  <si>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</si>
  <si>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</si>
  <si>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</si>
  <si>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</si>
  <si>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</si>
  <si>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</si>
  <si>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</si>
  <si>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</si>
  <si>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</si>
  <si>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</si>
  <si>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</si>
  <si>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</si>
  <si>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</si>
  <si>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</si>
  <si>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</si>
  <si>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</si>
  <si>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</si>
  <si>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</si>
  <si>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</si>
  <si>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</si>
  <si>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</si>
  <si>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</si>
  <si>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</si>
  <si>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</si>
  <si>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</si>
  <si>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</si>
  <si>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</si>
  <si>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</si>
  <si>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</si>
  <si>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</si>
  <si>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</si>
  <si>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</si>
  <si>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</si>
  <si>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</si>
  <si>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</si>
  <si>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</si>
  <si>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</si>
  <si>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</si>
  <si>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</si>
  <si>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</si>
  <si>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</si>
  <si>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</si>
  <si>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</si>
  <si>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</si>
  <si>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</si>
  <si>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</si>
  <si>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</si>
  <si>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</si>
  <si>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</si>
  <si>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</si>
  <si>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</si>
  <si>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</si>
  <si>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</si>
  <si>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</si>
  <si>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</si>
  <si>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</si>
  <si>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</si>
  <si>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</si>
  <si>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</si>
  <si>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</si>
  <si>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</si>
  <si>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</si>
  <si>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</si>
  <si>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</si>
  <si>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</si>
  <si>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</si>
  <si>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</si>
  <si>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</si>
  <si>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</si>
  <si>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</si>
  <si>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</si>
  <si>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</si>
  <si>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</si>
  <si>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</si>
  <si>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</si>
  <si>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</si>
  <si>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</si>
  <si>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</si>
  <si>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</si>
  <si>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</si>
  <si>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</si>
  <si>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</si>
  <si>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</si>
  <si>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</si>
  <si>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</si>
  <si>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</si>
  <si>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</si>
  <si>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</si>
  <si>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</si>
  <si>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</si>
  <si>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</si>
  <si>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</si>
  <si>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</si>
  <si>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</si>
  <si>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</si>
  <si>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</si>
  <si>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</si>
  <si>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</si>
  <si>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</si>
  <si>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</si>
  <si>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</si>
  <si>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</si>
  <si>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</si>
  <si>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</si>
  <si>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</si>
  <si>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</si>
  <si>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</si>
  <si>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</si>
  <si>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</si>
  <si>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</si>
  <si>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</si>
  <si>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</si>
  <si>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</si>
  <si>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</si>
  <si>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</si>
  <si>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</si>
  <si>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</si>
  <si>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</si>
  <si>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</si>
  <si>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</si>
  <si>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</si>
  <si>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</si>
  <si>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</si>
  <si>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</si>
  <si>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</si>
  <si>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</si>
  <si>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</si>
  <si>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</si>
  <si>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</si>
  <si>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</si>
  <si>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</si>
  <si>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</si>
  <si>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</si>
  <si>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</si>
  <si>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</si>
  <si>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</si>
  <si>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</si>
  <si>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</si>
  <si>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</si>
  <si>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</si>
  <si>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</si>
  <si>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</si>
  <si>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</si>
  <si>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</si>
  <si>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</si>
  <si>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</si>
  <si>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</si>
  <si>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</si>
  <si>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</si>
  <si>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</si>
  <si>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</si>
  <si>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</si>
  <si>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</si>
  <si>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</si>
  <si>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</si>
  <si>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</si>
  <si>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</si>
  <si>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</si>
  <si>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</si>
  <si>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</si>
  <si>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</si>
  <si>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</si>
  <si>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</si>
  <si>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</si>
  <si>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</si>
  <si>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</si>
  <si>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</si>
  <si>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</si>
  <si>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</si>
  <si>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</si>
  <si>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</si>
  <si>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</si>
  <si>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</si>
  <si>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</si>
  <si>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</si>
  <si>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</si>
  <si>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</si>
  <si>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</si>
  <si>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</si>
  <si>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</si>
  <si>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</si>
  <si>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</si>
  <si>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</si>
  <si>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</si>
  <si>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</si>
  <si>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</si>
  <si>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</si>
  <si>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</si>
  <si>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</si>
  <si>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</si>
  <si>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</si>
  <si>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</si>
  <si>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</si>
  <si>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</si>
  <si>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</si>
  <si>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</si>
  <si>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</si>
  <si>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</si>
  <si>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</si>
  <si>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</si>
  <si>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</si>
  <si>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</si>
  <si>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</si>
  <si>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</si>
  <si>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</si>
  <si>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</si>
  <si>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</si>
  <si>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</si>
  <si>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</si>
  <si>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</si>
  <si>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</si>
  <si>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</si>
  <si>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</si>
  <si>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</si>
  <si>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</si>
  <si>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</si>
  <si>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</si>
  <si>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</si>
  <si>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</si>
  <si>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</si>
  <si>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</si>
  <si>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</si>
  <si>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</si>
  <si>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</si>
  <si>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</si>
  <si>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</si>
  <si>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</si>
  <si>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</si>
  <si>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</si>
  <si>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</si>
  <si>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</si>
  <si>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</si>
  <si>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</si>
  <si>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</si>
  <si>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</si>
  <si>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</si>
  <si>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</si>
  <si>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</si>
  <si>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</si>
  <si>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</si>
  <si>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</si>
  <si>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</si>
  <si>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</si>
  <si>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</si>
  <si>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</si>
  <si>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</si>
  <si>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</si>
  <si>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</si>
  <si>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</si>
  <si>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</si>
  <si>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</si>
  <si>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</si>
  <si>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</si>
  <si>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</si>
  <si>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</si>
  <si>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</si>
  <si>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</si>
  <si>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</si>
  <si>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</si>
  <si>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</si>
  <si>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</si>
  <si>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</si>
  <si>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</si>
  <si>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</si>
  <si>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</si>
  <si>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</si>
  <si>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</si>
  <si>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</si>
  <si>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</si>
  <si>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</si>
  <si>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</si>
  <si>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</si>
  <si>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</si>
  <si>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</si>
  <si>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</si>
  <si>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</si>
  <si>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</si>
  <si>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</si>
  <si>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</si>
  <si>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</si>
  <si>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</si>
  <si>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</si>
  <si>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</si>
  <si>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</si>
  <si>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</si>
  <si>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</si>
  <si>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</si>
  <si>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</si>
  <si>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</si>
  <si>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</si>
  <si>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</si>
  <si>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</si>
  <si>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</si>
  <si>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</si>
  <si>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</si>
  <si>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</si>
  <si>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</si>
  <si>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</si>
  <si>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</si>
  <si>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</si>
  <si>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</si>
  <si>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</si>
  <si>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</si>
  <si>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</si>
  <si>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</si>
  <si>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</si>
  <si>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</si>
  <si>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</si>
  <si>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</si>
  <si>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</si>
  <si>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</si>
  <si>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</si>
  <si>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</si>
  <si>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</si>
  <si>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</si>
  <si>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</si>
  <si>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</si>
  <si>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</si>
  <si>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</si>
  <si>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</si>
  <si>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</si>
  <si>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</si>
  <si>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</si>
  <si>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</si>
  <si>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</si>
  <si>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</si>
  <si>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</si>
  <si>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</si>
  <si>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</si>
  <si>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</si>
  <si>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</si>
  <si>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</si>
  <si>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</si>
  <si>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</si>
  <si>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</si>
  <si>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</si>
  <si>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</si>
  <si>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</si>
  <si>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</si>
  <si>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</si>
  <si>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</si>
  <si>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</si>
  <si>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</si>
  <si>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</si>
  <si>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</si>
  <si>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</si>
  <si>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</si>
  <si>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</si>
  <si>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</si>
  <si>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</si>
  <si>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</si>
  <si>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</si>
  <si>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</si>
  <si>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</si>
  <si>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</si>
  <si>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</si>
  <si>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</si>
  <si>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</si>
  <si>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</si>
  <si>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</si>
  <si>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</si>
  <si>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</si>
  <si>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</si>
  <si>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</si>
  <si>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</si>
  <si>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</si>
  <si>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</si>
  <si>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</si>
  <si>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</si>
  <si>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</si>
  <si>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</si>
  <si>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</si>
  <si>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</si>
  <si>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</si>
  <si>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</si>
  <si>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</si>
  <si>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</si>
  <si>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</si>
  <si>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</si>
  <si>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</si>
  <si>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</si>
  <si>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</si>
  <si>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</si>
  <si>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</si>
  <si>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</si>
  <si>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</si>
  <si>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</si>
  <si>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</si>
  <si>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</si>
  <si>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</si>
  <si>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</si>
  <si>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</si>
  <si>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</si>
  <si>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</si>
  <si>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</si>
  <si>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</si>
  <si>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</si>
  <si>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</si>
  <si>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</si>
  <si>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</si>
  <si>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</si>
  <si>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</si>
  <si>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</si>
  <si>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</si>
  <si>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</si>
  <si>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</si>
  <si>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</si>
  <si>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</si>
  <si>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</si>
  <si>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</si>
  <si>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</si>
  <si>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</si>
  <si>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</si>
  <si>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</si>
  <si>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</si>
  <si>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</si>
  <si>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</si>
  <si>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</si>
  <si>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</si>
  <si>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</si>
  <si>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</si>
  <si>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</si>
  <si>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</si>
  <si>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</si>
  <si>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</si>
  <si>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</si>
  <si>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</si>
  <si>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</si>
  <si>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</si>
  <si>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</si>
  <si>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</si>
  <si>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</si>
  <si>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</si>
  <si>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</si>
  <si>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</si>
  <si>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</si>
  <si>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</si>
  <si>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</si>
  <si>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</si>
  <si>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</si>
  <si>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</si>
  <si>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</si>
  <si>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</si>
  <si>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</si>
  <si>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</si>
  <si>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</si>
  <si>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</si>
  <si>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</si>
  <si>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</si>
  <si>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</si>
  <si>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</si>
  <si>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</si>
  <si>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</si>
  <si>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</si>
  <si>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</si>
  <si>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</si>
  <si>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</si>
  <si>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</si>
  <si>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</si>
  <si>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</si>
  <si>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</si>
  <si>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</si>
  <si>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</si>
  <si>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</si>
  <si>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</si>
  <si>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</si>
  <si>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</si>
  <si>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</si>
  <si>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</si>
  <si>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</si>
  <si>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</si>
  <si>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</si>
  <si>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</si>
  <si>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</si>
  <si>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</si>
  <si>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</si>
  <si>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</si>
  <si>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</si>
  <si>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</si>
  <si>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</si>
  <si>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</si>
  <si>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</si>
  <si>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</si>
  <si>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</si>
  <si>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</si>
  <si>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</si>
  <si>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</si>
  <si>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</si>
  <si>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</si>
  <si>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</si>
  <si>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</si>
  <si>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</si>
  <si>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</si>
  <si>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</si>
  <si>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60级</t>
  </si>
  <si>
    <t>成就</t>
  </si>
  <si>
    <t>98令牌</t>
  </si>
  <si>
    <t>战场</t>
  </si>
  <si>
    <t>竞技场</t>
  </si>
  <si>
    <t>首冲</t>
  </si>
  <si>
    <t>充值奖励</t>
  </si>
  <si>
    <t>免费签到30天</t>
  </si>
  <si>
    <t>排行榜第一奖励</t>
  </si>
  <si>
    <t>时效</t>
  </si>
  <si>
    <t>排行榜前五</t>
  </si>
  <si>
    <t>宠物天梯第一奖励</t>
  </si>
  <si>
    <t>成就特殊奖励</t>
  </si>
  <si>
    <t>特殊</t>
  </si>
  <si>
    <t>抽奖</t>
  </si>
  <si>
    <t>拍卖行交易频繁</t>
  </si>
  <si>
    <t>猎杀怪物数量</t>
  </si>
  <si>
    <t>宠物技能很多的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</si>
</sst>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</numFmts>
  <fonts count="5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0" borderId="0"/>
    <xf numFmtId="0" fontId="0" fillId="17" borderId="7" applyNumberFormat="0" applyFont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4" fillId="20" borderId="12" applyNumberFormat="0" applyAlignment="0" applyProtection="0">
      <alignment vertical="center"/>
    </xf>
    <xf numFmtId="0" fontId="34" fillId="20" borderId="5" applyNumberFormat="0" applyAlignment="0" applyProtection="0">
      <alignment vertical="center"/>
    </xf>
    <xf numFmtId="0" fontId="43" fillId="30" borderId="11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8" fillId="0" borderId="0" xfId="0" applyFont="1"/>
    <xf numFmtId="0" fontId="3" fillId="5" borderId="0" xfId="13" applyFont="1" applyFill="1" applyAlignment="1">
      <alignment horizontal="center" vertical="center"/>
    </xf>
    <xf numFmtId="0" fontId="3" fillId="5" borderId="2" xfId="13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10" fillId="7" borderId="3" xfId="0" applyNumberFormat="1" applyFont="1" applyFill="1" applyBorder="1" applyAlignment="1">
      <alignment horizontal="center" vertical="center"/>
    </xf>
    <xf numFmtId="0" fontId="3" fillId="8" borderId="0" xfId="13" applyFont="1" applyFill="1" applyAlignment="1">
      <alignment horizontal="center" vertical="center"/>
    </xf>
    <xf numFmtId="0" fontId="3" fillId="8" borderId="2" xfId="13" applyFont="1" applyFill="1" applyBorder="1" applyAlignment="1">
      <alignment horizontal="center" vertical="center"/>
    </xf>
    <xf numFmtId="0" fontId="3" fillId="9" borderId="0" xfId="13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13" borderId="2" xfId="13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14" borderId="4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6" fillId="0" borderId="0" xfId="0" applyFont="1"/>
    <xf numFmtId="0" fontId="18" fillId="0" borderId="0" xfId="0" applyFont="1"/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WeiJingGame_Hot\S_&#25968;&#20540;&#25991;&#26723;\&#23646;&#24615;&#34920; - 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6"/>
    <col min="3" max="3" width="10.25" style="86" customWidth="1"/>
    <col min="4" max="15" width="9" style="86"/>
    <col min="16" max="16" width="11.25" style="86" customWidth="1"/>
    <col min="17" max="16384" width="9" style="86"/>
  </cols>
  <sheetData>
    <row r="1" ht="20.1" customHeight="1"/>
    <row r="2" ht="20.1" customHeight="1" spans="10:10">
      <c r="J2" s="88" t="s">
        <v>0</v>
      </c>
    </row>
    <row r="3" ht="20.1" customHeight="1" spans="2:23">
      <c r="B3" s="87"/>
      <c r="C3" s="69" t="s">
        <v>1</v>
      </c>
      <c r="D3" s="69" t="s">
        <v>2</v>
      </c>
      <c r="E3" s="69" t="s">
        <v>3</v>
      </c>
      <c r="F3" s="69" t="s">
        <v>4</v>
      </c>
      <c r="G3" s="69" t="s">
        <v>5</v>
      </c>
      <c r="H3" s="87"/>
      <c r="I3" s="87"/>
      <c r="J3" s="69"/>
      <c r="K3" s="69" t="s">
        <v>6</v>
      </c>
      <c r="L3" s="69" t="s">
        <v>7</v>
      </c>
      <c r="M3" s="69" t="s">
        <v>8</v>
      </c>
      <c r="N3" s="69" t="s">
        <v>9</v>
      </c>
      <c r="O3" s="69" t="s">
        <v>10</v>
      </c>
      <c r="P3" s="87"/>
      <c r="Q3" s="87"/>
      <c r="R3" s="69" t="s">
        <v>11</v>
      </c>
      <c r="S3" s="69" t="s">
        <v>6</v>
      </c>
      <c r="T3" s="69" t="s">
        <v>7</v>
      </c>
      <c r="U3" s="69" t="s">
        <v>3</v>
      </c>
      <c r="V3" s="69" t="s">
        <v>2</v>
      </c>
      <c r="W3" s="69" t="s">
        <v>12</v>
      </c>
    </row>
    <row r="4" ht="20.1" customHeight="1" spans="2:23">
      <c r="B4" s="69"/>
      <c r="C4" s="69"/>
      <c r="D4" s="69">
        <f>(E4-F4)*D7</f>
        <v>1050</v>
      </c>
      <c r="E4" s="69">
        <v>100</v>
      </c>
      <c r="F4" s="69">
        <v>30</v>
      </c>
      <c r="G4" s="69">
        <v>30</v>
      </c>
      <c r="H4" s="87"/>
      <c r="I4" s="87"/>
      <c r="J4" s="69" t="s">
        <v>1</v>
      </c>
      <c r="K4" s="69">
        <v>5</v>
      </c>
      <c r="L4" s="69">
        <v>5</v>
      </c>
      <c r="M4" s="69">
        <f>L4*$D$4</f>
        <v>5250</v>
      </c>
      <c r="N4" s="69">
        <f>K4*$E$4</f>
        <v>500</v>
      </c>
      <c r="O4" s="69">
        <f>G4*K4</f>
        <v>150</v>
      </c>
      <c r="P4" s="87"/>
      <c r="Q4" s="87"/>
      <c r="R4" s="69" t="s">
        <v>13</v>
      </c>
      <c r="S4" s="69">
        <v>1</v>
      </c>
      <c r="T4" s="69">
        <v>1</v>
      </c>
      <c r="U4" s="69">
        <v>500</v>
      </c>
      <c r="V4" s="69">
        <v>5000</v>
      </c>
      <c r="W4" s="69">
        <v>200</v>
      </c>
    </row>
    <row r="5" ht="20.1" customHeight="1" spans="2:23">
      <c r="B5" s="87"/>
      <c r="C5" s="69"/>
      <c r="D5" s="69"/>
      <c r="E5" s="69"/>
      <c r="F5" s="69"/>
      <c r="G5" s="69"/>
      <c r="H5" s="87"/>
      <c r="I5" s="87"/>
      <c r="J5" s="69" t="s">
        <v>14</v>
      </c>
      <c r="K5" s="69">
        <v>10</v>
      </c>
      <c r="L5" s="69">
        <v>20</v>
      </c>
      <c r="M5" s="69">
        <f>L5*$D$4</f>
        <v>21000</v>
      </c>
      <c r="N5" s="69">
        <f t="shared" ref="N5:N6" si="0">K5*$E$4</f>
        <v>1000</v>
      </c>
      <c r="O5" s="69">
        <f>G4*K5</f>
        <v>300</v>
      </c>
      <c r="P5" s="87"/>
      <c r="Q5" s="87"/>
      <c r="R5" s="69" t="s">
        <v>1</v>
      </c>
      <c r="S5" s="69">
        <v>2.5</v>
      </c>
      <c r="T5" s="69">
        <v>2.5</v>
      </c>
      <c r="U5" s="69">
        <f>U4*S5</f>
        <v>1250</v>
      </c>
      <c r="V5" s="69">
        <f>V4*T5</f>
        <v>12500</v>
      </c>
      <c r="W5" s="69">
        <f>W4*S5</f>
        <v>500</v>
      </c>
    </row>
    <row r="6" ht="20.1" customHeight="1" spans="2:23">
      <c r="B6" s="87"/>
      <c r="C6" s="87"/>
      <c r="D6" s="87"/>
      <c r="E6" s="69" t="s">
        <v>15</v>
      </c>
      <c r="F6" s="69" t="s">
        <v>16</v>
      </c>
      <c r="G6" s="69"/>
      <c r="H6" s="87"/>
      <c r="I6" s="87"/>
      <c r="J6" s="69" t="s">
        <v>17</v>
      </c>
      <c r="K6" s="69">
        <v>35</v>
      </c>
      <c r="L6" s="69">
        <v>25</v>
      </c>
      <c r="M6" s="69">
        <f>L6*$D$4</f>
        <v>26250</v>
      </c>
      <c r="N6" s="69">
        <f t="shared" si="0"/>
        <v>3500</v>
      </c>
      <c r="O6" s="69">
        <f>$G$4*K6</f>
        <v>1050</v>
      </c>
      <c r="P6" s="87"/>
      <c r="Q6" s="87"/>
      <c r="R6" s="69" t="s">
        <v>18</v>
      </c>
      <c r="S6" s="69">
        <v>7</v>
      </c>
      <c r="T6" s="69">
        <v>7</v>
      </c>
      <c r="U6" s="69">
        <f>S6*U4</f>
        <v>3500</v>
      </c>
      <c r="V6" s="69">
        <f>T6*V4</f>
        <v>35000</v>
      </c>
      <c r="W6" s="69">
        <f>S6*W4</f>
        <v>1400</v>
      </c>
    </row>
    <row r="7" ht="20.1" customHeight="1" spans="2:23">
      <c r="B7" s="87"/>
      <c r="C7" s="69" t="s">
        <v>19</v>
      </c>
      <c r="D7" s="69">
        <v>15</v>
      </c>
      <c r="E7" s="69">
        <v>7.5</v>
      </c>
      <c r="F7" s="69">
        <v>7.5</v>
      </c>
      <c r="G7" s="87"/>
      <c r="H7" s="87"/>
      <c r="I7" s="87"/>
      <c r="J7" s="69" t="s">
        <v>20</v>
      </c>
      <c r="K7" s="69">
        <v>10</v>
      </c>
      <c r="L7" s="69">
        <v>10</v>
      </c>
      <c r="M7" s="69">
        <f>L7*$D$4</f>
        <v>10500</v>
      </c>
      <c r="N7" s="69">
        <f t="shared" ref="N7" si="1">K7*$E$4</f>
        <v>1000</v>
      </c>
      <c r="O7" s="69">
        <f>$G$4*K7</f>
        <v>300</v>
      </c>
      <c r="P7" s="87"/>
      <c r="Q7" s="87"/>
      <c r="R7" s="87"/>
      <c r="S7" s="87"/>
      <c r="T7" s="87"/>
      <c r="U7" s="87"/>
      <c r="V7" s="87"/>
      <c r="W7" s="87"/>
    </row>
    <row r="8" ht="20.1" customHeight="1" spans="2:23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69">
        <f>U6+U5</f>
        <v>4750</v>
      </c>
      <c r="V8" s="69">
        <f t="shared" ref="V8:W8" si="2">V6+V5</f>
        <v>47500</v>
      </c>
      <c r="W8" s="69">
        <f t="shared" si="2"/>
        <v>1900</v>
      </c>
    </row>
    <row r="9" ht="20.1" customHeight="1" spans="2:23">
      <c r="B9" s="87"/>
      <c r="C9" s="87"/>
      <c r="D9" s="87"/>
      <c r="E9" s="87"/>
      <c r="F9" s="87"/>
      <c r="G9" s="87"/>
      <c r="H9" s="87"/>
      <c r="I9" s="87"/>
      <c r="P9" s="69" t="s">
        <v>21</v>
      </c>
      <c r="Q9" s="87"/>
      <c r="R9" s="87"/>
      <c r="S9" s="87"/>
      <c r="T9" s="87"/>
      <c r="U9" s="87"/>
      <c r="V9" s="87"/>
      <c r="W9" s="87"/>
    </row>
    <row r="10" ht="20.1" customHeight="1" spans="2:23">
      <c r="B10" s="78"/>
      <c r="C10" s="78"/>
      <c r="D10" s="78"/>
      <c r="E10" s="78"/>
      <c r="F10" s="78"/>
      <c r="G10" s="69"/>
      <c r="H10" s="87"/>
      <c r="I10" s="87"/>
      <c r="J10" s="69" t="s">
        <v>22</v>
      </c>
      <c r="K10" s="69">
        <f t="shared" ref="K10:M10" si="3">SUM(K$4:K$7)</f>
        <v>60</v>
      </c>
      <c r="L10" s="69">
        <f t="shared" si="3"/>
        <v>60</v>
      </c>
      <c r="M10" s="69">
        <f t="shared" si="3"/>
        <v>63000</v>
      </c>
      <c r="N10" s="69">
        <f t="shared" ref="N10:O10" si="4">SUM(N$4:N$7)</f>
        <v>6000</v>
      </c>
      <c r="O10" s="69">
        <f t="shared" si="4"/>
        <v>1800</v>
      </c>
      <c r="P10" s="69">
        <f>M10/(N10-O10)</f>
        <v>15</v>
      </c>
      <c r="Q10" s="87"/>
      <c r="R10" s="87"/>
      <c r="S10" s="87"/>
      <c r="T10" s="87"/>
      <c r="U10" s="87"/>
      <c r="V10" s="87"/>
      <c r="W10" s="87"/>
    </row>
    <row r="11" ht="20.1" customHeight="1" spans="2:23">
      <c r="B11" s="78"/>
      <c r="C11" s="69"/>
      <c r="D11" s="78"/>
      <c r="E11" s="78"/>
      <c r="F11" s="78"/>
      <c r="G11" s="78"/>
      <c r="H11" s="6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ht="20.1" customHeight="1"/>
    <row r="13" ht="20.1" customHeight="1"/>
    <row r="14" ht="20.1" customHeight="1" spans="10:10">
      <c r="J14" s="88" t="s">
        <v>11</v>
      </c>
    </row>
    <row r="15" ht="20.1" customHeight="1" spans="10:15">
      <c r="J15" s="69"/>
      <c r="K15" s="69" t="s">
        <v>6</v>
      </c>
      <c r="L15" s="69" t="s">
        <v>7</v>
      </c>
      <c r="M15" s="69" t="s">
        <v>8</v>
      </c>
      <c r="N15" s="69" t="s">
        <v>9</v>
      </c>
      <c r="O15" s="69" t="s">
        <v>10</v>
      </c>
    </row>
    <row r="16" ht="20.1" customHeight="1" spans="10:15">
      <c r="J16" s="69" t="s">
        <v>1</v>
      </c>
      <c r="K16" s="69">
        <v>20</v>
      </c>
      <c r="L16" s="69">
        <v>10</v>
      </c>
      <c r="M16" s="69">
        <f>L16*$D$4</f>
        <v>10500</v>
      </c>
      <c r="N16" s="69">
        <f>K16*$E$4</f>
        <v>2000</v>
      </c>
      <c r="O16" s="69">
        <f>L16*$F$4</f>
        <v>300</v>
      </c>
    </row>
    <row r="17" ht="20.1" customHeight="1" spans="10:15">
      <c r="J17" s="69" t="s">
        <v>23</v>
      </c>
      <c r="K17" s="89">
        <v>10</v>
      </c>
      <c r="L17" s="89">
        <v>10</v>
      </c>
      <c r="M17" s="69">
        <f t="shared" ref="M17:M18" si="5">L17*$D$4</f>
        <v>10500</v>
      </c>
      <c r="N17" s="69">
        <f t="shared" ref="N17:N18" si="6">K17*$E$4</f>
        <v>1000</v>
      </c>
      <c r="O17" s="69">
        <f t="shared" ref="O17:O18" si="7">L17*$F$4</f>
        <v>300</v>
      </c>
    </row>
    <row r="18" ht="20.1" customHeight="1" spans="10:15">
      <c r="J18" s="69" t="s">
        <v>24</v>
      </c>
      <c r="K18" s="89">
        <v>15</v>
      </c>
      <c r="L18" s="89">
        <v>15</v>
      </c>
      <c r="M18" s="69">
        <f t="shared" si="5"/>
        <v>15750</v>
      </c>
      <c r="N18" s="69">
        <f t="shared" si="6"/>
        <v>1500</v>
      </c>
      <c r="O18" s="69">
        <f t="shared" si="7"/>
        <v>450</v>
      </c>
    </row>
    <row r="19" ht="20.1" customHeight="1"/>
    <row r="20" ht="20.1" customHeight="1"/>
    <row r="21" ht="20.1" customHeight="1" spans="10:15">
      <c r="J21" s="69" t="s">
        <v>22</v>
      </c>
      <c r="K21" s="69">
        <f t="shared" ref="K21:M21" si="8">SUM(K$4:K$7)</f>
        <v>60</v>
      </c>
      <c r="L21" s="69">
        <f t="shared" si="8"/>
        <v>60</v>
      </c>
      <c r="M21" s="69">
        <f t="shared" si="8"/>
        <v>63000</v>
      </c>
      <c r="N21" s="69">
        <f t="shared" ref="N21:O21" si="9">SUM(N$4:N$7)</f>
        <v>6000</v>
      </c>
      <c r="O21" s="69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6" customFormat="1" ht="20.1" customHeight="1"/>
    <row r="34" s="86" customFormat="1" ht="20.1" customHeight="1"/>
    <row r="35" s="86" customFormat="1" ht="20.1" customHeight="1"/>
    <row r="36" s="86" customFormat="1" ht="20.1" customHeight="1"/>
    <row r="37" s="86" customFormat="1" ht="20.1" customHeight="1"/>
    <row r="38" s="86" customFormat="1" ht="20.1" customHeight="1"/>
    <row r="39" s="86" customFormat="1" ht="20.1" customHeight="1"/>
    <row r="40" s="86" customFormat="1" ht="20.1" customHeight="1"/>
    <row r="41" s="86" customFormat="1" ht="20.1" customHeight="1"/>
    <row r="42" s="86" customFormat="1" ht="20.1" customHeight="1"/>
    <row r="43" s="86" customFormat="1" ht="20.1" customHeight="1"/>
    <row r="44" s="86" customFormat="1" ht="20.1" customHeight="1"/>
    <row r="45" s="86" customFormat="1" ht="20.1" customHeight="1"/>
    <row r="46" s="86" customFormat="1" ht="20.1" customHeight="1"/>
    <row r="47" s="86" customFormat="1" ht="20.1" customHeight="1"/>
    <row r="48" s="86" customFormat="1" ht="20.1" customHeight="1"/>
    <row r="49" s="86" customFormat="1" ht="20.1" customHeight="1"/>
    <row r="50" s="86" customFormat="1" ht="20.1" customHeight="1"/>
    <row r="51" s="86" customFormat="1" ht="20.1" customHeight="1"/>
    <row r="52" s="86" customFormat="1" ht="20.1" customHeight="1"/>
    <row r="53" s="86" customFormat="1" ht="20.1" customHeight="1"/>
    <row r="54" s="86" customFormat="1" ht="20.1" customHeight="1"/>
    <row r="55" s="86" customFormat="1" ht="20.1" customHeight="1"/>
    <row r="56" s="86" customFormat="1" ht="20.1" customHeight="1"/>
    <row r="57" s="86" customFormat="1" ht="20.1" customHeight="1"/>
    <row r="58" s="86" customFormat="1" ht="20.1" customHeight="1"/>
    <row r="59" s="86" customFormat="1" ht="20.1" customHeight="1"/>
    <row r="60" s="86" customFormat="1" ht="20.1" customHeight="1"/>
    <row r="61" s="86" customFormat="1" ht="20.1" customHeight="1"/>
    <row r="62" s="86" customFormat="1" ht="20.1" customHeight="1"/>
    <row r="63" s="86" customFormat="1" ht="20.1" customHeight="1"/>
    <row r="64" s="86" customFormat="1" ht="20.1" customHeight="1"/>
    <row r="65" s="86" customFormat="1" ht="20.1" customHeight="1"/>
    <row r="66" s="86" customFormat="1" ht="20.1" customHeight="1"/>
    <row r="67" s="86" customFormat="1" ht="20.1" customHeight="1"/>
    <row r="68" s="86" customFormat="1" ht="20.1" customHeight="1"/>
    <row r="69" s="86" customFormat="1" ht="20.1" customHeight="1"/>
    <row r="70" s="86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6" workbookViewId="0">
      <selection activeCell="F32" sqref="F32"/>
    </sheetView>
  </sheetViews>
  <sheetFormatPr defaultColWidth="9" defaultRowHeight="14.25"/>
  <cols>
    <col min="1" max="2" width="9" style="6"/>
    <col min="3" max="3" width="10.375" style="6" customWidth="1"/>
    <col min="4" max="4" width="10.625" style="6" customWidth="1"/>
    <col min="5" max="5" width="13.125" style="6" customWidth="1"/>
    <col min="6" max="6" width="16.125" style="6" customWidth="1"/>
    <col min="7" max="7" width="11.125" style="6" customWidth="1"/>
    <col min="8" max="8" width="9" style="6"/>
    <col min="9" max="9" width="14.5" style="6" customWidth="1"/>
    <col min="10" max="10" width="8.5" customWidth="1"/>
  </cols>
  <sheetData>
    <row r="1" ht="20.1" customHeight="1"/>
    <row r="2" ht="20.1" customHeight="1"/>
    <row r="3" ht="20.1" customHeight="1" spans="3:3">
      <c r="C3" s="6" t="s">
        <v>1</v>
      </c>
    </row>
    <row r="4" ht="20.1" customHeight="1" spans="4:4">
      <c r="D4" s="6" t="s">
        <v>3</v>
      </c>
    </row>
    <row r="5" ht="20.1" customHeight="1" spans="4:4">
      <c r="D5" s="6" t="s">
        <v>28</v>
      </c>
    </row>
    <row r="6" ht="20.1" customHeight="1" spans="4:4">
      <c r="D6" s="6" t="s">
        <v>29</v>
      </c>
    </row>
    <row r="7" ht="20.1" customHeight="1" spans="4:4">
      <c r="D7" s="6" t="s">
        <v>354</v>
      </c>
    </row>
    <row r="8" ht="20.1" customHeight="1"/>
    <row r="9" ht="20.1" customHeight="1" spans="4:10">
      <c r="D9" s="16"/>
      <c r="E9" s="16" t="s">
        <v>1185</v>
      </c>
      <c r="F9" s="16"/>
      <c r="G9" s="33"/>
      <c r="H9" s="33"/>
      <c r="I9" s="33"/>
      <c r="J9" s="34"/>
    </row>
    <row r="10" ht="20.1" customHeight="1" spans="2:16">
      <c r="B10" s="6">
        <v>40</v>
      </c>
      <c r="C10" s="6">
        <v>100</v>
      </c>
      <c r="D10" s="16" t="s">
        <v>920</v>
      </c>
      <c r="E10" s="16" t="s">
        <v>2</v>
      </c>
      <c r="F10" s="16" t="s">
        <v>1186</v>
      </c>
      <c r="G10" s="34"/>
      <c r="I10" s="16" t="s">
        <v>1187</v>
      </c>
      <c r="N10" s="16" t="s">
        <v>1188</v>
      </c>
      <c r="O10" s="33"/>
      <c r="P10" s="16" t="s">
        <v>397</v>
      </c>
    </row>
    <row r="11" ht="20.1" customHeight="1" spans="2:16">
      <c r="B11" s="6">
        <v>6</v>
      </c>
      <c r="C11" s="6">
        <v>10</v>
      </c>
      <c r="D11" s="16" t="s">
        <v>922</v>
      </c>
      <c r="E11" s="16" t="s">
        <v>3</v>
      </c>
      <c r="F11" s="16" t="s">
        <v>1189</v>
      </c>
      <c r="I11" s="16" t="s">
        <v>1190</v>
      </c>
      <c r="N11" s="16" t="s">
        <v>1191</v>
      </c>
      <c r="O11" s="33"/>
      <c r="P11" s="16" t="s">
        <v>401</v>
      </c>
    </row>
    <row r="12" ht="20.1" customHeight="1" spans="2:16">
      <c r="B12" s="6" t="s">
        <v>1192</v>
      </c>
      <c r="C12" s="6" t="s">
        <v>1193</v>
      </c>
      <c r="D12" s="16" t="s">
        <v>916</v>
      </c>
      <c r="E12" s="16" t="s">
        <v>1194</v>
      </c>
      <c r="F12" s="16" t="s">
        <v>430</v>
      </c>
      <c r="G12" s="34"/>
      <c r="I12" s="16" t="s">
        <v>1195</v>
      </c>
      <c r="N12" s="16" t="s">
        <v>430</v>
      </c>
      <c r="O12" s="33"/>
      <c r="P12" s="16" t="s">
        <v>394</v>
      </c>
    </row>
    <row r="13" ht="20.1" customHeight="1" spans="2:16">
      <c r="B13" s="6" t="s">
        <v>1196</v>
      </c>
      <c r="C13" s="6" t="s">
        <v>1197</v>
      </c>
      <c r="D13" s="16" t="s">
        <v>918</v>
      </c>
      <c r="E13" s="16" t="s">
        <v>1198</v>
      </c>
      <c r="F13" s="16" t="s">
        <v>1199</v>
      </c>
      <c r="G13" s="34"/>
      <c r="N13" s="16" t="s">
        <v>1200</v>
      </c>
      <c r="O13" s="33"/>
      <c r="P13" s="16" t="s">
        <v>405</v>
      </c>
    </row>
    <row r="14" ht="20.1" customHeight="1" spans="2:10">
      <c r="B14" s="6" t="s">
        <v>1201</v>
      </c>
      <c r="C14" s="6" t="s">
        <v>1193</v>
      </c>
      <c r="D14" s="16" t="s">
        <v>924</v>
      </c>
      <c r="E14" s="16" t="s">
        <v>1202</v>
      </c>
      <c r="F14" s="6" t="s">
        <v>433</v>
      </c>
      <c r="G14" s="33"/>
      <c r="H14" s="33"/>
      <c r="I14" s="16" t="s">
        <v>1203</v>
      </c>
      <c r="J14" s="34"/>
    </row>
    <row r="15" ht="20.1" customHeight="1"/>
    <row r="16" ht="20.1" customHeight="1" spans="4:6">
      <c r="D16" s="16"/>
      <c r="F16" s="16"/>
    </row>
    <row r="17" ht="20.1" customHeight="1" spans="4:6">
      <c r="D17" s="16"/>
      <c r="F17" s="16"/>
    </row>
    <row r="18" ht="20.1" customHeight="1" spans="4:6">
      <c r="D18" s="16"/>
      <c r="F18" s="16"/>
    </row>
    <row r="19" ht="20.1" customHeight="1" spans="4:6">
      <c r="D19" s="16"/>
      <c r="E19" s="16"/>
      <c r="F19" s="16"/>
    </row>
    <row r="20" ht="20.1" customHeight="1"/>
    <row r="21" ht="20.1" customHeight="1" spans="15:15">
      <c r="O21" s="34"/>
    </row>
    <row r="22" ht="20.1" customHeight="1" spans="9:15">
      <c r="I22"/>
      <c r="O22" s="34"/>
    </row>
    <row r="23" ht="20.1" customHeight="1" spans="3:15">
      <c r="C23" s="6" t="s">
        <v>1204</v>
      </c>
      <c r="F23" s="6" t="s">
        <v>1205</v>
      </c>
      <c r="G23"/>
      <c r="H23"/>
      <c r="I23"/>
      <c r="K23" s="6" t="s">
        <v>1206</v>
      </c>
      <c r="L23" s="6" t="s">
        <v>604</v>
      </c>
      <c r="O23" s="34"/>
    </row>
    <row r="24" ht="20.1" customHeight="1" spans="4:15">
      <c r="D24" s="6" t="s">
        <v>409</v>
      </c>
      <c r="G24"/>
      <c r="H24"/>
      <c r="I24"/>
      <c r="K24" s="6"/>
      <c r="L24" s="6" t="s">
        <v>591</v>
      </c>
      <c r="O24" s="34"/>
    </row>
    <row r="25" ht="20.1" customHeight="1" spans="4:15">
      <c r="D25" s="6" t="s">
        <v>1207</v>
      </c>
      <c r="G25"/>
      <c r="H25"/>
      <c r="I25"/>
      <c r="K25" s="6"/>
      <c r="L25" s="6" t="s">
        <v>598</v>
      </c>
      <c r="O25" s="34"/>
    </row>
    <row r="26" ht="20.1" customHeight="1" spans="4:15">
      <c r="D26" s="6" t="s">
        <v>412</v>
      </c>
      <c r="G26"/>
      <c r="H26"/>
      <c r="I26"/>
      <c r="L26" s="6" t="s">
        <v>1208</v>
      </c>
      <c r="O26" s="34"/>
    </row>
    <row r="27" ht="20.1" customHeight="1" spans="4:13">
      <c r="D27" s="6" t="s">
        <v>413</v>
      </c>
      <c r="G27"/>
      <c r="H27"/>
      <c r="I27"/>
      <c r="L27" s="6" t="s">
        <v>610</v>
      </c>
      <c r="M27" s="6" t="s">
        <v>613</v>
      </c>
    </row>
    <row r="28" ht="20.1" customHeight="1" spans="4:9">
      <c r="D28" s="6" t="s">
        <v>430</v>
      </c>
      <c r="G28"/>
      <c r="H28"/>
      <c r="I28"/>
    </row>
    <row r="29" ht="20.1" customHeight="1" spans="4:9">
      <c r="D29" s="6" t="s">
        <v>1209</v>
      </c>
      <c r="G29"/>
      <c r="H29"/>
      <c r="I29"/>
    </row>
    <row r="30" ht="20.1" customHeight="1" spans="4:9">
      <c r="D30" s="6" t="s">
        <v>390</v>
      </c>
      <c r="G30"/>
      <c r="H30"/>
      <c r="I30"/>
    </row>
    <row r="31" ht="20.1" customHeight="1" spans="4:9">
      <c r="D31" s="6" t="s">
        <v>1210</v>
      </c>
      <c r="G31"/>
      <c r="H31"/>
      <c r="I31"/>
    </row>
    <row r="32" ht="20.1" customHeight="1" spans="4:9">
      <c r="D32" s="6" t="s">
        <v>1211</v>
      </c>
      <c r="G32"/>
      <c r="H32"/>
      <c r="I32"/>
    </row>
    <row r="33" ht="20.1" customHeight="1" spans="4:10">
      <c r="D33" s="16"/>
      <c r="E33" s="16"/>
      <c r="F33" s="16"/>
      <c r="G33" s="34"/>
      <c r="H33" s="16"/>
      <c r="I33" s="33"/>
      <c r="J33" s="16"/>
    </row>
    <row r="34" ht="20.1" customHeight="1" spans="4:10">
      <c r="D34" s="16"/>
      <c r="E34" s="16"/>
      <c r="F34" s="16"/>
      <c r="G34" s="33"/>
      <c r="H34" s="33"/>
      <c r="I34" s="33"/>
      <c r="J34" s="34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6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5" workbookViewId="0">
      <selection activeCell="AF43" sqref="AF43"/>
    </sheetView>
  </sheetViews>
  <sheetFormatPr defaultColWidth="9" defaultRowHeight="14.25"/>
  <cols>
    <col min="1" max="6" width="12.625" customWidth="1"/>
    <col min="7" max="8" width="18.625" customWidth="1"/>
    <col min="9" max="11" width="15.625" style="6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6" customWidth="1"/>
    <col min="31" max="31" width="54.5" style="8" customWidth="1"/>
    <col min="32" max="32" width="21.375" customWidth="1"/>
    <col min="35" max="35" width="11.375" customWidth="1"/>
  </cols>
  <sheetData>
    <row r="1" ht="20.1" customHeight="1" spans="1:11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12</v>
      </c>
      <c r="G1" s="9" t="s">
        <v>1212</v>
      </c>
      <c r="H1" s="9" t="s">
        <v>1213</v>
      </c>
      <c r="I1" s="9" t="s">
        <v>1214</v>
      </c>
      <c r="J1" s="9" t="s">
        <v>1215</v>
      </c>
      <c r="K1" s="9" t="s">
        <v>1216</v>
      </c>
    </row>
    <row r="2" ht="20.1" customHeight="1" spans="1:37">
      <c r="A2" s="6">
        <v>1</v>
      </c>
      <c r="B2" s="6">
        <v>5.5</v>
      </c>
      <c r="C2" s="6">
        <v>5.5</v>
      </c>
      <c r="D2" s="6">
        <f>B2*总表!$D$4</f>
        <v>5775</v>
      </c>
      <c r="E2" s="6">
        <f>C2*总表!$E$4</f>
        <v>550</v>
      </c>
      <c r="F2" s="6">
        <f>C2*总表!$F$4</f>
        <v>165</v>
      </c>
      <c r="G2" s="6">
        <v>1</v>
      </c>
      <c r="H2" s="6">
        <v>0.5</v>
      </c>
      <c r="I2" s="6">
        <f t="shared" ref="I2:K2" si="0">ROUND(D2/$G2/$Q$2*$H2,0)</f>
        <v>222</v>
      </c>
      <c r="J2" s="6">
        <f t="shared" si="0"/>
        <v>21</v>
      </c>
      <c r="K2" s="6">
        <f t="shared" si="0"/>
        <v>6</v>
      </c>
      <c r="P2" s="9" t="s">
        <v>1217</v>
      </c>
      <c r="Q2" s="6">
        <v>13</v>
      </c>
      <c r="R2" s="6"/>
      <c r="T2" s="9" t="s">
        <v>1218</v>
      </c>
      <c r="U2" s="6" t="s">
        <v>1219</v>
      </c>
      <c r="AF2" s="4"/>
      <c r="AG2" s="4"/>
      <c r="AH2" s="4"/>
      <c r="AI2" s="4"/>
      <c r="AJ2" s="4"/>
      <c r="AK2" s="4"/>
    </row>
    <row r="3" ht="20.1" customHeight="1" spans="1:50">
      <c r="A3" s="6">
        <v>2</v>
      </c>
      <c r="B3" s="6">
        <v>6</v>
      </c>
      <c r="C3" s="6">
        <v>6</v>
      </c>
      <c r="D3" s="6">
        <f>B3*总表!$D$4</f>
        <v>6300</v>
      </c>
      <c r="E3" s="6">
        <f>C3*总表!$E$4</f>
        <v>600</v>
      </c>
      <c r="F3" s="6">
        <f>C3*总表!$F$4</f>
        <v>180</v>
      </c>
      <c r="G3" s="6">
        <v>1</v>
      </c>
      <c r="H3" s="6">
        <v>0.5</v>
      </c>
      <c r="I3" s="6">
        <f t="shared" ref="I3:I61" si="1">ROUND(D3/$G3/$Q$2*$H3,0)</f>
        <v>242</v>
      </c>
      <c r="J3" s="6">
        <f t="shared" ref="J3:J61" si="2">ROUND(E3/$G3/$Q$2*$H3,0)</f>
        <v>23</v>
      </c>
      <c r="K3" s="6">
        <f t="shared" ref="K3:K61" si="3">ROUND(F3/$G3/$Q$2*$H3,0)</f>
        <v>7</v>
      </c>
      <c r="P3" s="9" t="s">
        <v>1220</v>
      </c>
      <c r="Q3" s="6">
        <v>3</v>
      </c>
      <c r="R3" s="6"/>
      <c r="S3">
        <v>101</v>
      </c>
      <c r="T3" s="6" t="s">
        <v>1221</v>
      </c>
      <c r="U3" s="6" t="s">
        <v>850</v>
      </c>
      <c r="V3" s="6" t="s">
        <v>1222</v>
      </c>
      <c r="AD3" s="6" t="s">
        <v>1223</v>
      </c>
      <c r="AE3" s="8" t="s">
        <v>1224</v>
      </c>
      <c r="AF3" s="6" t="s">
        <v>1225</v>
      </c>
      <c r="AG3" s="4"/>
      <c r="AH3" s="6" t="s">
        <v>1226</v>
      </c>
      <c r="AI3" s="6" t="s">
        <v>1227</v>
      </c>
      <c r="AJ3" s="6" t="s">
        <v>3</v>
      </c>
      <c r="AK3" s="4"/>
      <c r="AN3" t="s">
        <v>918</v>
      </c>
      <c r="AR3" s="16"/>
      <c r="AS3" s="16" t="s">
        <v>1185</v>
      </c>
      <c r="AT3" s="16"/>
      <c r="AU3" s="33"/>
      <c r="AV3" s="33"/>
      <c r="AW3" s="33"/>
      <c r="AX3" s="34"/>
    </row>
    <row r="4" ht="20.1" customHeight="1" spans="1:50">
      <c r="A4" s="6">
        <v>3</v>
      </c>
      <c r="B4" s="6">
        <v>6.5</v>
      </c>
      <c r="C4" s="6">
        <v>6.5</v>
      </c>
      <c r="D4" s="6">
        <f>B4*总表!$D$4</f>
        <v>6825</v>
      </c>
      <c r="E4" s="6">
        <f>C4*总表!$E$4</f>
        <v>650</v>
      </c>
      <c r="F4" s="6">
        <f>C4*总表!$F$4</f>
        <v>195</v>
      </c>
      <c r="G4" s="6">
        <v>1</v>
      </c>
      <c r="H4" s="6">
        <v>0.5</v>
      </c>
      <c r="I4" s="6">
        <f t="shared" si="1"/>
        <v>263</v>
      </c>
      <c r="J4" s="6">
        <f t="shared" si="2"/>
        <v>25</v>
      </c>
      <c r="K4" s="6">
        <f t="shared" si="3"/>
        <v>8</v>
      </c>
      <c r="P4" s="9" t="s">
        <v>1228</v>
      </c>
      <c r="Q4" s="6">
        <f>Q3*总表!K7</f>
        <v>30</v>
      </c>
      <c r="R4" s="6"/>
      <c r="S4">
        <v>102</v>
      </c>
      <c r="T4" s="6" t="s">
        <v>1229</v>
      </c>
      <c r="U4" s="6" t="s">
        <v>855</v>
      </c>
      <c r="V4" s="6" t="s">
        <v>1230</v>
      </c>
      <c r="X4" s="4"/>
      <c r="Z4" s="4"/>
      <c r="AD4" s="6" t="s">
        <v>1231</v>
      </c>
      <c r="AE4" s="8" t="s">
        <v>1232</v>
      </c>
      <c r="AF4" s="6" t="s">
        <v>1233</v>
      </c>
      <c r="AG4" s="4"/>
      <c r="AH4" s="6" t="s">
        <v>1234</v>
      </c>
      <c r="AI4" s="6" t="s">
        <v>1235</v>
      </c>
      <c r="AJ4" s="6" t="s">
        <v>12</v>
      </c>
      <c r="AK4" s="4"/>
      <c r="AN4" t="s">
        <v>916</v>
      </c>
      <c r="AR4" s="16" t="s">
        <v>920</v>
      </c>
      <c r="AS4" s="16" t="s">
        <v>2</v>
      </c>
      <c r="AT4" s="16" t="s">
        <v>1187</v>
      </c>
      <c r="AU4" s="34"/>
      <c r="AV4" s="16" t="s">
        <v>1188</v>
      </c>
      <c r="AW4" s="33"/>
      <c r="AX4" s="16" t="s">
        <v>397</v>
      </c>
    </row>
    <row r="5" ht="20.1" customHeight="1" spans="1:50">
      <c r="A5" s="6">
        <v>4</v>
      </c>
      <c r="B5" s="6">
        <v>7</v>
      </c>
      <c r="C5" s="6">
        <v>7</v>
      </c>
      <c r="D5" s="6">
        <f>B5*总表!$D$4</f>
        <v>7350</v>
      </c>
      <c r="E5" s="6">
        <f>C5*总表!$E$4</f>
        <v>700</v>
      </c>
      <c r="F5" s="6">
        <f>C5*总表!$F$4</f>
        <v>210</v>
      </c>
      <c r="G5" s="6">
        <v>1</v>
      </c>
      <c r="H5" s="6">
        <v>0.5</v>
      </c>
      <c r="I5" s="6">
        <f t="shared" si="1"/>
        <v>283</v>
      </c>
      <c r="J5" s="6">
        <f t="shared" si="2"/>
        <v>27</v>
      </c>
      <c r="K5" s="6">
        <f t="shared" si="3"/>
        <v>8</v>
      </c>
      <c r="S5">
        <v>103</v>
      </c>
      <c r="T5" s="6" t="s">
        <v>1236</v>
      </c>
      <c r="U5" s="6" t="s">
        <v>859</v>
      </c>
      <c r="V5" s="6" t="s">
        <v>1237</v>
      </c>
      <c r="X5" s="4"/>
      <c r="Z5" s="4"/>
      <c r="AD5" s="6" t="s">
        <v>1238</v>
      </c>
      <c r="AE5" s="8" t="s">
        <v>1239</v>
      </c>
      <c r="AF5" s="6" t="s">
        <v>1240</v>
      </c>
      <c r="AG5" s="4"/>
      <c r="AH5" s="6" t="s">
        <v>1241</v>
      </c>
      <c r="AI5" s="6" t="s">
        <v>1242</v>
      </c>
      <c r="AJ5" s="6" t="s">
        <v>29</v>
      </c>
      <c r="AK5" s="4"/>
      <c r="AN5" t="s">
        <v>924</v>
      </c>
      <c r="AR5" s="16" t="s">
        <v>922</v>
      </c>
      <c r="AS5" s="16" t="s">
        <v>3</v>
      </c>
      <c r="AT5" s="16" t="s">
        <v>1195</v>
      </c>
      <c r="AU5" s="34"/>
      <c r="AV5" s="16" t="s">
        <v>1191</v>
      </c>
      <c r="AW5" s="33"/>
      <c r="AX5" s="16" t="s">
        <v>401</v>
      </c>
    </row>
    <row r="6" ht="20.1" customHeight="1" spans="1:50">
      <c r="A6" s="6">
        <v>5</v>
      </c>
      <c r="B6" s="6">
        <v>7.5</v>
      </c>
      <c r="C6" s="6">
        <v>7.5</v>
      </c>
      <c r="D6" s="6">
        <f>B6*总表!$D$4</f>
        <v>7875</v>
      </c>
      <c r="E6" s="6">
        <f>C6*总表!$E$4</f>
        <v>750</v>
      </c>
      <c r="F6" s="6">
        <f>C6*总表!$F$4</f>
        <v>225</v>
      </c>
      <c r="G6" s="6">
        <v>1</v>
      </c>
      <c r="H6" s="6">
        <v>0.5</v>
      </c>
      <c r="I6" s="6">
        <f t="shared" si="1"/>
        <v>303</v>
      </c>
      <c r="J6" s="6">
        <f t="shared" si="2"/>
        <v>29</v>
      </c>
      <c r="K6" s="6">
        <f t="shared" si="3"/>
        <v>9</v>
      </c>
      <c r="N6" s="6" t="s">
        <v>1243</v>
      </c>
      <c r="O6" s="9" t="s">
        <v>2</v>
      </c>
      <c r="P6" s="9" t="s">
        <v>3</v>
      </c>
      <c r="Q6" s="9" t="s">
        <v>12</v>
      </c>
      <c r="R6" s="9"/>
      <c r="S6">
        <v>104</v>
      </c>
      <c r="T6" s="6" t="s">
        <v>1244</v>
      </c>
      <c r="U6" s="6" t="s">
        <v>864</v>
      </c>
      <c r="V6" s="6" t="s">
        <v>1245</v>
      </c>
      <c r="X6" s="4"/>
      <c r="Z6" s="4"/>
      <c r="AD6" s="6" t="s">
        <v>1246</v>
      </c>
      <c r="AE6" s="8" t="s">
        <v>1247</v>
      </c>
      <c r="AF6" s="4"/>
      <c r="AG6" s="4"/>
      <c r="AH6" s="6" t="s">
        <v>1248</v>
      </c>
      <c r="AI6" s="6" t="s">
        <v>1249</v>
      </c>
      <c r="AJ6" s="6" t="s">
        <v>2</v>
      </c>
      <c r="AK6" s="4"/>
      <c r="AN6" t="s">
        <v>1250</v>
      </c>
      <c r="AR6" s="16" t="s">
        <v>916</v>
      </c>
      <c r="AS6" s="16" t="s">
        <v>1194</v>
      </c>
      <c r="AT6" s="16" t="s">
        <v>1190</v>
      </c>
      <c r="AU6" s="34"/>
      <c r="AV6" s="16" t="s">
        <v>430</v>
      </c>
      <c r="AW6" s="33"/>
      <c r="AX6" s="16" t="s">
        <v>394</v>
      </c>
    </row>
    <row r="7" ht="20.1" customHeight="1" spans="1:50">
      <c r="A7" s="6">
        <v>6</v>
      </c>
      <c r="B7" s="6">
        <v>8</v>
      </c>
      <c r="C7" s="6">
        <v>8</v>
      </c>
      <c r="D7" s="6">
        <f>B7*总表!$D$4</f>
        <v>8400</v>
      </c>
      <c r="E7" s="6">
        <f>C7*总表!$E$4</f>
        <v>800</v>
      </c>
      <c r="F7" s="6">
        <f>C7*总表!$F$4</f>
        <v>240</v>
      </c>
      <c r="G7" s="6">
        <v>1</v>
      </c>
      <c r="H7" s="6">
        <v>0.5</v>
      </c>
      <c r="I7" s="6">
        <f t="shared" si="1"/>
        <v>323</v>
      </c>
      <c r="J7" s="6">
        <f t="shared" si="2"/>
        <v>31</v>
      </c>
      <c r="K7" s="6">
        <f t="shared" si="3"/>
        <v>9</v>
      </c>
      <c r="N7" s="6">
        <v>20</v>
      </c>
      <c r="O7" s="6">
        <f t="shared" ref="O7:Q10" si="4">LOOKUP($N7,$A$2:$A$61,I$2:I$61)</f>
        <v>303</v>
      </c>
      <c r="P7" s="6">
        <f t="shared" si="4"/>
        <v>29</v>
      </c>
      <c r="Q7" s="6">
        <f t="shared" si="4"/>
        <v>9</v>
      </c>
      <c r="R7" s="6"/>
      <c r="X7" s="4"/>
      <c r="Z7" s="4"/>
      <c r="AD7" s="6" t="s">
        <v>1251</v>
      </c>
      <c r="AE7" s="8" t="s">
        <v>1252</v>
      </c>
      <c r="AF7" s="4"/>
      <c r="AG7" s="4"/>
      <c r="AH7" s="4"/>
      <c r="AI7" s="6" t="s">
        <v>1253</v>
      </c>
      <c r="AJ7" s="6" t="s">
        <v>394</v>
      </c>
      <c r="AK7" s="4"/>
      <c r="AR7" s="16" t="s">
        <v>918</v>
      </c>
      <c r="AS7" s="35" t="s">
        <v>1198</v>
      </c>
      <c r="AT7" s="16"/>
      <c r="AU7" s="34"/>
      <c r="AV7" s="16" t="s">
        <v>1200</v>
      </c>
      <c r="AW7" s="33"/>
      <c r="AX7" s="16" t="s">
        <v>405</v>
      </c>
    </row>
    <row r="8" ht="20.1" customHeight="1" spans="1:50">
      <c r="A8" s="6">
        <v>7</v>
      </c>
      <c r="B8" s="6">
        <v>8.5</v>
      </c>
      <c r="C8" s="6">
        <v>8.5</v>
      </c>
      <c r="D8" s="6">
        <f>B8*总表!$D$4</f>
        <v>8925</v>
      </c>
      <c r="E8" s="6">
        <f>C8*总表!$E$4</f>
        <v>850</v>
      </c>
      <c r="F8" s="6">
        <f>C8*总表!$F$4</f>
        <v>255</v>
      </c>
      <c r="G8" s="6">
        <v>1</v>
      </c>
      <c r="H8" s="6">
        <v>0.5</v>
      </c>
      <c r="I8" s="6">
        <f t="shared" si="1"/>
        <v>343</v>
      </c>
      <c r="J8" s="6">
        <f t="shared" si="2"/>
        <v>33</v>
      </c>
      <c r="K8" s="6">
        <f t="shared" si="3"/>
        <v>10</v>
      </c>
      <c r="N8" s="6">
        <v>30</v>
      </c>
      <c r="O8" s="6">
        <f t="shared" si="4"/>
        <v>404</v>
      </c>
      <c r="P8" s="6">
        <f t="shared" si="4"/>
        <v>38</v>
      </c>
      <c r="Q8" s="6">
        <f t="shared" si="4"/>
        <v>12</v>
      </c>
      <c r="R8" s="6"/>
      <c r="S8" s="4"/>
      <c r="T8" s="6" t="s">
        <v>1254</v>
      </c>
      <c r="U8" s="9" t="s">
        <v>1255</v>
      </c>
      <c r="V8" s="4"/>
      <c r="W8" s="28"/>
      <c r="X8" s="6" t="s">
        <v>1256</v>
      </c>
      <c r="Y8" s="6" t="s">
        <v>1257</v>
      </c>
      <c r="Z8" s="4"/>
      <c r="AD8" s="6" t="s">
        <v>1258</v>
      </c>
      <c r="AE8" s="8" t="s">
        <v>1259</v>
      </c>
      <c r="AF8" s="4"/>
      <c r="AG8" s="4"/>
      <c r="AH8" s="4"/>
      <c r="AI8" s="6" t="s">
        <v>1260</v>
      </c>
      <c r="AJ8" s="6" t="s">
        <v>397</v>
      </c>
      <c r="AK8" s="4"/>
      <c r="AR8" s="16" t="s">
        <v>924</v>
      </c>
      <c r="AS8" s="16" t="s">
        <v>1202</v>
      </c>
      <c r="AT8" s="16" t="s">
        <v>1203</v>
      </c>
      <c r="AU8" s="33"/>
      <c r="AV8" s="33"/>
      <c r="AW8" s="33"/>
      <c r="AX8" s="34"/>
    </row>
    <row r="9" ht="20.1" customHeight="1" spans="1:37">
      <c r="A9" s="6">
        <v>8</v>
      </c>
      <c r="B9" s="6">
        <v>9</v>
      </c>
      <c r="C9" s="6">
        <v>9</v>
      </c>
      <c r="D9" s="6">
        <f>B9*总表!$D$4</f>
        <v>9450</v>
      </c>
      <c r="E9" s="6">
        <f>C9*总表!$E$4</f>
        <v>900</v>
      </c>
      <c r="F9" s="6">
        <f>C9*总表!$F$4</f>
        <v>270</v>
      </c>
      <c r="G9" s="6">
        <v>1</v>
      </c>
      <c r="H9" s="6">
        <v>0.5</v>
      </c>
      <c r="I9" s="6">
        <f t="shared" si="1"/>
        <v>363</v>
      </c>
      <c r="J9" s="6">
        <f t="shared" si="2"/>
        <v>35</v>
      </c>
      <c r="K9" s="6">
        <f t="shared" si="3"/>
        <v>10</v>
      </c>
      <c r="N9" s="6">
        <v>40</v>
      </c>
      <c r="O9" s="6">
        <f t="shared" si="4"/>
        <v>505</v>
      </c>
      <c r="P9" s="6">
        <f t="shared" si="4"/>
        <v>48</v>
      </c>
      <c r="Q9" s="6">
        <f t="shared" si="4"/>
        <v>14</v>
      </c>
      <c r="R9" s="6">
        <v>102</v>
      </c>
      <c r="S9" s="6" t="s">
        <v>850</v>
      </c>
      <c r="T9" s="6" t="s">
        <v>1229</v>
      </c>
      <c r="U9" s="6" t="s">
        <v>1261</v>
      </c>
      <c r="V9" s="8" t="s">
        <v>1262</v>
      </c>
      <c r="X9" s="6" t="s">
        <v>1263</v>
      </c>
      <c r="Y9" s="6">
        <v>1</v>
      </c>
      <c r="AD9" s="6" t="s">
        <v>1264</v>
      </c>
      <c r="AE9" s="8" t="s">
        <v>1265</v>
      </c>
      <c r="AF9" s="4"/>
      <c r="AG9" s="4"/>
      <c r="AH9" s="4"/>
      <c r="AI9" s="6" t="s">
        <v>1266</v>
      </c>
      <c r="AJ9" s="6" t="s">
        <v>401</v>
      </c>
      <c r="AK9" s="4"/>
    </row>
    <row r="10" ht="20.1" customHeight="1" spans="1:37">
      <c r="A10" s="6">
        <v>9</v>
      </c>
      <c r="B10" s="6">
        <v>9.5</v>
      </c>
      <c r="C10" s="6">
        <v>9.5</v>
      </c>
      <c r="D10" s="6">
        <f>B10*总表!$D$4</f>
        <v>9975</v>
      </c>
      <c r="E10" s="6">
        <f>C10*总表!$E$4</f>
        <v>950</v>
      </c>
      <c r="F10" s="6">
        <f>C10*总表!$F$4</f>
        <v>285</v>
      </c>
      <c r="G10" s="6">
        <v>1</v>
      </c>
      <c r="H10" s="6">
        <v>0.5</v>
      </c>
      <c r="I10" s="6">
        <f t="shared" si="1"/>
        <v>384</v>
      </c>
      <c r="J10" s="6">
        <f t="shared" si="2"/>
        <v>37</v>
      </c>
      <c r="K10" s="6">
        <f t="shared" si="3"/>
        <v>11</v>
      </c>
      <c r="N10" s="6">
        <v>50</v>
      </c>
      <c r="O10" s="6">
        <f t="shared" si="4"/>
        <v>606</v>
      </c>
      <c r="P10" s="6">
        <f t="shared" si="4"/>
        <v>58</v>
      </c>
      <c r="Q10" s="6">
        <f t="shared" si="4"/>
        <v>17</v>
      </c>
      <c r="R10" s="6">
        <v>101</v>
      </c>
      <c r="S10" s="4"/>
      <c r="T10" s="6" t="s">
        <v>1221</v>
      </c>
      <c r="U10" s="6" t="s">
        <v>1222</v>
      </c>
      <c r="V10" s="8" t="s">
        <v>1267</v>
      </c>
      <c r="X10" s="6" t="s">
        <v>1268</v>
      </c>
      <c r="Y10" s="6">
        <v>2</v>
      </c>
      <c r="AD10" s="6" t="s">
        <v>1269</v>
      </c>
      <c r="AE10" s="8" t="s">
        <v>1270</v>
      </c>
      <c r="AF10" s="4"/>
      <c r="AG10" s="4"/>
      <c r="AH10" s="4"/>
      <c r="AI10" s="6" t="s">
        <v>1271</v>
      </c>
      <c r="AJ10" s="6" t="s">
        <v>405</v>
      </c>
      <c r="AK10" s="4"/>
    </row>
    <row r="11" ht="20.1" customHeight="1" spans="1:37">
      <c r="A11" s="6">
        <v>10</v>
      </c>
      <c r="B11" s="6">
        <v>10</v>
      </c>
      <c r="C11" s="6">
        <v>10</v>
      </c>
      <c r="D11" s="6">
        <f>B11*总表!$D$4</f>
        <v>10500</v>
      </c>
      <c r="E11" s="6">
        <f>C11*总表!$E$4</f>
        <v>1000</v>
      </c>
      <c r="F11" s="6">
        <f>C11*总表!$F$4</f>
        <v>300</v>
      </c>
      <c r="G11" s="6">
        <v>1</v>
      </c>
      <c r="H11" s="6">
        <v>0.5</v>
      </c>
      <c r="I11" s="6">
        <f t="shared" si="1"/>
        <v>404</v>
      </c>
      <c r="J11" s="6">
        <f t="shared" si="2"/>
        <v>38</v>
      </c>
      <c r="K11" s="6">
        <f t="shared" si="3"/>
        <v>12</v>
      </c>
      <c r="R11" s="15">
        <v>104</v>
      </c>
      <c r="T11" s="6" t="s">
        <v>1244</v>
      </c>
      <c r="U11" s="6" t="s">
        <v>1272</v>
      </c>
      <c r="V11" s="7" t="s">
        <v>1273</v>
      </c>
      <c r="X11" s="6" t="s">
        <v>1274</v>
      </c>
      <c r="Y11" s="6">
        <f>Y10*2</f>
        <v>4</v>
      </c>
      <c r="AD11" s="6" t="s">
        <v>1275</v>
      </c>
      <c r="AE11" s="8" t="s">
        <v>1276</v>
      </c>
      <c r="AF11" s="4"/>
      <c r="AG11" s="4"/>
      <c r="AH11" s="4"/>
      <c r="AI11" s="6"/>
      <c r="AJ11" s="8"/>
      <c r="AK11" s="4"/>
    </row>
    <row r="12" ht="20.1" customHeight="1" spans="1:36">
      <c r="A12" s="6">
        <v>11</v>
      </c>
      <c r="B12" s="6">
        <v>10.5</v>
      </c>
      <c r="C12" s="6">
        <v>10.5</v>
      </c>
      <c r="D12" s="6">
        <f>B12*总表!$D$4</f>
        <v>11025</v>
      </c>
      <c r="E12" s="6">
        <f>C12*总表!$E$4</f>
        <v>1050</v>
      </c>
      <c r="F12" s="6">
        <f>C12*总表!$F$4</f>
        <v>315</v>
      </c>
      <c r="G12" s="6">
        <v>1</v>
      </c>
      <c r="H12" s="6">
        <v>0.5</v>
      </c>
      <c r="I12" s="6">
        <f t="shared" si="1"/>
        <v>424</v>
      </c>
      <c r="J12" s="6">
        <f t="shared" si="2"/>
        <v>40</v>
      </c>
      <c r="K12" s="6">
        <f t="shared" si="3"/>
        <v>12</v>
      </c>
      <c r="R12" s="6">
        <v>103</v>
      </c>
      <c r="T12" s="6" t="s">
        <v>1236</v>
      </c>
      <c r="U12" s="6" t="s">
        <v>1277</v>
      </c>
      <c r="V12" s="7" t="s">
        <v>1278</v>
      </c>
      <c r="X12" s="6" t="s">
        <v>1279</v>
      </c>
      <c r="Y12" s="6">
        <f t="shared" ref="Y12:Y18" si="5">Y11*2</f>
        <v>8</v>
      </c>
      <c r="AD12" s="6" t="s">
        <v>1280</v>
      </c>
      <c r="AE12" s="8" t="s">
        <v>1281</v>
      </c>
      <c r="AI12" s="6"/>
      <c r="AJ12" s="8"/>
    </row>
    <row r="13" ht="20.1" customHeight="1" spans="1:37">
      <c r="A13" s="6">
        <v>12</v>
      </c>
      <c r="B13" s="6">
        <v>11</v>
      </c>
      <c r="C13" s="6">
        <v>11</v>
      </c>
      <c r="D13" s="6">
        <f>B13*总表!$D$4</f>
        <v>11550</v>
      </c>
      <c r="E13" s="6">
        <f>C13*总表!$E$4</f>
        <v>1100</v>
      </c>
      <c r="F13" s="6">
        <f>C13*总表!$F$4</f>
        <v>330</v>
      </c>
      <c r="G13" s="6">
        <v>1</v>
      </c>
      <c r="H13" s="6">
        <v>0.5</v>
      </c>
      <c r="I13" s="6">
        <f t="shared" si="1"/>
        <v>444</v>
      </c>
      <c r="J13" s="6">
        <f t="shared" si="2"/>
        <v>42</v>
      </c>
      <c r="K13" s="6">
        <f t="shared" si="3"/>
        <v>13</v>
      </c>
      <c r="N13" s="9" t="s">
        <v>1282</v>
      </c>
      <c r="R13" s="6">
        <v>102</v>
      </c>
      <c r="T13" s="6" t="s">
        <v>1229</v>
      </c>
      <c r="U13" s="6" t="s">
        <v>1283</v>
      </c>
      <c r="V13" s="7" t="s">
        <v>1284</v>
      </c>
      <c r="X13" s="6" t="s">
        <v>1285</v>
      </c>
      <c r="Y13" s="6">
        <f t="shared" si="5"/>
        <v>16</v>
      </c>
      <c r="AD13" s="6" t="s">
        <v>1286</v>
      </c>
      <c r="AE13" s="8" t="s">
        <v>1287</v>
      </c>
      <c r="AF13" s="7"/>
      <c r="AG13" s="7"/>
      <c r="AH13" s="7"/>
      <c r="AI13" s="6"/>
      <c r="AJ13" s="8"/>
      <c r="AK13" s="4"/>
    </row>
    <row r="14" ht="20.1" customHeight="1" spans="1:41">
      <c r="A14" s="6">
        <v>13</v>
      </c>
      <c r="B14" s="6">
        <v>11.5</v>
      </c>
      <c r="C14" s="6">
        <v>11.5</v>
      </c>
      <c r="D14" s="6">
        <f>B14*总表!$D$4</f>
        <v>12075</v>
      </c>
      <c r="E14" s="6">
        <f>C14*总表!$E$4</f>
        <v>1150</v>
      </c>
      <c r="F14" s="6">
        <f>C14*总表!$F$4</f>
        <v>345</v>
      </c>
      <c r="G14" s="6">
        <v>1</v>
      </c>
      <c r="H14" s="6">
        <v>0.5</v>
      </c>
      <c r="I14" s="6">
        <f t="shared" si="1"/>
        <v>464</v>
      </c>
      <c r="J14" s="6">
        <f t="shared" si="2"/>
        <v>44</v>
      </c>
      <c r="K14" s="6">
        <f t="shared" si="3"/>
        <v>13</v>
      </c>
      <c r="N14" s="6" t="s">
        <v>1243</v>
      </c>
      <c r="O14" s="9" t="s">
        <v>2</v>
      </c>
      <c r="P14" s="9" t="s">
        <v>3</v>
      </c>
      <c r="Q14" s="9" t="s">
        <v>12</v>
      </c>
      <c r="R14" s="9">
        <v>104</v>
      </c>
      <c r="T14" s="6" t="s">
        <v>1244</v>
      </c>
      <c r="U14" s="6" t="s">
        <v>1288</v>
      </c>
      <c r="V14" s="7" t="s">
        <v>1289</v>
      </c>
      <c r="X14" s="6" t="s">
        <v>1290</v>
      </c>
      <c r="Y14" s="6">
        <f t="shared" si="5"/>
        <v>32</v>
      </c>
      <c r="AD14" s="6" t="s">
        <v>1291</v>
      </c>
      <c r="AE14" s="8" t="s">
        <v>1292</v>
      </c>
      <c r="AF14" s="6" t="s">
        <v>1293</v>
      </c>
      <c r="AG14" s="9" t="s">
        <v>15</v>
      </c>
      <c r="AH14" s="6" t="s">
        <v>1294</v>
      </c>
      <c r="AI14" s="4"/>
      <c r="AJ14" s="6" t="s">
        <v>1295</v>
      </c>
      <c r="AK14" s="4"/>
      <c r="AN14" s="6" t="s">
        <v>3</v>
      </c>
      <c r="AO14" s="26"/>
    </row>
    <row r="15" ht="20.1" customHeight="1" spans="1:41">
      <c r="A15" s="6">
        <v>14</v>
      </c>
      <c r="B15" s="6">
        <v>12</v>
      </c>
      <c r="C15" s="6">
        <v>12</v>
      </c>
      <c r="D15" s="6">
        <f>B15*总表!$D$4</f>
        <v>12600</v>
      </c>
      <c r="E15" s="6">
        <f>C15*总表!$E$4</f>
        <v>1200</v>
      </c>
      <c r="F15" s="6">
        <f>C15*总表!$F$4</f>
        <v>360</v>
      </c>
      <c r="G15" s="6">
        <v>1</v>
      </c>
      <c r="H15" s="6">
        <v>0.5</v>
      </c>
      <c r="I15" s="6">
        <f t="shared" si="1"/>
        <v>485</v>
      </c>
      <c r="J15" s="6">
        <f t="shared" si="2"/>
        <v>46</v>
      </c>
      <c r="K15" s="6">
        <f t="shared" si="3"/>
        <v>14</v>
      </c>
      <c r="N15" s="6">
        <v>20</v>
      </c>
      <c r="O15" s="6">
        <f t="shared" ref="O15:P18" si="6">ROUND(O7,-1)</f>
        <v>300</v>
      </c>
      <c r="P15" s="6">
        <f t="shared" si="6"/>
        <v>30</v>
      </c>
      <c r="Q15" s="6">
        <f>ROUND(Q7,0)</f>
        <v>9</v>
      </c>
      <c r="R15" s="6">
        <v>101</v>
      </c>
      <c r="T15" s="6" t="s">
        <v>1221</v>
      </c>
      <c r="U15" s="6" t="s">
        <v>1296</v>
      </c>
      <c r="V15" s="7" t="s">
        <v>1297</v>
      </c>
      <c r="X15" s="6" t="s">
        <v>1298</v>
      </c>
      <c r="Y15" s="6">
        <f t="shared" si="5"/>
        <v>64</v>
      </c>
      <c r="AD15" s="6" t="s">
        <v>1299</v>
      </c>
      <c r="AE15" s="8" t="s">
        <v>1300</v>
      </c>
      <c r="AF15" s="4"/>
      <c r="AG15" s="9">
        <v>0</v>
      </c>
      <c r="AH15" s="6">
        <v>0.5</v>
      </c>
      <c r="AI15" s="6">
        <v>0.75</v>
      </c>
      <c r="AJ15" s="6">
        <v>0</v>
      </c>
      <c r="AK15" s="4"/>
      <c r="AN15" s="6" t="s">
        <v>3</v>
      </c>
      <c r="AO15" s="6" t="s">
        <v>12</v>
      </c>
    </row>
    <row r="16" ht="20.1" customHeight="1" spans="1:41">
      <c r="A16" s="6">
        <v>15</v>
      </c>
      <c r="B16" s="6">
        <v>12.5</v>
      </c>
      <c r="C16" s="6">
        <v>12.5</v>
      </c>
      <c r="D16" s="6">
        <f>B16*总表!$D$4</f>
        <v>13125</v>
      </c>
      <c r="E16" s="6">
        <f>C16*总表!$E$4</f>
        <v>1250</v>
      </c>
      <c r="F16" s="6">
        <f>C16*总表!$F$4</f>
        <v>375</v>
      </c>
      <c r="G16" s="6">
        <v>1</v>
      </c>
      <c r="H16" s="6">
        <v>0.5</v>
      </c>
      <c r="I16" s="6">
        <f t="shared" si="1"/>
        <v>505</v>
      </c>
      <c r="J16" s="6">
        <f t="shared" si="2"/>
        <v>48</v>
      </c>
      <c r="K16" s="6">
        <f t="shared" si="3"/>
        <v>14</v>
      </c>
      <c r="N16" s="6">
        <v>30</v>
      </c>
      <c r="O16" s="6">
        <f t="shared" si="6"/>
        <v>400</v>
      </c>
      <c r="P16" s="6">
        <f t="shared" si="6"/>
        <v>40</v>
      </c>
      <c r="Q16" s="6">
        <f t="shared" ref="Q16:Q18" si="7">ROUND(Q8,0)</f>
        <v>12</v>
      </c>
      <c r="R16" s="6">
        <v>103</v>
      </c>
      <c r="T16" s="6" t="s">
        <v>1236</v>
      </c>
      <c r="U16" s="6" t="s">
        <v>1301</v>
      </c>
      <c r="V16" s="7" t="s">
        <v>1302</v>
      </c>
      <c r="X16" s="6" t="s">
        <v>1303</v>
      </c>
      <c r="Y16" s="6">
        <f t="shared" si="5"/>
        <v>128</v>
      </c>
      <c r="AD16" s="6" t="s">
        <v>1304</v>
      </c>
      <c r="AE16" s="8" t="s">
        <v>1305</v>
      </c>
      <c r="AF16" s="4"/>
      <c r="AG16" s="9">
        <v>1</v>
      </c>
      <c r="AH16" s="6">
        <v>0.2</v>
      </c>
      <c r="AI16" s="6">
        <v>0.1</v>
      </c>
      <c r="AJ16" s="6">
        <v>1</v>
      </c>
      <c r="AK16" s="4"/>
      <c r="AN16" s="6" t="s">
        <v>3</v>
      </c>
      <c r="AO16" s="6" t="s">
        <v>29</v>
      </c>
    </row>
    <row r="17" ht="20.1" customHeight="1" spans="1:41">
      <c r="A17" s="6">
        <v>16</v>
      </c>
      <c r="B17" s="6">
        <v>13</v>
      </c>
      <c r="C17" s="6">
        <v>13</v>
      </c>
      <c r="D17" s="6">
        <f>B17*总表!$D$4</f>
        <v>13650</v>
      </c>
      <c r="E17" s="6">
        <f>C17*总表!$E$4</f>
        <v>1300</v>
      </c>
      <c r="F17" s="6">
        <f>C17*总表!$F$4</f>
        <v>390</v>
      </c>
      <c r="G17" s="6">
        <v>1</v>
      </c>
      <c r="H17" s="6">
        <v>0.5</v>
      </c>
      <c r="I17" s="6">
        <f t="shared" si="1"/>
        <v>525</v>
      </c>
      <c r="J17" s="6">
        <f t="shared" si="2"/>
        <v>50</v>
      </c>
      <c r="K17" s="6">
        <f t="shared" si="3"/>
        <v>15</v>
      </c>
      <c r="N17" s="6">
        <v>40</v>
      </c>
      <c r="O17" s="6">
        <f t="shared" si="6"/>
        <v>510</v>
      </c>
      <c r="P17" s="6">
        <f t="shared" si="6"/>
        <v>50</v>
      </c>
      <c r="Q17" s="6">
        <f t="shared" si="7"/>
        <v>14</v>
      </c>
      <c r="R17" s="6">
        <v>102</v>
      </c>
      <c r="T17" s="6" t="s">
        <v>1229</v>
      </c>
      <c r="U17" s="6" t="s">
        <v>1306</v>
      </c>
      <c r="V17" s="7" t="s">
        <v>1307</v>
      </c>
      <c r="W17" s="28"/>
      <c r="X17" s="6" t="s">
        <v>1308</v>
      </c>
      <c r="Y17" s="6">
        <f t="shared" si="5"/>
        <v>256</v>
      </c>
      <c r="AD17" s="6" t="s">
        <v>1309</v>
      </c>
      <c r="AE17" s="8" t="s">
        <v>1310</v>
      </c>
      <c r="AF17" s="4"/>
      <c r="AG17" s="9">
        <v>2</v>
      </c>
      <c r="AH17" s="6">
        <v>0.15</v>
      </c>
      <c r="AI17" s="6">
        <v>0.075</v>
      </c>
      <c r="AJ17" s="6">
        <v>2</v>
      </c>
      <c r="AK17" s="4"/>
      <c r="AN17" s="6" t="s">
        <v>12</v>
      </c>
      <c r="AO17" s="6" t="s">
        <v>29</v>
      </c>
    </row>
    <row r="18" ht="20.1" customHeight="1" spans="1:41">
      <c r="A18" s="6">
        <v>17</v>
      </c>
      <c r="B18" s="6">
        <v>13.5</v>
      </c>
      <c r="C18" s="6">
        <v>13.5</v>
      </c>
      <c r="D18" s="6">
        <f>B18*总表!$D$4</f>
        <v>14175</v>
      </c>
      <c r="E18" s="6">
        <f>C18*总表!$E$4</f>
        <v>1350</v>
      </c>
      <c r="F18" s="6">
        <f>C18*总表!$F$4</f>
        <v>405</v>
      </c>
      <c r="G18" s="6">
        <v>1</v>
      </c>
      <c r="H18" s="6">
        <v>0.5</v>
      </c>
      <c r="I18" s="6">
        <f t="shared" si="1"/>
        <v>545</v>
      </c>
      <c r="J18" s="6">
        <f t="shared" si="2"/>
        <v>52</v>
      </c>
      <c r="K18" s="6">
        <f t="shared" si="3"/>
        <v>16</v>
      </c>
      <c r="N18" s="6">
        <v>50</v>
      </c>
      <c r="O18" s="6">
        <f t="shared" si="6"/>
        <v>610</v>
      </c>
      <c r="P18" s="6">
        <f t="shared" si="6"/>
        <v>60</v>
      </c>
      <c r="Q18" s="6">
        <f t="shared" si="7"/>
        <v>17</v>
      </c>
      <c r="R18" s="6">
        <v>101</v>
      </c>
      <c r="S18" s="6"/>
      <c r="T18" s="6" t="s">
        <v>1221</v>
      </c>
      <c r="U18" s="6" t="s">
        <v>1311</v>
      </c>
      <c r="V18" s="8" t="s">
        <v>1312</v>
      </c>
      <c r="X18" s="6" t="s">
        <v>1313</v>
      </c>
      <c r="Y18" s="6">
        <f t="shared" si="5"/>
        <v>512</v>
      </c>
      <c r="AD18" s="6" t="s">
        <v>1314</v>
      </c>
      <c r="AE18" s="8" t="s">
        <v>1315</v>
      </c>
      <c r="AF18" s="4"/>
      <c r="AG18" s="9">
        <v>3</v>
      </c>
      <c r="AH18" s="6">
        <v>0.1</v>
      </c>
      <c r="AI18" s="6">
        <v>0.05</v>
      </c>
      <c r="AJ18" s="6">
        <v>3</v>
      </c>
      <c r="AK18" s="4"/>
      <c r="AN18" s="6" t="s">
        <v>12</v>
      </c>
      <c r="AO18" s="6" t="s">
        <v>2</v>
      </c>
    </row>
    <row r="19" ht="20.1" customHeight="1" spans="1:41">
      <c r="A19" s="6">
        <v>18</v>
      </c>
      <c r="B19" s="6">
        <v>14</v>
      </c>
      <c r="C19" s="6">
        <v>14</v>
      </c>
      <c r="D19" s="6">
        <f>B19*总表!$D$4</f>
        <v>14700</v>
      </c>
      <c r="E19" s="6">
        <f>C19*总表!$E$4</f>
        <v>1400</v>
      </c>
      <c r="F19" s="6">
        <f>C19*总表!$F$4</f>
        <v>420</v>
      </c>
      <c r="G19" s="6">
        <v>1</v>
      </c>
      <c r="H19" s="6">
        <v>0.5</v>
      </c>
      <c r="I19" s="6">
        <f t="shared" si="1"/>
        <v>565</v>
      </c>
      <c r="J19" s="6">
        <f t="shared" si="2"/>
        <v>54</v>
      </c>
      <c r="K19" s="6">
        <f t="shared" si="3"/>
        <v>16</v>
      </c>
      <c r="R19" s="6">
        <v>104</v>
      </c>
      <c r="S19" s="4"/>
      <c r="T19" s="6" t="s">
        <v>1244</v>
      </c>
      <c r="U19" s="6" t="s">
        <v>1316</v>
      </c>
      <c r="V19" s="7" t="s">
        <v>1317</v>
      </c>
      <c r="AF19" s="4"/>
      <c r="AG19" s="9">
        <v>4</v>
      </c>
      <c r="AH19" s="6">
        <v>0.05</v>
      </c>
      <c r="AI19" s="6">
        <v>0.025</v>
      </c>
      <c r="AJ19" s="6">
        <v>4</v>
      </c>
      <c r="AK19" s="4"/>
      <c r="AN19" s="6" t="s">
        <v>29</v>
      </c>
      <c r="AO19" s="6" t="s">
        <v>2</v>
      </c>
    </row>
    <row r="20" ht="20.1" customHeight="1" spans="1:37">
      <c r="A20" s="6">
        <v>19</v>
      </c>
      <c r="B20" s="6">
        <v>14.5</v>
      </c>
      <c r="C20" s="6">
        <v>14.5</v>
      </c>
      <c r="D20" s="6">
        <f>B20*总表!$D$4</f>
        <v>15225</v>
      </c>
      <c r="E20" s="6">
        <f>C20*总表!$E$4</f>
        <v>1450</v>
      </c>
      <c r="F20" s="6">
        <f>C20*总表!$F$4</f>
        <v>435</v>
      </c>
      <c r="G20" s="6">
        <v>1</v>
      </c>
      <c r="H20" s="6">
        <v>0.5</v>
      </c>
      <c r="I20" s="6">
        <f t="shared" si="1"/>
        <v>586</v>
      </c>
      <c r="J20" s="6">
        <f t="shared" si="2"/>
        <v>56</v>
      </c>
      <c r="K20" s="6">
        <f t="shared" si="3"/>
        <v>17</v>
      </c>
      <c r="N20" s="27" t="s">
        <v>1318</v>
      </c>
      <c r="O20" s="4"/>
      <c r="P20" s="4"/>
      <c r="Q20" s="4"/>
      <c r="R20" s="4">
        <v>103</v>
      </c>
      <c r="T20" s="6" t="s">
        <v>1236</v>
      </c>
      <c r="U20" s="6" t="s">
        <v>1319</v>
      </c>
      <c r="V20" s="8" t="s">
        <v>1320</v>
      </c>
      <c r="W20" s="6" t="str">
        <f>"100403;"&amp;AB20</f>
        <v>100403;15</v>
      </c>
      <c r="X20" s="9" t="s">
        <v>1321</v>
      </c>
      <c r="Y20" s="6" t="str">
        <f>"攻击+"&amp;AB20</f>
        <v>攻击+15</v>
      </c>
      <c r="Z20" s="6">
        <v>10</v>
      </c>
      <c r="AA20" s="6">
        <f>ROUND(Z20*1.5,0)</f>
        <v>15</v>
      </c>
      <c r="AB20" s="6">
        <v>15</v>
      </c>
      <c r="AC20" s="6"/>
      <c r="AD20" s="6" t="s">
        <v>1322</v>
      </c>
      <c r="AE20" s="8" t="s">
        <v>1323</v>
      </c>
      <c r="AF20" s="4"/>
      <c r="AG20" s="7"/>
      <c r="AH20" s="6"/>
      <c r="AI20" s="4"/>
      <c r="AJ20" s="4"/>
      <c r="AK20" s="4"/>
    </row>
    <row r="21" ht="20.1" customHeight="1" spans="1:37">
      <c r="A21" s="6">
        <v>20</v>
      </c>
      <c r="B21" s="6">
        <v>15</v>
      </c>
      <c r="C21" s="6">
        <v>15</v>
      </c>
      <c r="D21" s="6">
        <f>B21*总表!$D$4</f>
        <v>15750</v>
      </c>
      <c r="E21" s="6">
        <f>C21*总表!$E$4</f>
        <v>1500</v>
      </c>
      <c r="F21" s="6">
        <f>C21*总表!$F$4</f>
        <v>450</v>
      </c>
      <c r="G21" s="6">
        <v>2</v>
      </c>
      <c r="H21" s="6">
        <v>0.5</v>
      </c>
      <c r="I21" s="6">
        <f t="shared" si="1"/>
        <v>303</v>
      </c>
      <c r="J21" s="6">
        <f t="shared" si="2"/>
        <v>29</v>
      </c>
      <c r="K21" s="6">
        <f t="shared" si="3"/>
        <v>9</v>
      </c>
      <c r="N21" s="6">
        <v>1</v>
      </c>
      <c r="O21" s="6">
        <v>150</v>
      </c>
      <c r="P21" s="6">
        <v>20</v>
      </c>
      <c r="Q21" s="6">
        <f>P21/2</f>
        <v>10</v>
      </c>
      <c r="R21" s="6"/>
      <c r="T21" s="6"/>
      <c r="U21" s="6"/>
      <c r="V21" s="7"/>
      <c r="W21" s="6" t="str">
        <f t="shared" ref="W21:W29" si="8">"100403;"&amp;AB21</f>
        <v>100403;21</v>
      </c>
      <c r="X21" s="9" t="s">
        <v>1324</v>
      </c>
      <c r="Y21" s="6" t="str">
        <f t="shared" ref="Y21:Y29" si="9">"攻击+"&amp;AB21</f>
        <v>攻击+21</v>
      </c>
      <c r="Z21" s="6">
        <v>15</v>
      </c>
      <c r="AA21" s="6">
        <f t="shared" ref="AA21:AA29" si="10">ROUND(Z21*1.5,0)</f>
        <v>23</v>
      </c>
      <c r="AB21" s="6">
        <v>21</v>
      </c>
      <c r="AC21" s="6">
        <f>AB21-AB20</f>
        <v>6</v>
      </c>
      <c r="AD21" s="6" t="s">
        <v>1325</v>
      </c>
      <c r="AE21" s="8" t="s">
        <v>1326</v>
      </c>
      <c r="AF21" s="4"/>
      <c r="AG21" s="7"/>
      <c r="AH21" s="6">
        <f>SUM(AI15:AI19)</f>
        <v>1</v>
      </c>
      <c r="AI21" s="6">
        <f>SUM(AH15:AH19)</f>
        <v>1</v>
      </c>
      <c r="AJ21" s="8"/>
      <c r="AK21" s="8"/>
    </row>
    <row r="22" ht="20.1" customHeight="1" spans="1:34">
      <c r="A22" s="6">
        <v>21</v>
      </c>
      <c r="B22" s="6">
        <v>15.5</v>
      </c>
      <c r="C22" s="6">
        <v>15.5</v>
      </c>
      <c r="D22" s="6">
        <f>B22*总表!$D$4</f>
        <v>16275</v>
      </c>
      <c r="E22" s="6">
        <f>C22*总表!$E$4</f>
        <v>1550</v>
      </c>
      <c r="F22" s="6">
        <f>C22*总表!$F$4</f>
        <v>465</v>
      </c>
      <c r="G22" s="6">
        <v>2.1</v>
      </c>
      <c r="H22" s="6">
        <v>0.525</v>
      </c>
      <c r="I22" s="6">
        <f t="shared" si="1"/>
        <v>313</v>
      </c>
      <c r="J22" s="6">
        <f t="shared" si="2"/>
        <v>30</v>
      </c>
      <c r="K22" s="6">
        <f t="shared" si="3"/>
        <v>9</v>
      </c>
      <c r="N22" s="6">
        <v>2</v>
      </c>
      <c r="O22" s="6">
        <v>300</v>
      </c>
      <c r="P22" s="6">
        <v>30</v>
      </c>
      <c r="Q22" s="6">
        <f t="shared" ref="Q22:Q24" si="11">P22/2</f>
        <v>15</v>
      </c>
      <c r="R22" s="6"/>
      <c r="T22" s="6"/>
      <c r="U22" s="6"/>
      <c r="V22" s="7"/>
      <c r="W22" s="6" t="str">
        <f t="shared" si="8"/>
        <v>100403;28</v>
      </c>
      <c r="X22" s="9" t="s">
        <v>1327</v>
      </c>
      <c r="Y22" s="6" t="str">
        <f t="shared" si="9"/>
        <v>攻击+28</v>
      </c>
      <c r="Z22" s="6">
        <v>20</v>
      </c>
      <c r="AA22" s="6">
        <f t="shared" si="10"/>
        <v>30</v>
      </c>
      <c r="AB22" s="6">
        <v>28</v>
      </c>
      <c r="AC22" s="6">
        <f>AB22-AB21</f>
        <v>7</v>
      </c>
      <c r="AD22" s="6" t="s">
        <v>1328</v>
      </c>
      <c r="AE22" s="8" t="s">
        <v>1329</v>
      </c>
      <c r="AF22" s="7"/>
      <c r="AG22" s="7"/>
      <c r="AH22" s="7"/>
    </row>
    <row r="23" ht="20.1" customHeight="1" spans="1:31">
      <c r="A23" s="6">
        <v>22</v>
      </c>
      <c r="B23" s="6">
        <v>16</v>
      </c>
      <c r="C23" s="6">
        <v>16</v>
      </c>
      <c r="D23" s="6">
        <f>B23*总表!$D$4</f>
        <v>16800</v>
      </c>
      <c r="E23" s="6">
        <f>C23*总表!$E$4</f>
        <v>1600</v>
      </c>
      <c r="F23" s="6">
        <f>C23*总表!$F$4</f>
        <v>480</v>
      </c>
      <c r="G23" s="6">
        <v>2.2</v>
      </c>
      <c r="H23" s="6">
        <v>0.55</v>
      </c>
      <c r="I23" s="6">
        <f t="shared" si="1"/>
        <v>323</v>
      </c>
      <c r="J23" s="6">
        <f t="shared" si="2"/>
        <v>31</v>
      </c>
      <c r="K23" s="6">
        <f t="shared" si="3"/>
        <v>9</v>
      </c>
      <c r="N23" s="6">
        <v>3</v>
      </c>
      <c r="O23" s="6">
        <v>450</v>
      </c>
      <c r="P23" s="6">
        <v>40</v>
      </c>
      <c r="Q23" s="6">
        <f t="shared" si="11"/>
        <v>20</v>
      </c>
      <c r="R23" s="6"/>
      <c r="S23" s="4"/>
      <c r="T23" s="6" t="s">
        <v>1254</v>
      </c>
      <c r="U23" s="9" t="s">
        <v>1255</v>
      </c>
      <c r="V23" s="4"/>
      <c r="W23" s="6" t="str">
        <f t="shared" si="8"/>
        <v>100403;36</v>
      </c>
      <c r="X23" s="9" t="s">
        <v>1330</v>
      </c>
      <c r="Y23" s="6" t="str">
        <f t="shared" si="9"/>
        <v>攻击+36</v>
      </c>
      <c r="Z23" s="6">
        <v>25</v>
      </c>
      <c r="AA23" s="6">
        <f t="shared" si="10"/>
        <v>38</v>
      </c>
      <c r="AB23" s="6">
        <v>36</v>
      </c>
      <c r="AC23" s="6">
        <f t="shared" ref="AC23:AC28" si="12">AB23-AB22</f>
        <v>8</v>
      </c>
      <c r="AD23" s="6" t="s">
        <v>1331</v>
      </c>
      <c r="AE23" s="8" t="s">
        <v>1332</v>
      </c>
    </row>
    <row r="24" ht="20.1" customHeight="1" spans="1:31">
      <c r="A24" s="6">
        <v>23</v>
      </c>
      <c r="B24" s="6">
        <v>16.5</v>
      </c>
      <c r="C24" s="6">
        <v>16.5</v>
      </c>
      <c r="D24" s="6">
        <f>B24*总表!$D$4</f>
        <v>17325</v>
      </c>
      <c r="E24" s="6">
        <f>C24*总表!$E$4</f>
        <v>1650</v>
      </c>
      <c r="F24" s="6">
        <f>C24*总表!$F$4</f>
        <v>495</v>
      </c>
      <c r="G24" s="6">
        <v>2.3</v>
      </c>
      <c r="H24" s="6">
        <v>0.575</v>
      </c>
      <c r="I24" s="6">
        <f t="shared" si="1"/>
        <v>333</v>
      </c>
      <c r="J24" s="6">
        <f t="shared" si="2"/>
        <v>32</v>
      </c>
      <c r="K24" s="6">
        <f t="shared" si="3"/>
        <v>10</v>
      </c>
      <c r="N24" s="6">
        <v>4</v>
      </c>
      <c r="O24" s="6">
        <v>600</v>
      </c>
      <c r="P24" s="6">
        <v>50</v>
      </c>
      <c r="Q24" s="6">
        <f t="shared" si="11"/>
        <v>25</v>
      </c>
      <c r="R24" s="6"/>
      <c r="S24" s="6" t="s">
        <v>855</v>
      </c>
      <c r="T24" s="6" t="s">
        <v>1229</v>
      </c>
      <c r="U24" s="6" t="s">
        <v>1333</v>
      </c>
      <c r="V24" s="8" t="s">
        <v>1334</v>
      </c>
      <c r="W24" s="6" t="str">
        <f t="shared" si="8"/>
        <v>100403;45</v>
      </c>
      <c r="X24" s="9" t="s">
        <v>1335</v>
      </c>
      <c r="Y24" s="6" t="str">
        <f t="shared" si="9"/>
        <v>攻击+45</v>
      </c>
      <c r="Z24" s="6">
        <v>30</v>
      </c>
      <c r="AA24" s="6">
        <f t="shared" si="10"/>
        <v>45</v>
      </c>
      <c r="AB24" s="6">
        <v>45</v>
      </c>
      <c r="AC24" s="6">
        <f t="shared" si="12"/>
        <v>9</v>
      </c>
      <c r="AD24" s="6" t="s">
        <v>1336</v>
      </c>
      <c r="AE24" s="8" t="s">
        <v>1337</v>
      </c>
    </row>
    <row r="25" ht="20.1" customHeight="1" spans="1:36">
      <c r="A25" s="6">
        <v>24</v>
      </c>
      <c r="B25" s="6">
        <v>17</v>
      </c>
      <c r="C25" s="6">
        <v>17</v>
      </c>
      <c r="D25" s="6">
        <f>B25*总表!$D$4</f>
        <v>17850</v>
      </c>
      <c r="E25" s="6">
        <f>C25*总表!$E$4</f>
        <v>1700</v>
      </c>
      <c r="F25" s="6">
        <f>C25*总表!$F$4</f>
        <v>510</v>
      </c>
      <c r="G25" s="6">
        <v>2.4</v>
      </c>
      <c r="H25" s="6">
        <v>0.6</v>
      </c>
      <c r="I25" s="6">
        <f t="shared" si="1"/>
        <v>343</v>
      </c>
      <c r="J25" s="6">
        <f t="shared" si="2"/>
        <v>33</v>
      </c>
      <c r="K25" s="6">
        <f t="shared" si="3"/>
        <v>10</v>
      </c>
      <c r="O25" s="6"/>
      <c r="P25" s="6"/>
      <c r="Q25" s="6"/>
      <c r="R25" s="6"/>
      <c r="S25" s="4"/>
      <c r="T25" s="6" t="s">
        <v>1221</v>
      </c>
      <c r="U25" s="6" t="s">
        <v>1230</v>
      </c>
      <c r="V25" s="8" t="s">
        <v>1338</v>
      </c>
      <c r="W25" s="6" t="str">
        <f t="shared" si="8"/>
        <v>100403;60</v>
      </c>
      <c r="X25" s="9" t="s">
        <v>1339</v>
      </c>
      <c r="Y25" s="6" t="str">
        <f t="shared" si="9"/>
        <v>攻击+60</v>
      </c>
      <c r="Z25" s="6">
        <v>40</v>
      </c>
      <c r="AA25" s="6">
        <f t="shared" si="10"/>
        <v>60</v>
      </c>
      <c r="AB25" s="6">
        <v>60</v>
      </c>
      <c r="AC25" s="6">
        <f t="shared" si="12"/>
        <v>15</v>
      </c>
      <c r="AD25" s="6" t="s">
        <v>1340</v>
      </c>
      <c r="AE25" s="8" t="s">
        <v>1341</v>
      </c>
      <c r="AF25" s="1"/>
      <c r="AG25" s="1"/>
      <c r="AH25" s="1"/>
      <c r="AI25" s="1"/>
      <c r="AJ25" s="1"/>
    </row>
    <row r="26" ht="20.1" customHeight="1" spans="1:36">
      <c r="A26" s="6">
        <v>25</v>
      </c>
      <c r="B26" s="6">
        <v>17.5</v>
      </c>
      <c r="C26" s="6">
        <v>17.5</v>
      </c>
      <c r="D26" s="6">
        <f>B26*总表!$D$4</f>
        <v>18375</v>
      </c>
      <c r="E26" s="6">
        <f>C26*总表!$E$4</f>
        <v>1750</v>
      </c>
      <c r="F26" s="6">
        <f>C26*总表!$F$4</f>
        <v>525</v>
      </c>
      <c r="G26" s="6">
        <v>2.5</v>
      </c>
      <c r="H26" s="6">
        <v>0.625</v>
      </c>
      <c r="I26" s="6">
        <f t="shared" si="1"/>
        <v>353</v>
      </c>
      <c r="J26" s="6">
        <f t="shared" si="2"/>
        <v>34</v>
      </c>
      <c r="K26" s="6">
        <f t="shared" si="3"/>
        <v>10</v>
      </c>
      <c r="O26" s="6"/>
      <c r="P26" s="6"/>
      <c r="Q26" s="6"/>
      <c r="R26" s="6"/>
      <c r="T26" s="6" t="s">
        <v>1244</v>
      </c>
      <c r="U26" s="6" t="s">
        <v>1342</v>
      </c>
      <c r="V26" s="7" t="s">
        <v>1343</v>
      </c>
      <c r="W26" s="6" t="str">
        <f t="shared" si="8"/>
        <v>100403;75</v>
      </c>
      <c r="X26" s="9" t="s">
        <v>1344</v>
      </c>
      <c r="Y26" s="6" t="str">
        <f t="shared" si="9"/>
        <v>攻击+75</v>
      </c>
      <c r="Z26" s="6">
        <v>50</v>
      </c>
      <c r="AA26" s="6">
        <f t="shared" si="10"/>
        <v>75</v>
      </c>
      <c r="AB26" s="6">
        <v>75</v>
      </c>
      <c r="AC26" s="6">
        <f t="shared" si="12"/>
        <v>15</v>
      </c>
      <c r="AD26" s="6" t="s">
        <v>1345</v>
      </c>
      <c r="AE26" s="8" t="s">
        <v>1346</v>
      </c>
      <c r="AF26" s="2" t="s">
        <v>1347</v>
      </c>
      <c r="AG26" s="30" t="s">
        <v>1348</v>
      </c>
      <c r="AH26" s="1"/>
      <c r="AI26" s="1"/>
      <c r="AJ26" s="1" t="s">
        <v>1349</v>
      </c>
    </row>
    <row r="27" ht="20.1" customHeight="1" spans="1:36">
      <c r="A27" s="6">
        <v>26</v>
      </c>
      <c r="B27" s="6">
        <v>18</v>
      </c>
      <c r="C27" s="6">
        <v>18</v>
      </c>
      <c r="D27" s="6">
        <f>B27*总表!$D$4</f>
        <v>18900</v>
      </c>
      <c r="E27" s="6">
        <f>C27*总表!$E$4</f>
        <v>1800</v>
      </c>
      <c r="F27" s="6">
        <f>C27*总表!$F$4</f>
        <v>540</v>
      </c>
      <c r="G27" s="6">
        <v>2.6</v>
      </c>
      <c r="H27" s="6">
        <v>0.65</v>
      </c>
      <c r="I27" s="6">
        <f t="shared" si="1"/>
        <v>363</v>
      </c>
      <c r="J27" s="6">
        <f t="shared" si="2"/>
        <v>35</v>
      </c>
      <c r="K27" s="6">
        <f t="shared" si="3"/>
        <v>10</v>
      </c>
      <c r="N27" s="6" t="s">
        <v>1350</v>
      </c>
      <c r="O27" s="9" t="s">
        <v>2</v>
      </c>
      <c r="P27" s="9" t="s">
        <v>3</v>
      </c>
      <c r="Q27" s="9" t="s">
        <v>12</v>
      </c>
      <c r="R27" s="9"/>
      <c r="T27" s="6" t="s">
        <v>1236</v>
      </c>
      <c r="U27" s="6" t="s">
        <v>1351</v>
      </c>
      <c r="V27" s="7" t="s">
        <v>1352</v>
      </c>
      <c r="W27" s="6" t="str">
        <f t="shared" si="8"/>
        <v>100403;90</v>
      </c>
      <c r="X27" s="9" t="s">
        <v>1353</v>
      </c>
      <c r="Y27" s="6" t="str">
        <f t="shared" si="9"/>
        <v>攻击+90</v>
      </c>
      <c r="Z27" s="6">
        <v>60</v>
      </c>
      <c r="AA27" s="6">
        <f t="shared" si="10"/>
        <v>90</v>
      </c>
      <c r="AB27" s="6">
        <v>90</v>
      </c>
      <c r="AC27" s="6">
        <f t="shared" si="12"/>
        <v>15</v>
      </c>
      <c r="AD27" s="6" t="s">
        <v>1354</v>
      </c>
      <c r="AE27" s="8" t="s">
        <v>1355</v>
      </c>
      <c r="AF27" s="29" t="s">
        <v>1356</v>
      </c>
      <c r="AG27" s="1"/>
      <c r="AH27" s="1"/>
      <c r="AI27" s="1"/>
      <c r="AJ27" s="1"/>
    </row>
    <row r="28" ht="20.1" customHeight="1" spans="1:36">
      <c r="A28" s="6">
        <v>27</v>
      </c>
      <c r="B28" s="6">
        <v>18.5</v>
      </c>
      <c r="C28" s="6">
        <v>18.5</v>
      </c>
      <c r="D28" s="6">
        <f>B28*总表!$D$4</f>
        <v>19425</v>
      </c>
      <c r="E28" s="6">
        <f>C28*总表!$E$4</f>
        <v>1850</v>
      </c>
      <c r="F28" s="6">
        <f>C28*总表!$F$4</f>
        <v>555</v>
      </c>
      <c r="G28" s="6">
        <v>2.7</v>
      </c>
      <c r="H28" s="6">
        <v>0.675</v>
      </c>
      <c r="I28" s="6">
        <f t="shared" si="1"/>
        <v>374</v>
      </c>
      <c r="J28" s="6">
        <f t="shared" si="2"/>
        <v>36</v>
      </c>
      <c r="K28" s="6">
        <f t="shared" si="3"/>
        <v>11</v>
      </c>
      <c r="N28" s="6" t="s">
        <v>1357</v>
      </c>
      <c r="O28" s="6">
        <v>0</v>
      </c>
      <c r="P28" s="6">
        <v>1</v>
      </c>
      <c r="Q28" s="6">
        <v>0</v>
      </c>
      <c r="R28" s="6"/>
      <c r="T28" s="6" t="s">
        <v>1229</v>
      </c>
      <c r="U28" s="6" t="s">
        <v>1358</v>
      </c>
      <c r="V28" s="7" t="s">
        <v>1359</v>
      </c>
      <c r="W28" s="6" t="str">
        <f t="shared" si="8"/>
        <v>100403;105</v>
      </c>
      <c r="X28" s="9" t="s">
        <v>1360</v>
      </c>
      <c r="Y28" s="6" t="str">
        <f t="shared" si="9"/>
        <v>攻击+105</v>
      </c>
      <c r="Z28" s="6">
        <v>70</v>
      </c>
      <c r="AA28" s="6">
        <f t="shared" si="10"/>
        <v>105</v>
      </c>
      <c r="AB28" s="6">
        <v>105</v>
      </c>
      <c r="AC28" s="6">
        <f t="shared" si="12"/>
        <v>15</v>
      </c>
      <c r="AD28" s="6" t="s">
        <v>1361</v>
      </c>
      <c r="AE28" s="8" t="s">
        <v>1362</v>
      </c>
      <c r="AF28" s="30" t="s">
        <v>1363</v>
      </c>
      <c r="AG28" s="1"/>
      <c r="AH28" s="1"/>
      <c r="AI28" s="1"/>
      <c r="AJ28" s="1"/>
    </row>
    <row r="29" ht="20.1" customHeight="1" spans="1:36">
      <c r="A29" s="6">
        <v>28</v>
      </c>
      <c r="B29" s="6">
        <v>19</v>
      </c>
      <c r="C29" s="6">
        <v>19</v>
      </c>
      <c r="D29" s="6">
        <f>B29*总表!$D$4</f>
        <v>19950</v>
      </c>
      <c r="E29" s="6">
        <f>C29*总表!$E$4</f>
        <v>1900</v>
      </c>
      <c r="F29" s="6">
        <f>C29*总表!$F$4</f>
        <v>570</v>
      </c>
      <c r="G29" s="6">
        <v>2.8</v>
      </c>
      <c r="H29" s="6">
        <v>0.7</v>
      </c>
      <c r="I29" s="6">
        <f t="shared" si="1"/>
        <v>384</v>
      </c>
      <c r="J29" s="6">
        <f t="shared" si="2"/>
        <v>37</v>
      </c>
      <c r="K29" s="6">
        <f t="shared" si="3"/>
        <v>11</v>
      </c>
      <c r="N29" s="6" t="s">
        <v>1364</v>
      </c>
      <c r="O29" s="6">
        <v>0.25</v>
      </c>
      <c r="P29" s="6">
        <v>0</v>
      </c>
      <c r="Q29" s="6">
        <v>1</v>
      </c>
      <c r="R29" s="6"/>
      <c r="T29" s="6" t="s">
        <v>1244</v>
      </c>
      <c r="U29" s="6" t="s">
        <v>1365</v>
      </c>
      <c r="V29" s="7" t="s">
        <v>1366</v>
      </c>
      <c r="W29" s="6" t="str">
        <f t="shared" si="8"/>
        <v>100403;120</v>
      </c>
      <c r="X29" s="9" t="s">
        <v>1367</v>
      </c>
      <c r="Y29" s="6" t="str">
        <f t="shared" si="9"/>
        <v>攻击+120</v>
      </c>
      <c r="Z29" s="6">
        <v>80</v>
      </c>
      <c r="AA29" s="6">
        <f t="shared" si="10"/>
        <v>120</v>
      </c>
      <c r="AB29" s="6">
        <v>120</v>
      </c>
      <c r="AC29" s="6"/>
      <c r="AD29" s="6" t="s">
        <v>1368</v>
      </c>
      <c r="AE29" s="8" t="s">
        <v>1369</v>
      </c>
      <c r="AF29" s="30" t="s">
        <v>1370</v>
      </c>
      <c r="AG29" s="1"/>
      <c r="AH29" s="1"/>
      <c r="AI29" s="1"/>
      <c r="AJ29" s="1"/>
    </row>
    <row r="30" ht="20.1" customHeight="1" spans="1:36">
      <c r="A30" s="6">
        <v>29</v>
      </c>
      <c r="B30" s="6">
        <v>19.5</v>
      </c>
      <c r="C30" s="6">
        <v>19.5</v>
      </c>
      <c r="D30" s="6">
        <f>B30*总表!$D$4</f>
        <v>20475</v>
      </c>
      <c r="E30" s="6">
        <f>C30*总表!$E$4</f>
        <v>1950</v>
      </c>
      <c r="F30" s="6">
        <f>C30*总表!$F$4</f>
        <v>585</v>
      </c>
      <c r="G30" s="6">
        <v>2.9</v>
      </c>
      <c r="H30" s="6">
        <v>0.725</v>
      </c>
      <c r="I30" s="6">
        <f t="shared" si="1"/>
        <v>394</v>
      </c>
      <c r="J30" s="6">
        <f t="shared" si="2"/>
        <v>38</v>
      </c>
      <c r="K30" s="6">
        <f t="shared" si="3"/>
        <v>11</v>
      </c>
      <c r="N30" s="6" t="s">
        <v>1371</v>
      </c>
      <c r="O30" s="6">
        <v>0.75</v>
      </c>
      <c r="P30" s="6">
        <v>0</v>
      </c>
      <c r="Q30" s="6">
        <v>0</v>
      </c>
      <c r="R30" s="6"/>
      <c r="T30" s="6" t="s">
        <v>1221</v>
      </c>
      <c r="U30" s="6" t="s">
        <v>1372</v>
      </c>
      <c r="V30" s="7" t="s">
        <v>1373</v>
      </c>
      <c r="AD30" s="6" t="s">
        <v>1374</v>
      </c>
      <c r="AE30" s="8" t="s">
        <v>1375</v>
      </c>
      <c r="AF30" s="30" t="s">
        <v>1376</v>
      </c>
      <c r="AG30" s="1"/>
      <c r="AH30" s="1"/>
      <c r="AI30" s="1"/>
      <c r="AJ30" s="1"/>
    </row>
    <row r="31" ht="20.1" customHeight="1" spans="1:31">
      <c r="A31" s="6">
        <v>30</v>
      </c>
      <c r="B31" s="6">
        <v>20</v>
      </c>
      <c r="C31" s="6">
        <v>20</v>
      </c>
      <c r="D31" s="6">
        <f>B31*总表!$D$4</f>
        <v>21000</v>
      </c>
      <c r="E31" s="6">
        <f>C31*总表!$E$4</f>
        <v>2000</v>
      </c>
      <c r="F31" s="6">
        <f>C31*总表!$F$4</f>
        <v>600</v>
      </c>
      <c r="G31" s="6">
        <v>3</v>
      </c>
      <c r="H31" s="6">
        <v>0.75</v>
      </c>
      <c r="I31" s="6">
        <f t="shared" si="1"/>
        <v>404</v>
      </c>
      <c r="J31" s="6">
        <f t="shared" si="2"/>
        <v>38</v>
      </c>
      <c r="K31" s="6">
        <f t="shared" si="3"/>
        <v>12</v>
      </c>
      <c r="N31" s="15"/>
      <c r="T31" s="6" t="s">
        <v>1236</v>
      </c>
      <c r="U31" s="6" t="s">
        <v>1377</v>
      </c>
      <c r="V31" s="7" t="s">
        <v>1378</v>
      </c>
      <c r="AD31" s="6" t="s">
        <v>1379</v>
      </c>
      <c r="AE31" s="8" t="s">
        <v>1380</v>
      </c>
    </row>
    <row r="32" ht="20.1" customHeight="1" spans="1:31">
      <c r="A32" s="6">
        <v>31</v>
      </c>
      <c r="B32" s="6">
        <v>20.5</v>
      </c>
      <c r="C32" s="6">
        <v>20.5</v>
      </c>
      <c r="D32" s="6">
        <f>B32*总表!$D$4</f>
        <v>21525</v>
      </c>
      <c r="E32" s="6">
        <f>C32*总表!$E$4</f>
        <v>2050</v>
      </c>
      <c r="F32" s="6">
        <f>C32*总表!$F$4</f>
        <v>615</v>
      </c>
      <c r="G32" s="6">
        <v>3.1</v>
      </c>
      <c r="H32" s="6">
        <v>0.775</v>
      </c>
      <c r="I32" s="6">
        <f t="shared" si="1"/>
        <v>414</v>
      </c>
      <c r="J32" s="6">
        <f t="shared" si="2"/>
        <v>39</v>
      </c>
      <c r="K32" s="6">
        <f t="shared" si="3"/>
        <v>12</v>
      </c>
      <c r="M32" s="9" t="s">
        <v>1381</v>
      </c>
      <c r="N32" s="6" t="s">
        <v>1357</v>
      </c>
      <c r="O32" s="6">
        <f>ROUND(O28*O$21,-1)</f>
        <v>0</v>
      </c>
      <c r="P32" s="6">
        <f t="shared" ref="P32:Q32" si="13">P28*P$21</f>
        <v>20</v>
      </c>
      <c r="Q32" s="6">
        <f t="shared" si="13"/>
        <v>0</v>
      </c>
      <c r="R32" s="6"/>
      <c r="T32" s="6" t="s">
        <v>1229</v>
      </c>
      <c r="U32" s="6" t="s">
        <v>1382</v>
      </c>
      <c r="V32" s="7" t="s">
        <v>1383</v>
      </c>
      <c r="W32" s="6" t="str">
        <f>"100203;"&amp;AB32</f>
        <v>100203;150</v>
      </c>
      <c r="X32" s="9" t="s">
        <v>1384</v>
      </c>
      <c r="Y32" s="6" t="str">
        <f>"生命+"&amp;AB32</f>
        <v>生命+150</v>
      </c>
      <c r="Z32" s="6">
        <v>100</v>
      </c>
      <c r="AA32" s="6">
        <f>Z32*1.5</f>
        <v>150</v>
      </c>
      <c r="AB32" s="6">
        <v>150</v>
      </c>
      <c r="AC32" s="6"/>
      <c r="AD32" s="6" t="s">
        <v>1385</v>
      </c>
      <c r="AE32" s="8" t="s">
        <v>1386</v>
      </c>
    </row>
    <row r="33" ht="20.1" customHeight="1" spans="1:32">
      <c r="A33" s="6">
        <v>32</v>
      </c>
      <c r="B33" s="6">
        <v>21</v>
      </c>
      <c r="C33" s="6">
        <v>21</v>
      </c>
      <c r="D33" s="6">
        <f>B33*总表!$D$4</f>
        <v>22050</v>
      </c>
      <c r="E33" s="6">
        <f>C33*总表!$E$4</f>
        <v>2100</v>
      </c>
      <c r="F33" s="6">
        <f>C33*总表!$F$4</f>
        <v>630</v>
      </c>
      <c r="G33" s="6">
        <v>3.2</v>
      </c>
      <c r="H33" s="6">
        <v>0.8</v>
      </c>
      <c r="I33" s="6">
        <f t="shared" si="1"/>
        <v>424</v>
      </c>
      <c r="J33" s="6">
        <f t="shared" si="2"/>
        <v>40</v>
      </c>
      <c r="K33" s="6">
        <f t="shared" si="3"/>
        <v>12</v>
      </c>
      <c r="M33" s="9"/>
      <c r="N33" s="6" t="s">
        <v>1364</v>
      </c>
      <c r="O33" s="6">
        <f t="shared" ref="O33:O34" si="14">ROUND(O29*O$21,-1)</f>
        <v>40</v>
      </c>
      <c r="P33" s="6">
        <f t="shared" ref="P33:Q33" si="15">P29*P$21</f>
        <v>0</v>
      </c>
      <c r="Q33" s="6">
        <f t="shared" si="15"/>
        <v>10</v>
      </c>
      <c r="R33" s="6"/>
      <c r="S33" s="6"/>
      <c r="T33" s="6" t="s">
        <v>1221</v>
      </c>
      <c r="U33" s="6" t="s">
        <v>1387</v>
      </c>
      <c r="V33" s="8" t="s">
        <v>1388</v>
      </c>
      <c r="W33" s="6" t="str">
        <f t="shared" ref="W33:W41" si="16">"100203;"&amp;AB33</f>
        <v>100203;225</v>
      </c>
      <c r="X33" s="9" t="s">
        <v>1389</v>
      </c>
      <c r="Y33" s="6" t="str">
        <f t="shared" ref="Y33:Y41" si="17">"生命+"&amp;AB33</f>
        <v>生命+225</v>
      </c>
      <c r="Z33" s="6">
        <v>150</v>
      </c>
      <c r="AA33" s="6">
        <f t="shared" ref="AA33:AA41" si="18">Z33*1.5</f>
        <v>225</v>
      </c>
      <c r="AB33" s="6">
        <v>225</v>
      </c>
      <c r="AC33" s="6"/>
      <c r="AD33" s="6" t="s">
        <v>1390</v>
      </c>
      <c r="AE33" s="8" t="s">
        <v>1391</v>
      </c>
      <c r="AF33" s="29" t="s">
        <v>1392</v>
      </c>
    </row>
    <row r="34" ht="20.1" customHeight="1" spans="1:32">
      <c r="A34" s="6">
        <v>33</v>
      </c>
      <c r="B34" s="6">
        <v>21.5</v>
      </c>
      <c r="C34" s="6">
        <v>21.5</v>
      </c>
      <c r="D34" s="6">
        <f>B34*总表!$D$4</f>
        <v>22575</v>
      </c>
      <c r="E34" s="6">
        <f>C34*总表!$E$4</f>
        <v>2150</v>
      </c>
      <c r="F34" s="6">
        <f>C34*总表!$F$4</f>
        <v>645</v>
      </c>
      <c r="G34" s="6">
        <v>3.3</v>
      </c>
      <c r="H34" s="6">
        <v>0.825</v>
      </c>
      <c r="I34" s="6">
        <f t="shared" si="1"/>
        <v>434</v>
      </c>
      <c r="J34" s="6">
        <f t="shared" si="2"/>
        <v>41</v>
      </c>
      <c r="K34" s="6">
        <f t="shared" si="3"/>
        <v>12</v>
      </c>
      <c r="M34" s="9"/>
      <c r="N34" s="6" t="s">
        <v>1371</v>
      </c>
      <c r="O34" s="6">
        <f t="shared" si="14"/>
        <v>110</v>
      </c>
      <c r="P34" s="6">
        <f t="shared" ref="P34:Q34" si="19">P30*P$21</f>
        <v>0</v>
      </c>
      <c r="Q34" s="6">
        <f t="shared" si="19"/>
        <v>0</v>
      </c>
      <c r="R34" s="6"/>
      <c r="S34" s="4"/>
      <c r="T34" s="6" t="s">
        <v>1244</v>
      </c>
      <c r="U34" s="6" t="s">
        <v>1393</v>
      </c>
      <c r="V34" s="7" t="s">
        <v>1394</v>
      </c>
      <c r="W34" s="6" t="str">
        <f t="shared" si="16"/>
        <v>100203;300</v>
      </c>
      <c r="X34" s="9" t="s">
        <v>1395</v>
      </c>
      <c r="Y34" s="6" t="str">
        <f t="shared" si="17"/>
        <v>生命+300</v>
      </c>
      <c r="Z34" s="6">
        <v>200</v>
      </c>
      <c r="AA34" s="6">
        <f t="shared" si="18"/>
        <v>300</v>
      </c>
      <c r="AB34" s="6">
        <v>300</v>
      </c>
      <c r="AC34" s="6"/>
      <c r="AD34" s="6" t="s">
        <v>1396</v>
      </c>
      <c r="AE34" s="8" t="s">
        <v>1397</v>
      </c>
      <c r="AF34" s="29" t="s">
        <v>1398</v>
      </c>
    </row>
    <row r="35" ht="20.1" customHeight="1" spans="1:32">
      <c r="A35" s="6">
        <v>34</v>
      </c>
      <c r="B35" s="6">
        <v>22</v>
      </c>
      <c r="C35" s="6">
        <v>22</v>
      </c>
      <c r="D35" s="6">
        <f>B35*总表!$D$4</f>
        <v>23100</v>
      </c>
      <c r="E35" s="6">
        <f>C35*总表!$E$4</f>
        <v>2200</v>
      </c>
      <c r="F35" s="6">
        <f>C35*总表!$F$4</f>
        <v>660</v>
      </c>
      <c r="G35" s="6">
        <v>3.4</v>
      </c>
      <c r="H35" s="6">
        <v>0.85</v>
      </c>
      <c r="I35" s="6">
        <f t="shared" si="1"/>
        <v>444</v>
      </c>
      <c r="J35" s="6">
        <f t="shared" si="2"/>
        <v>42</v>
      </c>
      <c r="K35" s="6">
        <f t="shared" si="3"/>
        <v>13</v>
      </c>
      <c r="M35" s="9"/>
      <c r="N35" s="6"/>
      <c r="O35" s="6"/>
      <c r="P35" s="6"/>
      <c r="Q35" s="6"/>
      <c r="R35" s="6"/>
      <c r="T35" s="6" t="s">
        <v>1236</v>
      </c>
      <c r="U35" s="6" t="s">
        <v>1399</v>
      </c>
      <c r="V35" s="8" t="s">
        <v>1400</v>
      </c>
      <c r="W35" s="6" t="str">
        <f t="shared" si="16"/>
        <v>100203;375</v>
      </c>
      <c r="X35" s="9" t="s">
        <v>1401</v>
      </c>
      <c r="Y35" s="6" t="str">
        <f t="shared" si="17"/>
        <v>生命+375</v>
      </c>
      <c r="Z35" s="6">
        <v>250</v>
      </c>
      <c r="AA35" s="6">
        <f t="shared" si="18"/>
        <v>375</v>
      </c>
      <c r="AB35" s="6">
        <v>375</v>
      </c>
      <c r="AC35" s="6"/>
      <c r="AD35" s="6" t="s">
        <v>1402</v>
      </c>
      <c r="AE35" s="8" t="s">
        <v>1403</v>
      </c>
      <c r="AF35" s="29" t="s">
        <v>1404</v>
      </c>
    </row>
    <row r="36" ht="20.1" customHeight="1" spans="1:32">
      <c r="A36" s="6">
        <v>35</v>
      </c>
      <c r="B36" s="6">
        <v>22.5</v>
      </c>
      <c r="C36" s="6">
        <v>22.5</v>
      </c>
      <c r="D36" s="6">
        <f>B36*总表!$D$4</f>
        <v>23625</v>
      </c>
      <c r="E36" s="6">
        <f>C36*总表!$E$4</f>
        <v>2250</v>
      </c>
      <c r="F36" s="6">
        <f>C36*总表!$F$4</f>
        <v>675</v>
      </c>
      <c r="G36" s="6">
        <v>3.5</v>
      </c>
      <c r="H36" s="6">
        <v>0.875</v>
      </c>
      <c r="I36" s="6">
        <f t="shared" si="1"/>
        <v>454</v>
      </c>
      <c r="J36" s="6">
        <f t="shared" si="2"/>
        <v>43</v>
      </c>
      <c r="K36" s="6">
        <f t="shared" si="3"/>
        <v>13</v>
      </c>
      <c r="M36" s="9" t="s">
        <v>1405</v>
      </c>
      <c r="N36" s="6" t="s">
        <v>1357</v>
      </c>
      <c r="O36" s="6">
        <f t="shared" ref="O36:Q36" si="20">O28*O$22</f>
        <v>0</v>
      </c>
      <c r="P36" s="6">
        <f t="shared" si="20"/>
        <v>30</v>
      </c>
      <c r="Q36" s="6">
        <f t="shared" si="20"/>
        <v>0</v>
      </c>
      <c r="R36" s="6"/>
      <c r="W36" s="6" t="str">
        <f t="shared" si="16"/>
        <v>100203;450</v>
      </c>
      <c r="X36" s="9" t="s">
        <v>1406</v>
      </c>
      <c r="Y36" s="6" t="str">
        <f t="shared" si="17"/>
        <v>生命+450</v>
      </c>
      <c r="Z36" s="6">
        <v>300</v>
      </c>
      <c r="AA36" s="6">
        <f t="shared" si="18"/>
        <v>450</v>
      </c>
      <c r="AB36" s="6">
        <v>450</v>
      </c>
      <c r="AC36" s="6"/>
      <c r="AF36" s="29" t="s">
        <v>1407</v>
      </c>
    </row>
    <row r="37" ht="20.1" customHeight="1" spans="1:32">
      <c r="A37" s="6">
        <v>36</v>
      </c>
      <c r="B37" s="6">
        <v>23</v>
      </c>
      <c r="C37" s="6">
        <v>23</v>
      </c>
      <c r="D37" s="6">
        <f>B37*总表!$D$4</f>
        <v>24150</v>
      </c>
      <c r="E37" s="6">
        <f>C37*总表!$E$4</f>
        <v>2300</v>
      </c>
      <c r="F37" s="6">
        <f>C37*总表!$F$4</f>
        <v>690</v>
      </c>
      <c r="G37" s="6">
        <v>3.6</v>
      </c>
      <c r="H37" s="6">
        <v>0.9</v>
      </c>
      <c r="I37" s="6">
        <f t="shared" si="1"/>
        <v>464</v>
      </c>
      <c r="J37" s="6">
        <f t="shared" si="2"/>
        <v>44</v>
      </c>
      <c r="K37" s="6">
        <f t="shared" si="3"/>
        <v>13</v>
      </c>
      <c r="M37" s="9"/>
      <c r="N37" s="6" t="s">
        <v>1364</v>
      </c>
      <c r="O37" s="6">
        <f t="shared" ref="O37:Q37" si="21">O29*O$22</f>
        <v>75</v>
      </c>
      <c r="P37" s="6">
        <f t="shared" si="21"/>
        <v>0</v>
      </c>
      <c r="Q37" s="6">
        <f t="shared" si="21"/>
        <v>15</v>
      </c>
      <c r="R37" s="6"/>
      <c r="W37" s="6" t="str">
        <f t="shared" si="16"/>
        <v>100203;600</v>
      </c>
      <c r="X37" s="9" t="s">
        <v>1408</v>
      </c>
      <c r="Y37" s="6" t="str">
        <f t="shared" si="17"/>
        <v>生命+600</v>
      </c>
      <c r="Z37" s="6">
        <v>400</v>
      </c>
      <c r="AA37" s="6">
        <f t="shared" si="18"/>
        <v>600</v>
      </c>
      <c r="AB37" s="6">
        <v>600</v>
      </c>
      <c r="AC37" s="6"/>
      <c r="AD37" s="6" t="s">
        <v>1409</v>
      </c>
      <c r="AE37" s="8" t="s">
        <v>1410</v>
      </c>
      <c r="AF37" s="29" t="s">
        <v>1411</v>
      </c>
    </row>
    <row r="38" ht="20.1" customHeight="1" spans="1:32">
      <c r="A38" s="6">
        <v>37</v>
      </c>
      <c r="B38" s="6">
        <v>23.5</v>
      </c>
      <c r="C38" s="6">
        <v>23.5</v>
      </c>
      <c r="D38" s="6">
        <f>B38*总表!$D$4</f>
        <v>24675</v>
      </c>
      <c r="E38" s="6">
        <f>C38*总表!$E$4</f>
        <v>2350</v>
      </c>
      <c r="F38" s="6">
        <f>C38*总表!$F$4</f>
        <v>705</v>
      </c>
      <c r="G38" s="6">
        <v>3.7</v>
      </c>
      <c r="H38" s="6">
        <v>0.925</v>
      </c>
      <c r="I38" s="6">
        <f t="shared" si="1"/>
        <v>475</v>
      </c>
      <c r="J38" s="6">
        <f t="shared" si="2"/>
        <v>45</v>
      </c>
      <c r="K38" s="6">
        <f t="shared" si="3"/>
        <v>14</v>
      </c>
      <c r="M38" s="9"/>
      <c r="N38" s="6" t="s">
        <v>1371</v>
      </c>
      <c r="O38" s="6">
        <f t="shared" ref="O38:Q38" si="22">O30*O$22</f>
        <v>225</v>
      </c>
      <c r="P38" s="6">
        <f t="shared" si="22"/>
        <v>0</v>
      </c>
      <c r="Q38" s="6">
        <f t="shared" si="22"/>
        <v>0</v>
      </c>
      <c r="R38" s="6"/>
      <c r="S38" s="4"/>
      <c r="T38" s="6" t="s">
        <v>1254</v>
      </c>
      <c r="U38" s="9" t="s">
        <v>1255</v>
      </c>
      <c r="V38" s="4"/>
      <c r="W38" s="6" t="str">
        <f t="shared" si="16"/>
        <v>100203;750</v>
      </c>
      <c r="X38" s="9" t="s">
        <v>1412</v>
      </c>
      <c r="Y38" s="6" t="str">
        <f t="shared" si="17"/>
        <v>生命+750</v>
      </c>
      <c r="Z38" s="6">
        <v>500</v>
      </c>
      <c r="AA38" s="6">
        <f t="shared" si="18"/>
        <v>750</v>
      </c>
      <c r="AB38" s="6">
        <v>750</v>
      </c>
      <c r="AC38" s="6"/>
      <c r="AD38" s="6" t="s">
        <v>1413</v>
      </c>
      <c r="AE38" s="8" t="s">
        <v>1414</v>
      </c>
      <c r="AF38" s="29" t="s">
        <v>1415</v>
      </c>
    </row>
    <row r="39" ht="20.1" customHeight="1" spans="1:32">
      <c r="A39" s="6">
        <v>38</v>
      </c>
      <c r="B39" s="6">
        <v>24</v>
      </c>
      <c r="C39" s="6">
        <v>24</v>
      </c>
      <c r="D39" s="6">
        <f>B39*总表!$D$4</f>
        <v>25200</v>
      </c>
      <c r="E39" s="6">
        <f>C39*总表!$E$4</f>
        <v>2400</v>
      </c>
      <c r="F39" s="6">
        <f>C39*总表!$F$4</f>
        <v>720</v>
      </c>
      <c r="G39" s="6">
        <v>3.8</v>
      </c>
      <c r="H39" s="6">
        <v>0.95</v>
      </c>
      <c r="I39" s="6">
        <f t="shared" si="1"/>
        <v>485</v>
      </c>
      <c r="J39" s="6">
        <f t="shared" si="2"/>
        <v>46</v>
      </c>
      <c r="K39" s="6">
        <f t="shared" si="3"/>
        <v>14</v>
      </c>
      <c r="M39" s="9"/>
      <c r="N39" s="6"/>
      <c r="O39" s="6"/>
      <c r="P39" s="6"/>
      <c r="Q39" s="6"/>
      <c r="R39" s="6"/>
      <c r="S39" s="6" t="s">
        <v>859</v>
      </c>
      <c r="T39" s="6" t="s">
        <v>1229</v>
      </c>
      <c r="U39" s="6" t="s">
        <v>1416</v>
      </c>
      <c r="V39" s="8" t="s">
        <v>1417</v>
      </c>
      <c r="W39" s="6" t="str">
        <f t="shared" si="16"/>
        <v>100203;900</v>
      </c>
      <c r="X39" s="9" t="s">
        <v>1418</v>
      </c>
      <c r="Y39" s="6" t="str">
        <f t="shared" si="17"/>
        <v>生命+900</v>
      </c>
      <c r="Z39" s="6">
        <v>600</v>
      </c>
      <c r="AA39" s="6">
        <f t="shared" si="18"/>
        <v>900</v>
      </c>
      <c r="AB39" s="6">
        <v>900</v>
      </c>
      <c r="AC39" s="6"/>
      <c r="AD39" s="6" t="s">
        <v>1419</v>
      </c>
      <c r="AE39" s="8" t="s">
        <v>1420</v>
      </c>
      <c r="AF39" s="29" t="s">
        <v>1421</v>
      </c>
    </row>
    <row r="40" ht="20.1" customHeight="1" spans="1:32">
      <c r="A40" s="6">
        <v>39</v>
      </c>
      <c r="B40" s="6">
        <v>24.5</v>
      </c>
      <c r="C40" s="6">
        <v>24.5</v>
      </c>
      <c r="D40" s="6">
        <f>B40*总表!$D$4</f>
        <v>25725</v>
      </c>
      <c r="E40" s="6">
        <f>C40*总表!$E$4</f>
        <v>2450</v>
      </c>
      <c r="F40" s="6">
        <f>C40*总表!$F$4</f>
        <v>735</v>
      </c>
      <c r="G40" s="6">
        <v>3.9</v>
      </c>
      <c r="H40" s="6">
        <v>0.975</v>
      </c>
      <c r="I40" s="6">
        <f t="shared" si="1"/>
        <v>495</v>
      </c>
      <c r="J40" s="6">
        <f t="shared" si="2"/>
        <v>47</v>
      </c>
      <c r="K40" s="6">
        <f t="shared" si="3"/>
        <v>14</v>
      </c>
      <c r="M40" s="9" t="s">
        <v>1422</v>
      </c>
      <c r="N40" s="6" t="s">
        <v>1357</v>
      </c>
      <c r="O40" s="6">
        <f t="shared" ref="O40:Q40" si="23">O28*O$23</f>
        <v>0</v>
      </c>
      <c r="P40" s="6">
        <f t="shared" si="23"/>
        <v>40</v>
      </c>
      <c r="Q40" s="6">
        <f t="shared" si="23"/>
        <v>0</v>
      </c>
      <c r="R40" s="6"/>
      <c r="S40" s="4"/>
      <c r="T40" s="6" t="s">
        <v>1221</v>
      </c>
      <c r="U40" s="6" t="s">
        <v>1423</v>
      </c>
      <c r="V40" s="8" t="s">
        <v>1424</v>
      </c>
      <c r="W40" s="6" t="str">
        <f t="shared" si="16"/>
        <v>100203;1050</v>
      </c>
      <c r="X40" s="9" t="s">
        <v>1425</v>
      </c>
      <c r="Y40" s="6" t="str">
        <f t="shared" si="17"/>
        <v>生命+1050</v>
      </c>
      <c r="Z40" s="6">
        <v>700</v>
      </c>
      <c r="AA40" s="6">
        <f t="shared" si="18"/>
        <v>1050</v>
      </c>
      <c r="AB40" s="6">
        <v>1050</v>
      </c>
      <c r="AC40" s="6"/>
      <c r="AD40" s="6" t="s">
        <v>1426</v>
      </c>
      <c r="AE40" s="8" t="s">
        <v>1427</v>
      </c>
      <c r="AF40" s="29" t="s">
        <v>1428</v>
      </c>
    </row>
    <row r="41" ht="20.1" customHeight="1" spans="1:32">
      <c r="A41" s="6">
        <v>40</v>
      </c>
      <c r="B41" s="6">
        <v>25</v>
      </c>
      <c r="C41" s="6">
        <v>25</v>
      </c>
      <c r="D41" s="6">
        <f>B41*总表!$D$4</f>
        <v>26250</v>
      </c>
      <c r="E41" s="6">
        <f>C41*总表!$E$4</f>
        <v>2500</v>
      </c>
      <c r="F41" s="6">
        <f>C41*总表!$F$4</f>
        <v>750</v>
      </c>
      <c r="G41" s="6">
        <v>4</v>
      </c>
      <c r="H41" s="6">
        <v>1</v>
      </c>
      <c r="I41" s="6">
        <f t="shared" si="1"/>
        <v>505</v>
      </c>
      <c r="J41" s="6">
        <f t="shared" si="2"/>
        <v>48</v>
      </c>
      <c r="K41" s="6">
        <f t="shared" si="3"/>
        <v>14</v>
      </c>
      <c r="M41" s="9"/>
      <c r="N41" s="6" t="s">
        <v>1364</v>
      </c>
      <c r="O41" s="6">
        <f t="shared" ref="O41:Q41" si="24">O29*O$23</f>
        <v>112.5</v>
      </c>
      <c r="P41" s="6">
        <f t="shared" si="24"/>
        <v>0</v>
      </c>
      <c r="Q41" s="6">
        <f t="shared" si="24"/>
        <v>20</v>
      </c>
      <c r="R41" s="6"/>
      <c r="T41" s="6" t="s">
        <v>1244</v>
      </c>
      <c r="U41" s="6" t="s">
        <v>1429</v>
      </c>
      <c r="V41" s="7" t="s">
        <v>1430</v>
      </c>
      <c r="W41" s="6" t="str">
        <f t="shared" si="16"/>
        <v>100203;1200</v>
      </c>
      <c r="X41" s="9" t="s">
        <v>1431</v>
      </c>
      <c r="Y41" s="6" t="str">
        <f t="shared" si="17"/>
        <v>生命+1200</v>
      </c>
      <c r="Z41" s="6">
        <v>800</v>
      </c>
      <c r="AA41" s="6">
        <f t="shared" si="18"/>
        <v>1200</v>
      </c>
      <c r="AB41" s="6">
        <v>1200</v>
      </c>
      <c r="AC41" s="6"/>
      <c r="AD41" s="6" t="s">
        <v>1432</v>
      </c>
      <c r="AE41" s="8" t="s">
        <v>1433</v>
      </c>
      <c r="AF41" s="29" t="s">
        <v>1434</v>
      </c>
    </row>
    <row r="42" ht="20.1" customHeight="1" spans="1:32">
      <c r="A42" s="6">
        <v>41</v>
      </c>
      <c r="B42" s="6">
        <v>25.5</v>
      </c>
      <c r="C42" s="6">
        <v>25.5</v>
      </c>
      <c r="D42" s="6">
        <f>B42*总表!$D$4</f>
        <v>26775</v>
      </c>
      <c r="E42" s="6">
        <f>C42*总表!$E$4</f>
        <v>2550</v>
      </c>
      <c r="F42" s="6">
        <f>C42*总表!$F$4</f>
        <v>765</v>
      </c>
      <c r="G42" s="6">
        <v>4</v>
      </c>
      <c r="H42" s="6">
        <v>1</v>
      </c>
      <c r="I42" s="6">
        <f t="shared" si="1"/>
        <v>515</v>
      </c>
      <c r="J42" s="6">
        <f t="shared" si="2"/>
        <v>49</v>
      </c>
      <c r="K42" s="6">
        <f t="shared" si="3"/>
        <v>15</v>
      </c>
      <c r="M42" s="9"/>
      <c r="N42" s="6" t="s">
        <v>1371</v>
      </c>
      <c r="O42" s="6">
        <f t="shared" ref="O42:Q42" si="25">O30*O$23</f>
        <v>337.5</v>
      </c>
      <c r="P42" s="6">
        <f t="shared" si="25"/>
        <v>0</v>
      </c>
      <c r="Q42" s="6">
        <f t="shared" si="25"/>
        <v>0</v>
      </c>
      <c r="R42" s="6"/>
      <c r="T42" s="6" t="s">
        <v>1236</v>
      </c>
      <c r="U42" s="6" t="s">
        <v>1361</v>
      </c>
      <c r="V42" s="7" t="s">
        <v>1435</v>
      </c>
      <c r="AD42" s="6" t="s">
        <v>1237</v>
      </c>
      <c r="AE42" s="8" t="s">
        <v>1436</v>
      </c>
      <c r="AF42" s="31"/>
    </row>
    <row r="43" ht="20.1" customHeight="1" spans="1:32">
      <c r="A43" s="6">
        <v>42</v>
      </c>
      <c r="B43" s="6">
        <v>26</v>
      </c>
      <c r="C43" s="6">
        <v>26</v>
      </c>
      <c r="D43" s="6">
        <f>B43*总表!$D$4</f>
        <v>27300</v>
      </c>
      <c r="E43" s="6">
        <f>C43*总表!$E$4</f>
        <v>2600</v>
      </c>
      <c r="F43" s="6">
        <f>C43*总表!$F$4</f>
        <v>780</v>
      </c>
      <c r="G43" s="6">
        <v>4</v>
      </c>
      <c r="H43" s="6">
        <v>1</v>
      </c>
      <c r="I43" s="6">
        <f t="shared" si="1"/>
        <v>525</v>
      </c>
      <c r="J43" s="6">
        <f t="shared" si="2"/>
        <v>50</v>
      </c>
      <c r="K43" s="6">
        <f t="shared" si="3"/>
        <v>15</v>
      </c>
      <c r="M43" s="9"/>
      <c r="N43" s="6"/>
      <c r="O43" s="6"/>
      <c r="P43" s="6"/>
      <c r="Q43" s="6"/>
      <c r="R43" s="6"/>
      <c r="T43" s="6" t="s">
        <v>1229</v>
      </c>
      <c r="U43" s="6" t="s">
        <v>1437</v>
      </c>
      <c r="V43" s="7" t="s">
        <v>1438</v>
      </c>
      <c r="W43" s="6" t="str">
        <f>"100203;"&amp;AA43&amp;"@100603:"&amp;AC43</f>
        <v>100203;75@100603:15</v>
      </c>
      <c r="X43" s="9" t="s">
        <v>1439</v>
      </c>
      <c r="Y43" s="7" t="str">
        <f>"生命+"&amp;AA43&amp;"  物理防御+"&amp;AC43</f>
        <v>生命+75  物理防御+15</v>
      </c>
      <c r="Z43" s="6">
        <v>50</v>
      </c>
      <c r="AA43" s="6">
        <f>ROUND(Z43*1.5,0)</f>
        <v>75</v>
      </c>
      <c r="AB43" s="6">
        <v>10</v>
      </c>
      <c r="AC43" s="6">
        <v>15</v>
      </c>
      <c r="AD43" s="6" t="s">
        <v>1440</v>
      </c>
      <c r="AE43" s="8" t="s">
        <v>1441</v>
      </c>
      <c r="AF43" s="32" t="s">
        <v>1442</v>
      </c>
    </row>
    <row r="44" ht="20.1" customHeight="1" spans="1:31">
      <c r="A44" s="6">
        <v>43</v>
      </c>
      <c r="B44" s="6">
        <v>26.5</v>
      </c>
      <c r="C44" s="6">
        <v>26.5</v>
      </c>
      <c r="D44" s="6">
        <f>B44*总表!$D$4</f>
        <v>27825</v>
      </c>
      <c r="E44" s="6">
        <f>C44*总表!$E$4</f>
        <v>2650</v>
      </c>
      <c r="F44" s="6">
        <f>C44*总表!$F$4</f>
        <v>795</v>
      </c>
      <c r="G44" s="6">
        <v>4</v>
      </c>
      <c r="H44" s="6">
        <v>1</v>
      </c>
      <c r="I44" s="6">
        <f t="shared" si="1"/>
        <v>535</v>
      </c>
      <c r="J44" s="6">
        <f t="shared" si="2"/>
        <v>51</v>
      </c>
      <c r="K44" s="6">
        <f t="shared" si="3"/>
        <v>15</v>
      </c>
      <c r="M44" s="9" t="s">
        <v>1443</v>
      </c>
      <c r="N44" s="6" t="s">
        <v>1357</v>
      </c>
      <c r="O44" s="6">
        <f t="shared" ref="O44:Q44" si="26">O28*O$24</f>
        <v>0</v>
      </c>
      <c r="P44" s="6">
        <f t="shared" si="26"/>
        <v>50</v>
      </c>
      <c r="Q44" s="6">
        <f t="shared" si="26"/>
        <v>0</v>
      </c>
      <c r="R44" s="6"/>
      <c r="T44" s="6" t="s">
        <v>1244</v>
      </c>
      <c r="U44" s="6" t="s">
        <v>1444</v>
      </c>
      <c r="V44" s="7" t="s">
        <v>1445</v>
      </c>
      <c r="W44" s="6" t="str">
        <f t="shared" ref="W44:W52" si="27">"100203;"&amp;AA44&amp;"@100603:"&amp;AC44</f>
        <v>100203;113@100603:21</v>
      </c>
      <c r="X44" s="9" t="s">
        <v>1446</v>
      </c>
      <c r="Y44" s="7" t="str">
        <f t="shared" ref="Y44:Y52" si="28">"生命+"&amp;AA44&amp;"  物理防御+"&amp;AC44</f>
        <v>生命+113  物理防御+21</v>
      </c>
      <c r="Z44" s="6">
        <v>75</v>
      </c>
      <c r="AA44" s="6">
        <f t="shared" ref="AA44:AA52" si="29">ROUND(Z44*1.5,0)</f>
        <v>113</v>
      </c>
      <c r="AB44" s="6">
        <v>15</v>
      </c>
      <c r="AC44" s="6">
        <v>21</v>
      </c>
      <c r="AD44" s="6" t="s">
        <v>1447</v>
      </c>
      <c r="AE44" s="8" t="s">
        <v>1448</v>
      </c>
    </row>
    <row r="45" ht="20.1" customHeight="1" spans="1:31">
      <c r="A45" s="6">
        <v>44</v>
      </c>
      <c r="B45" s="6">
        <v>27</v>
      </c>
      <c r="C45" s="6">
        <v>27</v>
      </c>
      <c r="D45" s="6">
        <f>B45*总表!$D$4</f>
        <v>28350</v>
      </c>
      <c r="E45" s="6">
        <f>C45*总表!$E$4</f>
        <v>2700</v>
      </c>
      <c r="F45" s="6">
        <f>C45*总表!$F$4</f>
        <v>810</v>
      </c>
      <c r="G45" s="6">
        <v>4</v>
      </c>
      <c r="H45" s="6">
        <v>1</v>
      </c>
      <c r="I45" s="6">
        <f t="shared" si="1"/>
        <v>545</v>
      </c>
      <c r="J45" s="6">
        <f t="shared" si="2"/>
        <v>52</v>
      </c>
      <c r="K45" s="6">
        <f t="shared" si="3"/>
        <v>16</v>
      </c>
      <c r="M45" s="9"/>
      <c r="N45" s="6" t="s">
        <v>1364</v>
      </c>
      <c r="O45" s="6">
        <f t="shared" ref="O45:Q45" si="30">O29*O$24</f>
        <v>150</v>
      </c>
      <c r="P45" s="6">
        <f t="shared" si="30"/>
        <v>0</v>
      </c>
      <c r="Q45" s="6">
        <f t="shared" si="30"/>
        <v>25</v>
      </c>
      <c r="R45" s="6"/>
      <c r="T45" s="6" t="s">
        <v>1221</v>
      </c>
      <c r="U45" s="6" t="s">
        <v>1374</v>
      </c>
      <c r="V45" s="7" t="s">
        <v>1449</v>
      </c>
      <c r="W45" s="6" t="str">
        <f t="shared" si="27"/>
        <v>100203;150@100603:28</v>
      </c>
      <c r="X45" s="9" t="s">
        <v>1450</v>
      </c>
      <c r="Y45" s="7" t="str">
        <f t="shared" si="28"/>
        <v>生命+150  物理防御+28</v>
      </c>
      <c r="Z45" s="6">
        <v>100</v>
      </c>
      <c r="AA45" s="6">
        <f t="shared" si="29"/>
        <v>150</v>
      </c>
      <c r="AB45" s="6">
        <v>20</v>
      </c>
      <c r="AC45" s="6">
        <v>28</v>
      </c>
      <c r="AD45" s="6" t="s">
        <v>1423</v>
      </c>
      <c r="AE45" s="8" t="s">
        <v>1451</v>
      </c>
    </row>
    <row r="46" ht="20.1" customHeight="1" spans="1:31">
      <c r="A46" s="6">
        <v>45</v>
      </c>
      <c r="B46" s="6">
        <v>27.5</v>
      </c>
      <c r="C46" s="6">
        <v>27.5</v>
      </c>
      <c r="D46" s="6">
        <f>B46*总表!$D$4</f>
        <v>28875</v>
      </c>
      <c r="E46" s="6">
        <f>C46*总表!$E$4</f>
        <v>2750</v>
      </c>
      <c r="F46" s="6">
        <f>C46*总表!$F$4</f>
        <v>825</v>
      </c>
      <c r="G46" s="6">
        <v>4</v>
      </c>
      <c r="H46" s="6">
        <v>1</v>
      </c>
      <c r="I46" s="6">
        <f t="shared" si="1"/>
        <v>555</v>
      </c>
      <c r="J46" s="6">
        <f t="shared" si="2"/>
        <v>53</v>
      </c>
      <c r="K46" s="6">
        <f t="shared" si="3"/>
        <v>16</v>
      </c>
      <c r="M46" s="6"/>
      <c r="N46" s="6" t="s">
        <v>1371</v>
      </c>
      <c r="O46" s="6">
        <f t="shared" ref="O46:Q46" si="31">O30*O$24</f>
        <v>450</v>
      </c>
      <c r="P46" s="6">
        <f t="shared" si="31"/>
        <v>0</v>
      </c>
      <c r="Q46" s="6">
        <f t="shared" si="31"/>
        <v>0</v>
      </c>
      <c r="R46" s="6"/>
      <c r="T46" s="6" t="s">
        <v>1236</v>
      </c>
      <c r="U46" s="6" t="s">
        <v>1286</v>
      </c>
      <c r="V46" s="7" t="s">
        <v>1452</v>
      </c>
      <c r="W46" s="6" t="str">
        <f t="shared" si="27"/>
        <v>100203;188@100603:36</v>
      </c>
      <c r="X46" s="9" t="s">
        <v>1453</v>
      </c>
      <c r="Y46" s="7" t="str">
        <f t="shared" si="28"/>
        <v>生命+188  物理防御+36</v>
      </c>
      <c r="Z46" s="6">
        <v>125</v>
      </c>
      <c r="AA46" s="6">
        <f t="shared" si="29"/>
        <v>188</v>
      </c>
      <c r="AB46" s="6">
        <v>25</v>
      </c>
      <c r="AC46" s="6">
        <v>36</v>
      </c>
      <c r="AD46" s="6" t="s">
        <v>1454</v>
      </c>
      <c r="AE46" s="8" t="s">
        <v>1455</v>
      </c>
    </row>
    <row r="47" ht="20.1" customHeight="1" spans="1:31">
      <c r="A47" s="6">
        <v>46</v>
      </c>
      <c r="B47" s="6">
        <v>28</v>
      </c>
      <c r="C47" s="6">
        <v>28</v>
      </c>
      <c r="D47" s="6">
        <f>B47*总表!$D$4</f>
        <v>29400</v>
      </c>
      <c r="E47" s="6">
        <f>C47*总表!$E$4</f>
        <v>2800</v>
      </c>
      <c r="F47" s="6">
        <f>C47*总表!$F$4</f>
        <v>840</v>
      </c>
      <c r="G47" s="6">
        <v>4</v>
      </c>
      <c r="H47" s="6">
        <v>1</v>
      </c>
      <c r="I47" s="6">
        <f t="shared" si="1"/>
        <v>565</v>
      </c>
      <c r="J47" s="6">
        <f t="shared" si="2"/>
        <v>54</v>
      </c>
      <c r="K47" s="6">
        <f t="shared" si="3"/>
        <v>16</v>
      </c>
      <c r="M47" s="6"/>
      <c r="N47" s="6"/>
      <c r="O47" s="6"/>
      <c r="P47" s="6"/>
      <c r="Q47" s="6"/>
      <c r="R47" s="6"/>
      <c r="T47" s="6" t="s">
        <v>1229</v>
      </c>
      <c r="U47" s="6" t="s">
        <v>1291</v>
      </c>
      <c r="V47" s="7" t="s">
        <v>1456</v>
      </c>
      <c r="W47" s="6" t="str">
        <f t="shared" si="27"/>
        <v>100203;225@100603:45</v>
      </c>
      <c r="X47" s="9" t="s">
        <v>1457</v>
      </c>
      <c r="Y47" s="7" t="str">
        <f t="shared" si="28"/>
        <v>生命+225  物理防御+45</v>
      </c>
      <c r="Z47" s="6">
        <v>150</v>
      </c>
      <c r="AA47" s="6">
        <f t="shared" si="29"/>
        <v>225</v>
      </c>
      <c r="AB47" s="6">
        <v>30</v>
      </c>
      <c r="AC47" s="6">
        <v>45</v>
      </c>
      <c r="AD47" s="6" t="s">
        <v>1458</v>
      </c>
      <c r="AE47" s="8" t="s">
        <v>1459</v>
      </c>
    </row>
    <row r="48" ht="20.1" customHeight="1" spans="1:31">
      <c r="A48" s="6">
        <v>47</v>
      </c>
      <c r="B48" s="6">
        <v>28.5</v>
      </c>
      <c r="C48" s="6">
        <v>28.5</v>
      </c>
      <c r="D48" s="6">
        <f>B48*总表!$D$4</f>
        <v>29925</v>
      </c>
      <c r="E48" s="6">
        <f>C48*总表!$E$4</f>
        <v>2850</v>
      </c>
      <c r="F48" s="6">
        <f>C48*总表!$F$4</f>
        <v>855</v>
      </c>
      <c r="G48" s="6">
        <v>4</v>
      </c>
      <c r="H48" s="6">
        <v>1</v>
      </c>
      <c r="I48" s="6">
        <f t="shared" si="1"/>
        <v>575</v>
      </c>
      <c r="J48" s="6">
        <f t="shared" si="2"/>
        <v>55</v>
      </c>
      <c r="K48" s="6">
        <f t="shared" si="3"/>
        <v>16</v>
      </c>
      <c r="S48" s="6"/>
      <c r="T48" s="6" t="s">
        <v>1221</v>
      </c>
      <c r="U48" s="6" t="s">
        <v>1460</v>
      </c>
      <c r="V48" s="8" t="s">
        <v>1461</v>
      </c>
      <c r="W48" s="6" t="str">
        <f t="shared" si="27"/>
        <v>100203;300@100603:60</v>
      </c>
      <c r="X48" s="9" t="s">
        <v>1462</v>
      </c>
      <c r="Y48" s="7" t="str">
        <f t="shared" si="28"/>
        <v>生命+300  物理防御+60</v>
      </c>
      <c r="Z48" s="6">
        <v>200</v>
      </c>
      <c r="AA48" s="6">
        <f t="shared" si="29"/>
        <v>300</v>
      </c>
      <c r="AB48" s="6">
        <v>40</v>
      </c>
      <c r="AC48" s="6">
        <v>60</v>
      </c>
      <c r="AD48" s="6" t="s">
        <v>1245</v>
      </c>
      <c r="AE48" s="8" t="s">
        <v>1463</v>
      </c>
    </row>
    <row r="49" ht="20.1" customHeight="1" spans="1:29">
      <c r="A49" s="6">
        <v>48</v>
      </c>
      <c r="B49" s="6">
        <v>29</v>
      </c>
      <c r="C49" s="6">
        <v>29</v>
      </c>
      <c r="D49" s="6">
        <f>B49*总表!$D$4</f>
        <v>30450</v>
      </c>
      <c r="E49" s="6">
        <f>C49*总表!$E$4</f>
        <v>2900</v>
      </c>
      <c r="F49" s="6">
        <f>C49*总表!$F$4</f>
        <v>870</v>
      </c>
      <c r="G49" s="6">
        <v>4</v>
      </c>
      <c r="H49" s="6">
        <v>1</v>
      </c>
      <c r="I49" s="6">
        <f t="shared" si="1"/>
        <v>586</v>
      </c>
      <c r="J49" s="6">
        <f t="shared" si="2"/>
        <v>56</v>
      </c>
      <c r="K49" s="6">
        <f t="shared" si="3"/>
        <v>17</v>
      </c>
      <c r="M49" s="9" t="s">
        <v>1464</v>
      </c>
      <c r="N49" s="6" t="s">
        <v>1357</v>
      </c>
      <c r="O49" s="6">
        <f t="shared" ref="O49:Q49" si="32">O28*O$23</f>
        <v>0</v>
      </c>
      <c r="P49" s="6">
        <f t="shared" si="32"/>
        <v>40</v>
      </c>
      <c r="Q49" s="6">
        <f t="shared" si="32"/>
        <v>0</v>
      </c>
      <c r="R49" s="6"/>
      <c r="S49" s="4"/>
      <c r="T49" s="6" t="s">
        <v>1244</v>
      </c>
      <c r="U49" s="6" t="s">
        <v>1465</v>
      </c>
      <c r="V49" s="7" t="s">
        <v>1466</v>
      </c>
      <c r="W49" s="6" t="str">
        <f t="shared" si="27"/>
        <v>100203;375@100603:75</v>
      </c>
      <c r="X49" s="9" t="s">
        <v>1467</v>
      </c>
      <c r="Y49" s="7" t="str">
        <f t="shared" si="28"/>
        <v>生命+375  物理防御+75</v>
      </c>
      <c r="Z49" s="6">
        <v>250</v>
      </c>
      <c r="AA49" s="6">
        <f t="shared" si="29"/>
        <v>375</v>
      </c>
      <c r="AB49" s="6">
        <v>50</v>
      </c>
      <c r="AC49" s="6">
        <v>75</v>
      </c>
    </row>
    <row r="50" ht="20.1" customHeight="1" spans="1:31">
      <c r="A50" s="6">
        <v>49</v>
      </c>
      <c r="B50" s="6">
        <v>29.5</v>
      </c>
      <c r="C50" s="6">
        <v>29.5</v>
      </c>
      <c r="D50" s="6">
        <f>B50*总表!$D$4</f>
        <v>30975</v>
      </c>
      <c r="E50" s="6">
        <f>C50*总表!$E$4</f>
        <v>2950</v>
      </c>
      <c r="F50" s="6">
        <f>C50*总表!$F$4</f>
        <v>885</v>
      </c>
      <c r="G50" s="6">
        <v>4</v>
      </c>
      <c r="H50" s="6">
        <v>1</v>
      </c>
      <c r="I50" s="6">
        <f t="shared" si="1"/>
        <v>596</v>
      </c>
      <c r="J50" s="6">
        <f t="shared" si="2"/>
        <v>57</v>
      </c>
      <c r="K50" s="6">
        <f t="shared" si="3"/>
        <v>17</v>
      </c>
      <c r="M50" s="9" t="s">
        <v>1468</v>
      </c>
      <c r="N50" s="6" t="s">
        <v>1364</v>
      </c>
      <c r="O50" s="6">
        <v>120</v>
      </c>
      <c r="P50" s="6">
        <f t="shared" ref="P50:P51" si="33">P29*P$23</f>
        <v>0</v>
      </c>
      <c r="Q50" s="6">
        <f t="shared" ref="Q50" si="34">Q29*Q$23</f>
        <v>20</v>
      </c>
      <c r="R50" s="6"/>
      <c r="T50" s="6" t="s">
        <v>1236</v>
      </c>
      <c r="U50" s="6" t="s">
        <v>1469</v>
      </c>
      <c r="V50" s="8" t="s">
        <v>1470</v>
      </c>
      <c r="W50" s="6" t="str">
        <f t="shared" si="27"/>
        <v>100203;450@100603:90</v>
      </c>
      <c r="X50" s="9" t="s">
        <v>1471</v>
      </c>
      <c r="Y50" s="7" t="str">
        <f t="shared" si="28"/>
        <v>生命+450  物理防御+90</v>
      </c>
      <c r="Z50" s="6">
        <v>300</v>
      </c>
      <c r="AA50" s="6">
        <f t="shared" si="29"/>
        <v>450</v>
      </c>
      <c r="AB50" s="6">
        <v>60</v>
      </c>
      <c r="AC50" s="6">
        <v>90</v>
      </c>
      <c r="AD50" s="6" t="s">
        <v>1472</v>
      </c>
      <c r="AE50" s="8" t="s">
        <v>1473</v>
      </c>
    </row>
    <row r="51" ht="20.1" customHeight="1" spans="1:31">
      <c r="A51" s="6">
        <v>50</v>
      </c>
      <c r="B51" s="6">
        <v>30</v>
      </c>
      <c r="C51" s="6">
        <v>30</v>
      </c>
      <c r="D51" s="6">
        <f>B51*总表!$D$4</f>
        <v>31500</v>
      </c>
      <c r="E51" s="6">
        <f>C51*总表!$E$4</f>
        <v>3000</v>
      </c>
      <c r="F51" s="6">
        <f>C51*总表!$F$4</f>
        <v>900</v>
      </c>
      <c r="G51" s="6">
        <v>4</v>
      </c>
      <c r="H51" s="6">
        <v>1</v>
      </c>
      <c r="I51" s="6">
        <f t="shared" si="1"/>
        <v>606</v>
      </c>
      <c r="J51" s="6">
        <f t="shared" si="2"/>
        <v>58</v>
      </c>
      <c r="K51" s="6">
        <f t="shared" si="3"/>
        <v>17</v>
      </c>
      <c r="N51" s="6" t="s">
        <v>1371</v>
      </c>
      <c r="O51" s="6">
        <v>320</v>
      </c>
      <c r="P51" s="6">
        <f t="shared" si="33"/>
        <v>0</v>
      </c>
      <c r="Q51" s="6">
        <f t="shared" ref="Q51" si="35">Q30*Q$23</f>
        <v>0</v>
      </c>
      <c r="R51" s="6"/>
      <c r="W51" s="6" t="str">
        <f t="shared" si="27"/>
        <v>100203;525@100603:105</v>
      </c>
      <c r="X51" s="9" t="s">
        <v>1474</v>
      </c>
      <c r="Y51" s="7" t="str">
        <f t="shared" si="28"/>
        <v>生命+525  物理防御+105</v>
      </c>
      <c r="Z51" s="6">
        <v>350</v>
      </c>
      <c r="AA51" s="6">
        <f t="shared" si="29"/>
        <v>525</v>
      </c>
      <c r="AB51" s="6">
        <v>70</v>
      </c>
      <c r="AC51" s="6">
        <v>105</v>
      </c>
      <c r="AD51" s="6" t="s">
        <v>1475</v>
      </c>
      <c r="AE51" s="8" t="s">
        <v>1476</v>
      </c>
    </row>
    <row r="52" ht="20.1" customHeight="1" spans="1:31">
      <c r="A52" s="6">
        <v>51</v>
      </c>
      <c r="B52" s="6">
        <v>30</v>
      </c>
      <c r="C52" s="6">
        <v>30</v>
      </c>
      <c r="D52" s="6">
        <f>B52*总表!$D$4</f>
        <v>31500</v>
      </c>
      <c r="E52" s="6">
        <f>C52*总表!$E$4</f>
        <v>3000</v>
      </c>
      <c r="F52" s="6">
        <f>C52*总表!$F$4</f>
        <v>900</v>
      </c>
      <c r="G52" s="6">
        <v>4</v>
      </c>
      <c r="H52" s="6">
        <v>1</v>
      </c>
      <c r="I52" s="6">
        <f t="shared" si="1"/>
        <v>606</v>
      </c>
      <c r="J52" s="6">
        <f t="shared" si="2"/>
        <v>58</v>
      </c>
      <c r="K52" s="6">
        <f t="shared" si="3"/>
        <v>17</v>
      </c>
      <c r="W52" s="6" t="str">
        <f t="shared" si="27"/>
        <v>100203;600@100603:120</v>
      </c>
      <c r="X52" s="9" t="s">
        <v>1477</v>
      </c>
      <c r="Y52" s="7" t="str">
        <f t="shared" si="28"/>
        <v>生命+600  物理防御+120</v>
      </c>
      <c r="Z52" s="6">
        <v>400</v>
      </c>
      <c r="AA52" s="6">
        <f t="shared" si="29"/>
        <v>600</v>
      </c>
      <c r="AB52" s="6">
        <v>80</v>
      </c>
      <c r="AC52" s="6">
        <v>120</v>
      </c>
      <c r="AD52" s="6" t="s">
        <v>1478</v>
      </c>
      <c r="AE52" s="8" t="s">
        <v>1479</v>
      </c>
    </row>
    <row r="53" ht="20.1" customHeight="1" spans="1:31">
      <c r="A53" s="6">
        <v>52</v>
      </c>
      <c r="B53" s="6">
        <v>30</v>
      </c>
      <c r="C53" s="6">
        <v>30</v>
      </c>
      <c r="D53" s="6">
        <f>B53*总表!$D$4</f>
        <v>31500</v>
      </c>
      <c r="E53" s="6">
        <f>C53*总表!$E$4</f>
        <v>3000</v>
      </c>
      <c r="F53" s="6">
        <f>C53*总表!$F$4</f>
        <v>900</v>
      </c>
      <c r="G53" s="6">
        <v>4</v>
      </c>
      <c r="H53" s="6">
        <v>1</v>
      </c>
      <c r="I53" s="6">
        <f t="shared" si="1"/>
        <v>606</v>
      </c>
      <c r="J53" s="6">
        <f t="shared" si="2"/>
        <v>58</v>
      </c>
      <c r="K53" s="6">
        <f t="shared" si="3"/>
        <v>17</v>
      </c>
      <c r="S53" s="4"/>
      <c r="T53" s="6" t="s">
        <v>1254</v>
      </c>
      <c r="U53" s="9" t="s">
        <v>1255</v>
      </c>
      <c r="V53" s="4"/>
      <c r="AD53" s="6" t="s">
        <v>1480</v>
      </c>
      <c r="AE53" s="8" t="s">
        <v>1481</v>
      </c>
    </row>
    <row r="54" ht="20.1" customHeight="1" spans="1:31">
      <c r="A54" s="6">
        <v>53</v>
      </c>
      <c r="B54" s="6">
        <v>30</v>
      </c>
      <c r="C54" s="6">
        <v>30</v>
      </c>
      <c r="D54" s="6">
        <f>B54*总表!$D$4</f>
        <v>31500</v>
      </c>
      <c r="E54" s="6">
        <f>C54*总表!$E$4</f>
        <v>3000</v>
      </c>
      <c r="F54" s="6">
        <f>C54*总表!$F$4</f>
        <v>900</v>
      </c>
      <c r="G54" s="6">
        <v>4</v>
      </c>
      <c r="H54" s="6">
        <v>1</v>
      </c>
      <c r="I54" s="6">
        <f t="shared" si="1"/>
        <v>606</v>
      </c>
      <c r="J54" s="6">
        <f t="shared" si="2"/>
        <v>58</v>
      </c>
      <c r="K54" s="6">
        <f t="shared" si="3"/>
        <v>17</v>
      </c>
      <c r="S54" s="6" t="s">
        <v>864</v>
      </c>
      <c r="T54" s="6" t="s">
        <v>1229</v>
      </c>
      <c r="U54" s="6" t="s">
        <v>1482</v>
      </c>
      <c r="V54" s="8" t="s">
        <v>1483</v>
      </c>
      <c r="W54" s="6" t="str">
        <f>"100203;"&amp;AA54&amp;"@100803:"&amp;AC54</f>
        <v>100203;75@100803:15</v>
      </c>
      <c r="X54" s="9" t="s">
        <v>1484</v>
      </c>
      <c r="Y54" s="7" t="str">
        <f>"生命+"&amp;AA54&amp;"  魔法防御+"&amp;AC54</f>
        <v>生命+75  魔法防御+15</v>
      </c>
      <c r="Z54" s="6">
        <v>50</v>
      </c>
      <c r="AA54" s="6">
        <f>ROUND(Z54*1.5,0)</f>
        <v>75</v>
      </c>
      <c r="AB54" s="6">
        <v>10</v>
      </c>
      <c r="AC54" s="6">
        <v>15</v>
      </c>
      <c r="AD54" s="6" t="s">
        <v>1485</v>
      </c>
      <c r="AE54" s="8" t="s">
        <v>1486</v>
      </c>
    </row>
    <row r="55" ht="20.1" customHeight="1" spans="1:31">
      <c r="A55" s="6">
        <v>54</v>
      </c>
      <c r="B55" s="6">
        <v>30</v>
      </c>
      <c r="C55" s="6">
        <v>30</v>
      </c>
      <c r="D55" s="6">
        <f>B55*总表!$D$4</f>
        <v>31500</v>
      </c>
      <c r="E55" s="6">
        <f>C55*总表!$E$4</f>
        <v>3000</v>
      </c>
      <c r="F55" s="6">
        <f>C55*总表!$F$4</f>
        <v>900</v>
      </c>
      <c r="G55" s="6">
        <v>4</v>
      </c>
      <c r="H55" s="6">
        <v>1</v>
      </c>
      <c r="I55" s="6">
        <f t="shared" si="1"/>
        <v>606</v>
      </c>
      <c r="J55" s="6">
        <f t="shared" si="2"/>
        <v>58</v>
      </c>
      <c r="K55" s="6">
        <f t="shared" si="3"/>
        <v>17</v>
      </c>
      <c r="S55" s="4"/>
      <c r="T55" s="6" t="s">
        <v>1221</v>
      </c>
      <c r="U55" s="6" t="s">
        <v>1245</v>
      </c>
      <c r="V55" s="8" t="s">
        <v>1487</v>
      </c>
      <c r="W55" s="6" t="str">
        <f t="shared" ref="W55:W63" si="36">"100203;"&amp;AA55&amp;"@100803:"&amp;AC55</f>
        <v>100203;113@100803:21</v>
      </c>
      <c r="X55" s="9" t="s">
        <v>1488</v>
      </c>
      <c r="Y55" s="7" t="str">
        <f t="shared" ref="Y55:Y63" si="37">"生命+"&amp;AA55&amp;"  魔法防御+"&amp;AC55</f>
        <v>生命+113  魔法防御+21</v>
      </c>
      <c r="Z55" s="6">
        <v>75</v>
      </c>
      <c r="AA55" s="6">
        <f t="shared" ref="AA55:AA63" si="38">ROUND(Z55*1.5,0)</f>
        <v>113</v>
      </c>
      <c r="AB55" s="6">
        <v>15</v>
      </c>
      <c r="AC55" s="6">
        <v>21</v>
      </c>
      <c r="AD55" s="6" t="s">
        <v>1489</v>
      </c>
      <c r="AE55" s="8" t="s">
        <v>1490</v>
      </c>
    </row>
    <row r="56" ht="20.1" customHeight="1" spans="1:31">
      <c r="A56" s="6">
        <v>55</v>
      </c>
      <c r="B56" s="6">
        <v>30</v>
      </c>
      <c r="C56" s="6">
        <v>30</v>
      </c>
      <c r="D56" s="6">
        <f>B56*总表!$D$4</f>
        <v>31500</v>
      </c>
      <c r="E56" s="6">
        <f>C56*总表!$E$4</f>
        <v>3000</v>
      </c>
      <c r="F56" s="6">
        <f>C56*总表!$F$4</f>
        <v>900</v>
      </c>
      <c r="G56" s="6">
        <v>4</v>
      </c>
      <c r="H56" s="6">
        <v>1</v>
      </c>
      <c r="I56" s="6">
        <f t="shared" si="1"/>
        <v>606</v>
      </c>
      <c r="J56" s="6">
        <f t="shared" si="2"/>
        <v>58</v>
      </c>
      <c r="K56" s="6">
        <f t="shared" si="3"/>
        <v>17</v>
      </c>
      <c r="T56" s="6" t="s">
        <v>1244</v>
      </c>
      <c r="U56" s="6" t="s">
        <v>1491</v>
      </c>
      <c r="V56" s="7" t="s">
        <v>1492</v>
      </c>
      <c r="W56" s="6" t="str">
        <f t="shared" si="36"/>
        <v>100203;150@100803:28</v>
      </c>
      <c r="X56" s="9" t="s">
        <v>1493</v>
      </c>
      <c r="Y56" s="7" t="str">
        <f t="shared" si="37"/>
        <v>生命+150  魔法防御+28</v>
      </c>
      <c r="Z56" s="6">
        <v>100</v>
      </c>
      <c r="AA56" s="6">
        <f t="shared" si="38"/>
        <v>150</v>
      </c>
      <c r="AB56" s="6">
        <v>20</v>
      </c>
      <c r="AC56" s="6">
        <v>28</v>
      </c>
      <c r="AD56" s="6" t="s">
        <v>1494</v>
      </c>
      <c r="AE56" s="8" t="s">
        <v>1495</v>
      </c>
    </row>
    <row r="57" ht="20.1" customHeight="1" spans="1:31">
      <c r="A57" s="6">
        <v>56</v>
      </c>
      <c r="B57" s="6">
        <v>30</v>
      </c>
      <c r="C57" s="6">
        <v>30</v>
      </c>
      <c r="D57" s="6">
        <f>B57*总表!$D$4</f>
        <v>31500</v>
      </c>
      <c r="E57" s="6">
        <f>C57*总表!$E$4</f>
        <v>3000</v>
      </c>
      <c r="F57" s="6">
        <f>C57*总表!$F$4</f>
        <v>900</v>
      </c>
      <c r="G57" s="6">
        <v>4</v>
      </c>
      <c r="H57" s="6">
        <v>1</v>
      </c>
      <c r="I57" s="6">
        <f t="shared" si="1"/>
        <v>606</v>
      </c>
      <c r="J57" s="6">
        <f t="shared" si="2"/>
        <v>58</v>
      </c>
      <c r="K57" s="6">
        <f t="shared" si="3"/>
        <v>17</v>
      </c>
      <c r="T57" s="6" t="s">
        <v>1236</v>
      </c>
      <c r="U57" s="6" t="s">
        <v>1385</v>
      </c>
      <c r="V57" s="7" t="s">
        <v>1496</v>
      </c>
      <c r="W57" s="6" t="str">
        <f t="shared" si="36"/>
        <v>100203;188@100803:36</v>
      </c>
      <c r="X57" s="9" t="s">
        <v>1497</v>
      </c>
      <c r="Y57" s="7" t="str">
        <f t="shared" si="37"/>
        <v>生命+188  魔法防御+36</v>
      </c>
      <c r="Z57" s="6">
        <v>125</v>
      </c>
      <c r="AA57" s="6">
        <f t="shared" si="38"/>
        <v>188</v>
      </c>
      <c r="AB57" s="6">
        <v>25</v>
      </c>
      <c r="AC57" s="6">
        <v>36</v>
      </c>
      <c r="AD57" s="6" t="s">
        <v>1498</v>
      </c>
      <c r="AE57" s="8" t="s">
        <v>1499</v>
      </c>
    </row>
    <row r="58" ht="20.1" customHeight="1" spans="1:31">
      <c r="A58" s="6">
        <v>57</v>
      </c>
      <c r="B58" s="6">
        <v>30</v>
      </c>
      <c r="C58" s="6">
        <v>30</v>
      </c>
      <c r="D58" s="6">
        <f>B58*总表!$D$4</f>
        <v>31500</v>
      </c>
      <c r="E58" s="6">
        <f>C58*总表!$E$4</f>
        <v>3000</v>
      </c>
      <c r="F58" s="6">
        <f>C58*总表!$F$4</f>
        <v>900</v>
      </c>
      <c r="G58" s="6">
        <v>4</v>
      </c>
      <c r="H58" s="6">
        <v>1</v>
      </c>
      <c r="I58" s="6">
        <f t="shared" si="1"/>
        <v>606</v>
      </c>
      <c r="J58" s="6">
        <f t="shared" si="2"/>
        <v>58</v>
      </c>
      <c r="K58" s="6">
        <f t="shared" si="3"/>
        <v>17</v>
      </c>
      <c r="T58" s="6" t="s">
        <v>1229</v>
      </c>
      <c r="U58" s="6" t="s">
        <v>1500</v>
      </c>
      <c r="V58" s="7" t="s">
        <v>1501</v>
      </c>
      <c r="W58" s="6" t="str">
        <f t="shared" si="36"/>
        <v>100203;225@100803:45</v>
      </c>
      <c r="X58" s="9" t="s">
        <v>1502</v>
      </c>
      <c r="Y58" s="7" t="str">
        <f t="shared" si="37"/>
        <v>生命+225  魔法防御+45</v>
      </c>
      <c r="Z58" s="6">
        <v>150</v>
      </c>
      <c r="AA58" s="6">
        <f t="shared" si="38"/>
        <v>225</v>
      </c>
      <c r="AB58" s="6">
        <v>30</v>
      </c>
      <c r="AC58" s="6">
        <v>45</v>
      </c>
      <c r="AD58" s="6" t="s">
        <v>1503</v>
      </c>
      <c r="AE58" s="8" t="s">
        <v>1504</v>
      </c>
    </row>
    <row r="59" ht="20.1" customHeight="1" spans="1:31">
      <c r="A59" s="6">
        <v>58</v>
      </c>
      <c r="B59" s="6">
        <v>30</v>
      </c>
      <c r="C59" s="6">
        <v>30</v>
      </c>
      <c r="D59" s="6">
        <f>B59*总表!$D$4</f>
        <v>31500</v>
      </c>
      <c r="E59" s="6">
        <f>C59*总表!$E$4</f>
        <v>3000</v>
      </c>
      <c r="F59" s="6">
        <f>C59*总表!$F$4</f>
        <v>900</v>
      </c>
      <c r="G59" s="6">
        <v>4</v>
      </c>
      <c r="H59" s="6">
        <v>1</v>
      </c>
      <c r="I59" s="6">
        <f t="shared" si="1"/>
        <v>606</v>
      </c>
      <c r="J59" s="6">
        <f t="shared" si="2"/>
        <v>58</v>
      </c>
      <c r="K59" s="6">
        <f t="shared" si="3"/>
        <v>17</v>
      </c>
      <c r="T59" s="6" t="s">
        <v>1244</v>
      </c>
      <c r="U59" s="6" t="s">
        <v>1505</v>
      </c>
      <c r="V59" s="7" t="s">
        <v>1506</v>
      </c>
      <c r="W59" s="6" t="str">
        <f t="shared" si="36"/>
        <v>100203;300@100803:60</v>
      </c>
      <c r="X59" s="9" t="s">
        <v>1507</v>
      </c>
      <c r="Y59" s="7" t="str">
        <f t="shared" si="37"/>
        <v>生命+300  魔法防御+60</v>
      </c>
      <c r="Z59" s="6">
        <v>200</v>
      </c>
      <c r="AA59" s="6">
        <f t="shared" si="38"/>
        <v>300</v>
      </c>
      <c r="AB59" s="6">
        <v>40</v>
      </c>
      <c r="AC59" s="6">
        <v>60</v>
      </c>
      <c r="AD59" s="6" t="s">
        <v>1508</v>
      </c>
      <c r="AE59" s="8" t="s">
        <v>1509</v>
      </c>
    </row>
    <row r="60" ht="20.1" customHeight="1" spans="1:31">
      <c r="A60" s="6">
        <v>59</v>
      </c>
      <c r="B60" s="6">
        <v>30</v>
      </c>
      <c r="C60" s="6">
        <v>30</v>
      </c>
      <c r="D60" s="6">
        <f>B60*总表!$D$4</f>
        <v>31500</v>
      </c>
      <c r="E60" s="6">
        <f>C60*总表!$E$4</f>
        <v>3000</v>
      </c>
      <c r="F60" s="6">
        <f>C60*总表!$F$4</f>
        <v>900</v>
      </c>
      <c r="G60" s="6">
        <v>4</v>
      </c>
      <c r="H60" s="6">
        <v>1</v>
      </c>
      <c r="I60" s="6">
        <f t="shared" si="1"/>
        <v>606</v>
      </c>
      <c r="J60" s="6">
        <f t="shared" si="2"/>
        <v>58</v>
      </c>
      <c r="K60" s="6">
        <f t="shared" si="3"/>
        <v>17</v>
      </c>
      <c r="T60" s="6" t="s">
        <v>1221</v>
      </c>
      <c r="U60" s="6" t="s">
        <v>1396</v>
      </c>
      <c r="V60" s="7" t="s">
        <v>1510</v>
      </c>
      <c r="W60" s="6" t="str">
        <f t="shared" si="36"/>
        <v>100203;375@100803:75</v>
      </c>
      <c r="X60" s="9" t="s">
        <v>1511</v>
      </c>
      <c r="Y60" s="7" t="str">
        <f t="shared" si="37"/>
        <v>生命+375  魔法防御+75</v>
      </c>
      <c r="Z60" s="6">
        <v>250</v>
      </c>
      <c r="AA60" s="6">
        <f t="shared" si="38"/>
        <v>375</v>
      </c>
      <c r="AB60" s="6">
        <v>50</v>
      </c>
      <c r="AC60" s="6">
        <v>75</v>
      </c>
      <c r="AD60" s="6" t="s">
        <v>1512</v>
      </c>
      <c r="AE60" s="8" t="s">
        <v>1513</v>
      </c>
    </row>
    <row r="61" ht="20.1" customHeight="1" spans="1:31">
      <c r="A61" s="6">
        <v>60</v>
      </c>
      <c r="B61" s="6">
        <v>30</v>
      </c>
      <c r="C61" s="6">
        <v>30</v>
      </c>
      <c r="D61" s="6">
        <f>B61*总表!$D$4</f>
        <v>31500</v>
      </c>
      <c r="E61" s="6">
        <f>C61*总表!$E$4</f>
        <v>3000</v>
      </c>
      <c r="F61" s="6">
        <f>C61*总表!$F$4</f>
        <v>900</v>
      </c>
      <c r="G61" s="6">
        <v>4</v>
      </c>
      <c r="H61" s="6">
        <v>1</v>
      </c>
      <c r="I61" s="6">
        <f t="shared" si="1"/>
        <v>606</v>
      </c>
      <c r="J61" s="6">
        <f t="shared" si="2"/>
        <v>58</v>
      </c>
      <c r="K61" s="6">
        <f t="shared" si="3"/>
        <v>17</v>
      </c>
      <c r="T61" s="6" t="s">
        <v>1236</v>
      </c>
      <c r="U61" s="6" t="s">
        <v>1309</v>
      </c>
      <c r="V61" s="7" t="s">
        <v>1514</v>
      </c>
      <c r="W61" s="6" t="str">
        <f t="shared" si="36"/>
        <v>100203;450@100803:90</v>
      </c>
      <c r="X61" s="9" t="s">
        <v>1515</v>
      </c>
      <c r="Y61" s="7" t="str">
        <f t="shared" si="37"/>
        <v>生命+450  魔法防御+90</v>
      </c>
      <c r="Z61" s="6">
        <v>300</v>
      </c>
      <c r="AA61" s="6">
        <f t="shared" si="38"/>
        <v>450</v>
      </c>
      <c r="AB61" s="6">
        <v>60</v>
      </c>
      <c r="AC61" s="6">
        <v>90</v>
      </c>
      <c r="AD61" s="6" t="s">
        <v>1516</v>
      </c>
      <c r="AE61" s="8" t="s">
        <v>1517</v>
      </c>
    </row>
    <row r="62" ht="20.1" customHeight="1" spans="20:31">
      <c r="T62" s="6" t="s">
        <v>1229</v>
      </c>
      <c r="U62" s="6" t="s">
        <v>1314</v>
      </c>
      <c r="V62" s="7" t="s">
        <v>1518</v>
      </c>
      <c r="W62" s="6" t="str">
        <f t="shared" si="36"/>
        <v>100203;525@100803:105</v>
      </c>
      <c r="X62" s="9" t="s">
        <v>1519</v>
      </c>
      <c r="Y62" s="7" t="str">
        <f t="shared" si="37"/>
        <v>生命+525  魔法防御+105</v>
      </c>
      <c r="Z62" s="6">
        <v>350</v>
      </c>
      <c r="AA62" s="6">
        <f t="shared" si="38"/>
        <v>525</v>
      </c>
      <c r="AB62" s="6">
        <v>70</v>
      </c>
      <c r="AC62" s="6">
        <v>105</v>
      </c>
      <c r="AD62" s="6" t="s">
        <v>1520</v>
      </c>
      <c r="AE62" s="8" t="s">
        <v>1521</v>
      </c>
    </row>
    <row r="63" ht="20.1" customHeight="1" spans="19:31">
      <c r="S63" s="6"/>
      <c r="T63" s="6" t="s">
        <v>1221</v>
      </c>
      <c r="U63" s="6" t="s">
        <v>1522</v>
      </c>
      <c r="V63" s="8" t="s">
        <v>1523</v>
      </c>
      <c r="W63" s="6" t="str">
        <f t="shared" si="36"/>
        <v>100203;600@100803:120</v>
      </c>
      <c r="X63" s="9" t="s">
        <v>1524</v>
      </c>
      <c r="Y63" s="7" t="str">
        <f t="shared" si="37"/>
        <v>生命+600  魔法防御+120</v>
      </c>
      <c r="Z63" s="6">
        <v>400</v>
      </c>
      <c r="AA63" s="6">
        <f t="shared" si="38"/>
        <v>600</v>
      </c>
      <c r="AB63" s="6">
        <v>80</v>
      </c>
      <c r="AC63" s="6">
        <v>120</v>
      </c>
      <c r="AD63" s="6" t="s">
        <v>1525</v>
      </c>
      <c r="AE63" s="8" t="s">
        <v>1526</v>
      </c>
    </row>
    <row r="64" ht="20.1" customHeight="1" spans="19:31">
      <c r="S64" s="4"/>
      <c r="T64" s="6" t="s">
        <v>1244</v>
      </c>
      <c r="U64" s="6" t="s">
        <v>1527</v>
      </c>
      <c r="V64" s="7" t="s">
        <v>1528</v>
      </c>
      <c r="AD64" s="6" t="s">
        <v>1529</v>
      </c>
      <c r="AE64" s="8" t="s">
        <v>1530</v>
      </c>
    </row>
    <row r="65" ht="20.1" customHeight="1" spans="20:31">
      <c r="T65" s="6" t="s">
        <v>1236</v>
      </c>
      <c r="U65" s="6" t="s">
        <v>1531</v>
      </c>
      <c r="V65" s="8" t="s">
        <v>1532</v>
      </c>
      <c r="AD65" s="6" t="s">
        <v>1533</v>
      </c>
      <c r="AE65" s="8" t="s">
        <v>1534</v>
      </c>
    </row>
    <row r="66" ht="20.1" customHeight="1"/>
    <row r="67" ht="20.1" customHeight="1" spans="30:31">
      <c r="AD67" s="6" t="s">
        <v>1535</v>
      </c>
      <c r="AE67" s="8" t="s">
        <v>1536</v>
      </c>
    </row>
    <row r="68" ht="20.1" customHeight="1" spans="30:31">
      <c r="AD68" s="6" t="s">
        <v>1537</v>
      </c>
      <c r="AE68" s="8" t="s">
        <v>1538</v>
      </c>
    </row>
    <row r="69" ht="20.1" customHeight="1" spans="30:31">
      <c r="AD69" s="6" t="s">
        <v>1539</v>
      </c>
      <c r="AE69" s="8" t="s">
        <v>1540</v>
      </c>
    </row>
    <row r="70" ht="20.1" customHeight="1" spans="30:31">
      <c r="AD70" s="6" t="s">
        <v>1541</v>
      </c>
      <c r="AE70" s="8" t="s">
        <v>1542</v>
      </c>
    </row>
    <row r="71" ht="20.1" customHeight="1" spans="30:31">
      <c r="AD71" s="6" t="s">
        <v>1543</v>
      </c>
      <c r="AE71" s="8" t="s">
        <v>1544</v>
      </c>
    </row>
    <row r="72" ht="20.1" customHeight="1" spans="30:31">
      <c r="AD72" s="6" t="s">
        <v>1545</v>
      </c>
      <c r="AE72" s="8" t="s">
        <v>1546</v>
      </c>
    </row>
    <row r="73" ht="20.1" customHeight="1" spans="30:31">
      <c r="AD73" s="6" t="s">
        <v>1547</v>
      </c>
      <c r="AE73" s="8" t="s">
        <v>1548</v>
      </c>
    </row>
    <row r="74" ht="20.1" customHeight="1" spans="30:31">
      <c r="AD74" s="6" t="s">
        <v>1549</v>
      </c>
      <c r="AE74" s="8" t="s">
        <v>1550</v>
      </c>
    </row>
    <row r="75" ht="20.1" customHeight="1" spans="30:31">
      <c r="AD75" s="6" t="s">
        <v>1551</v>
      </c>
      <c r="AE75" s="8" t="s">
        <v>1552</v>
      </c>
    </row>
    <row r="76" ht="20.1" customHeight="1" spans="30:31">
      <c r="AD76" s="6" t="s">
        <v>1553</v>
      </c>
      <c r="AE76" s="8" t="s">
        <v>1554</v>
      </c>
    </row>
    <row r="77" ht="20.1" customHeight="1" spans="30:31">
      <c r="AD77" s="6" t="s">
        <v>1555</v>
      </c>
      <c r="AE77" s="8" t="s">
        <v>1556</v>
      </c>
    </row>
    <row r="78" ht="20.1" customHeight="1" spans="30:31">
      <c r="AD78" s="6" t="s">
        <v>1557</v>
      </c>
      <c r="AE78" s="8" t="s">
        <v>1558</v>
      </c>
    </row>
    <row r="79" ht="20.1" customHeight="1" spans="30:31">
      <c r="AD79" s="6" t="s">
        <v>1559</v>
      </c>
      <c r="AE79" s="8" t="s">
        <v>1560</v>
      </c>
    </row>
    <row r="80" ht="20.1" customHeight="1" spans="30:31">
      <c r="AD80" s="6" t="s">
        <v>1561</v>
      </c>
      <c r="AE80" s="8" t="s">
        <v>1562</v>
      </c>
    </row>
    <row r="81" ht="20.1" customHeight="1" spans="30:31">
      <c r="AD81" s="6" t="s">
        <v>1563</v>
      </c>
      <c r="AE81" s="8" t="s">
        <v>1564</v>
      </c>
    </row>
    <row r="82" ht="20.1" customHeight="1" spans="30:31">
      <c r="AD82" s="6" t="s">
        <v>1565</v>
      </c>
      <c r="AE82" s="8" t="s">
        <v>1566</v>
      </c>
    </row>
    <row r="83" ht="20.1" customHeight="1" spans="30:31">
      <c r="AD83" s="6" t="s">
        <v>1567</v>
      </c>
      <c r="AE83" s="8" t="s">
        <v>1568</v>
      </c>
    </row>
    <row r="84" ht="20.1" customHeight="1" spans="30:31">
      <c r="AD84" s="6" t="s">
        <v>1569</v>
      </c>
      <c r="AE84" s="8" t="s">
        <v>1570</v>
      </c>
    </row>
    <row r="85" ht="20.1" customHeight="1" spans="30:31">
      <c r="AD85" s="6" t="s">
        <v>1571</v>
      </c>
      <c r="AE85" s="8" t="s">
        <v>1572</v>
      </c>
    </row>
    <row r="86" ht="20.1" customHeight="1" spans="30:31">
      <c r="AD86" s="6" t="s">
        <v>1573</v>
      </c>
      <c r="AE86" s="8" t="s">
        <v>1574</v>
      </c>
    </row>
    <row r="87" ht="20.1" customHeight="1" spans="30:31">
      <c r="AD87" s="6" t="s">
        <v>1575</v>
      </c>
      <c r="AE87" s="8" t="s">
        <v>1576</v>
      </c>
    </row>
    <row r="88" ht="20.1" customHeight="1" spans="30:31">
      <c r="AD88" s="6" t="s">
        <v>1577</v>
      </c>
      <c r="AE88" s="8" t="s">
        <v>1578</v>
      </c>
    </row>
    <row r="89" ht="20.1" customHeight="1" spans="30:31">
      <c r="AD89" s="6" t="s">
        <v>1579</v>
      </c>
      <c r="AE89" s="8" t="s">
        <v>1580</v>
      </c>
    </row>
    <row r="90" ht="20.1" customHeight="1" spans="30:31">
      <c r="AD90" s="6" t="s">
        <v>1581</v>
      </c>
      <c r="AE90" s="8" t="s">
        <v>1582</v>
      </c>
    </row>
    <row r="91" ht="20.1" customHeight="1" spans="30:31">
      <c r="AD91" s="6" t="s">
        <v>1583</v>
      </c>
      <c r="AE91" s="8" t="s">
        <v>1584</v>
      </c>
    </row>
    <row r="92" ht="20.1" customHeight="1" spans="30:31">
      <c r="AD92" s="6" t="s">
        <v>1585</v>
      </c>
      <c r="AE92" s="8" t="s">
        <v>1586</v>
      </c>
    </row>
    <row r="93" ht="20.1" customHeight="1" spans="30:31">
      <c r="AD93" s="6" t="s">
        <v>1587</v>
      </c>
      <c r="AE93" s="8" t="s">
        <v>1588</v>
      </c>
    </row>
    <row r="94" ht="20.1" customHeight="1" spans="30:31">
      <c r="AD94" s="6" t="s">
        <v>1589</v>
      </c>
      <c r="AE94" s="8" t="s">
        <v>1590</v>
      </c>
    </row>
    <row r="95" ht="20.1" customHeight="1" spans="30:31">
      <c r="AD95" s="6" t="s">
        <v>1591</v>
      </c>
      <c r="AE95" s="8" t="s">
        <v>1592</v>
      </c>
    </row>
    <row r="96" ht="20.1" customHeight="1" spans="30:31">
      <c r="AD96" s="6" t="s">
        <v>1593</v>
      </c>
      <c r="AE96" s="8" t="s">
        <v>1594</v>
      </c>
    </row>
    <row r="97" ht="20.1" customHeight="1" spans="30:31">
      <c r="AD97" s="6" t="s">
        <v>1595</v>
      </c>
      <c r="AE97" s="8" t="s">
        <v>1596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6" customFormat="1" ht="20.1" customHeight="1"/>
    <row r="2" s="6" customFormat="1" ht="20.1" customHeight="1" spans="2:26">
      <c r="B2" s="6" t="s">
        <v>1597</v>
      </c>
      <c r="C2" s="6" t="s">
        <v>1598</v>
      </c>
      <c r="E2" s="6" t="s">
        <v>1599</v>
      </c>
      <c r="F2" s="6" t="s">
        <v>1600</v>
      </c>
      <c r="H2" s="6" t="s">
        <v>1601</v>
      </c>
      <c r="I2" s="6" t="s">
        <v>1598</v>
      </c>
      <c r="J2" s="6" t="s">
        <v>3</v>
      </c>
      <c r="L2" s="6" t="s">
        <v>1602</v>
      </c>
      <c r="O2" s="6" t="s">
        <v>1603</v>
      </c>
      <c r="Y2" s="6" t="s">
        <v>1604</v>
      </c>
      <c r="Z2" s="6" t="s">
        <v>1605</v>
      </c>
    </row>
    <row r="3" s="6" customFormat="1" ht="20.1" customHeight="1" spans="3:26">
      <c r="C3" s="6" t="s">
        <v>1606</v>
      </c>
      <c r="F3" s="6" t="s">
        <v>1607</v>
      </c>
      <c r="I3" s="6" t="s">
        <v>1606</v>
      </c>
      <c r="J3" s="6" t="s">
        <v>2</v>
      </c>
      <c r="O3" s="6" t="s">
        <v>1608</v>
      </c>
      <c r="Z3" s="22" t="s">
        <v>1609</v>
      </c>
    </row>
    <row r="4" s="6" customFormat="1" ht="20.1" customHeight="1" spans="3:26">
      <c r="C4" s="6" t="s">
        <v>1610</v>
      </c>
      <c r="I4" s="6" t="s">
        <v>1610</v>
      </c>
      <c r="J4" s="6" t="s">
        <v>1611</v>
      </c>
      <c r="Z4" s="6" t="s">
        <v>1612</v>
      </c>
    </row>
    <row r="5" s="6" customFormat="1" ht="20.1" customHeight="1" spans="3:26">
      <c r="C5" s="6" t="s">
        <v>1613</v>
      </c>
      <c r="I5" s="6" t="s">
        <v>1613</v>
      </c>
      <c r="J5" s="6" t="s">
        <v>1194</v>
      </c>
      <c r="Z5" s="6" t="s">
        <v>1614</v>
      </c>
    </row>
    <row r="6" s="6" customFormat="1" ht="20.1" customHeight="1" spans="3:26">
      <c r="C6" s="6" t="s">
        <v>1615</v>
      </c>
      <c r="I6" s="6" t="s">
        <v>1615</v>
      </c>
      <c r="J6" s="6" t="s">
        <v>1616</v>
      </c>
      <c r="R6" s="6" t="s">
        <v>1617</v>
      </c>
      <c r="Z6" s="6" t="s">
        <v>1618</v>
      </c>
    </row>
    <row r="7" s="6" customFormat="1" ht="20.1" customHeight="1" spans="26:26">
      <c r="Z7" s="6" t="s">
        <v>1619</v>
      </c>
    </row>
    <row r="8" s="6" customFormat="1" ht="20.1" customHeight="1" spans="26:26">
      <c r="Z8" s="15" t="s">
        <v>1620</v>
      </c>
    </row>
    <row r="9" s="6" customFormat="1" ht="20.1" customHeight="1"/>
    <row r="10" s="6" customFormat="1" ht="20.1" customHeight="1" spans="26:30">
      <c r="Z10" s="8" t="s">
        <v>1621</v>
      </c>
      <c r="AB10" s="6" t="s">
        <v>1622</v>
      </c>
      <c r="AC10" s="6" t="s">
        <v>1623</v>
      </c>
      <c r="AD10" s="6" t="s">
        <v>1624</v>
      </c>
    </row>
    <row r="11" s="6" customFormat="1" ht="20.1" customHeight="1" spans="26:26">
      <c r="Z11" s="8" t="s">
        <v>1625</v>
      </c>
    </row>
    <row r="12" s="6" customFormat="1" ht="20.1" customHeight="1" spans="20:20">
      <c r="T12" s="6" t="s">
        <v>1626</v>
      </c>
    </row>
    <row r="13" s="6" customFormat="1" ht="20.1" customHeight="1" spans="2:16">
      <c r="B13" s="6" t="s">
        <v>1627</v>
      </c>
      <c r="C13" s="6" t="s">
        <v>2</v>
      </c>
      <c r="F13" s="6" t="s">
        <v>1628</v>
      </c>
      <c r="G13" s="6" t="s">
        <v>1629</v>
      </c>
      <c r="J13" s="6" t="s">
        <v>1630</v>
      </c>
      <c r="K13" s="6" t="s">
        <v>1598</v>
      </c>
      <c r="P13" s="6" t="s">
        <v>1631</v>
      </c>
    </row>
    <row r="14" s="6" customFormat="1" ht="20.1" customHeight="1" spans="3:20">
      <c r="C14" s="6" t="s">
        <v>3</v>
      </c>
      <c r="G14" s="6" t="s">
        <v>1632</v>
      </c>
      <c r="K14" s="6" t="s">
        <v>1606</v>
      </c>
      <c r="P14" s="6" t="s">
        <v>1633</v>
      </c>
      <c r="T14" s="6" t="s">
        <v>1634</v>
      </c>
    </row>
    <row r="15" s="6" customFormat="1" ht="20.1" customHeight="1" spans="3:28">
      <c r="C15" s="6" t="s">
        <v>1635</v>
      </c>
      <c r="G15" s="6" t="s">
        <v>1636</v>
      </c>
      <c r="K15" s="6" t="s">
        <v>1610</v>
      </c>
      <c r="AB15" s="23" t="s">
        <v>1637</v>
      </c>
    </row>
    <row r="16" s="6" customFormat="1" ht="20.1" customHeight="1" spans="3:27">
      <c r="C16" s="6" t="s">
        <v>28</v>
      </c>
      <c r="G16" s="6" t="s">
        <v>1638</v>
      </c>
      <c r="K16" s="6" t="s">
        <v>1613</v>
      </c>
      <c r="S16"/>
      <c r="T16"/>
      <c r="U16"/>
      <c r="V16"/>
      <c r="W16"/>
      <c r="X16"/>
      <c r="Y16"/>
      <c r="Z16"/>
      <c r="AA16"/>
    </row>
    <row r="17" s="6" customFormat="1" ht="20.1" customHeight="1" spans="3:19">
      <c r="C17" s="6" t="s">
        <v>1639</v>
      </c>
      <c r="G17" s="6" t="s">
        <v>1640</v>
      </c>
      <c r="K17" s="6" t="s">
        <v>1615</v>
      </c>
      <c r="O17" s="6" t="s">
        <v>1641</v>
      </c>
      <c r="S17" s="4"/>
    </row>
    <row r="18" ht="20.1" customHeight="1" spans="3:29">
      <c r="C18" s="6" t="s">
        <v>1642</v>
      </c>
      <c r="G18" s="6" t="s">
        <v>1643</v>
      </c>
      <c r="I18" s="4"/>
      <c r="J18" s="4"/>
      <c r="K18" s="4"/>
      <c r="L18" s="4"/>
      <c r="M18" s="4"/>
      <c r="R18" s="6" t="s">
        <v>1644</v>
      </c>
      <c r="S18" s="4"/>
      <c r="T18" s="6" t="s">
        <v>1645</v>
      </c>
      <c r="U18" s="6" t="s">
        <v>1646</v>
      </c>
      <c r="V18" s="6" t="s">
        <v>282</v>
      </c>
      <c r="W18" s="17"/>
      <c r="X18" s="6" t="s">
        <v>1647</v>
      </c>
      <c r="AA18" s="6"/>
      <c r="AB18" s="6" t="s">
        <v>1648</v>
      </c>
      <c r="AC18" s="4"/>
    </row>
    <row r="19" ht="20.1" customHeight="1" spans="3:29">
      <c r="C19" s="6" t="s">
        <v>1649</v>
      </c>
      <c r="I19" s="4"/>
      <c r="J19" s="4"/>
      <c r="K19" s="8" t="s">
        <v>1650</v>
      </c>
      <c r="L19" s="4"/>
      <c r="M19" s="4"/>
      <c r="R19" s="6">
        <v>1</v>
      </c>
      <c r="S19" s="6" t="s">
        <v>1651</v>
      </c>
      <c r="T19" s="6">
        <v>0</v>
      </c>
      <c r="U19" s="6">
        <f>T19*R19</f>
        <v>0</v>
      </c>
      <c r="V19" s="18">
        <v>0.01</v>
      </c>
      <c r="W19" s="19"/>
      <c r="X19" s="19" t="s">
        <v>1652</v>
      </c>
      <c r="Y19" s="6" t="s">
        <v>1653</v>
      </c>
      <c r="Z19" s="8" t="s">
        <v>1654</v>
      </c>
      <c r="AA19" s="6"/>
      <c r="AB19" s="6" t="s">
        <v>1655</v>
      </c>
      <c r="AC19" s="4"/>
    </row>
    <row r="20" ht="20.1" customHeight="1" spans="3:29">
      <c r="C20" s="6" t="s">
        <v>653</v>
      </c>
      <c r="I20" s="4"/>
      <c r="J20" s="4"/>
      <c r="K20" s="4"/>
      <c r="L20" s="4"/>
      <c r="M20" s="4"/>
      <c r="R20" s="6">
        <v>2</v>
      </c>
      <c r="S20" s="6" t="s">
        <v>1656</v>
      </c>
      <c r="T20" s="6">
        <v>2</v>
      </c>
      <c r="U20" s="6">
        <f>T20</f>
        <v>2</v>
      </c>
      <c r="V20" s="18">
        <v>0.02</v>
      </c>
      <c r="W20" s="20"/>
      <c r="X20" s="19" t="s">
        <v>1652</v>
      </c>
      <c r="Y20" s="6" t="s">
        <v>1657</v>
      </c>
      <c r="Z20" s="7" t="s">
        <v>1658</v>
      </c>
      <c r="AA20" s="6"/>
      <c r="AB20" s="6" t="s">
        <v>1659</v>
      </c>
      <c r="AC20" s="4"/>
    </row>
    <row r="21" ht="20.1" customHeight="1" spans="3:29">
      <c r="C21" s="6" t="s">
        <v>1660</v>
      </c>
      <c r="J21" s="4"/>
      <c r="K21" s="4"/>
      <c r="L21" s="4"/>
      <c r="M21" s="4"/>
      <c r="N21" s="4"/>
      <c r="O21" s="4"/>
      <c r="P21" s="4"/>
      <c r="Q21" s="4"/>
      <c r="R21" s="6">
        <v>3</v>
      </c>
      <c r="S21" s="15" t="s">
        <v>1656</v>
      </c>
      <c r="T21" s="6">
        <v>2</v>
      </c>
      <c r="U21" s="6">
        <f>U20*T21</f>
        <v>4</v>
      </c>
      <c r="V21" s="18">
        <v>0.03</v>
      </c>
      <c r="W21" s="19"/>
      <c r="X21" s="20" t="s">
        <v>1661</v>
      </c>
      <c r="Y21" s="6" t="s">
        <v>1662</v>
      </c>
      <c r="Z21" s="7" t="s">
        <v>1663</v>
      </c>
      <c r="AA21" s="6"/>
      <c r="AB21" s="6" t="s">
        <v>1664</v>
      </c>
      <c r="AC21" s="4"/>
    </row>
    <row r="22" ht="20.1" customHeight="1" spans="3:29">
      <c r="C22" s="6" t="s">
        <v>1665</v>
      </c>
      <c r="J22" s="4"/>
      <c r="K22" s="4"/>
      <c r="L22" s="4"/>
      <c r="M22" s="4"/>
      <c r="N22" s="4"/>
      <c r="O22" s="4"/>
      <c r="P22" s="4"/>
      <c r="Q22" s="4"/>
      <c r="R22" s="6">
        <v>4</v>
      </c>
      <c r="S22" s="6" t="s">
        <v>1666</v>
      </c>
      <c r="T22" s="6">
        <v>2</v>
      </c>
      <c r="U22" s="6">
        <f t="shared" ref="U22:U28" si="0">U21*T22</f>
        <v>8</v>
      </c>
      <c r="V22" s="18">
        <v>0.04</v>
      </c>
      <c r="W22" s="20"/>
      <c r="X22" s="19" t="s">
        <v>1661</v>
      </c>
      <c r="Y22" s="6" t="s">
        <v>1667</v>
      </c>
      <c r="Z22" s="7" t="s">
        <v>1668</v>
      </c>
      <c r="AA22" s="6"/>
      <c r="AB22" s="6" t="s">
        <v>12</v>
      </c>
      <c r="AC22" s="6" t="s">
        <v>1669</v>
      </c>
    </row>
    <row r="23" ht="20.1" customHeight="1" spans="3:29">
      <c r="C23" s="6" t="s">
        <v>1670</v>
      </c>
      <c r="J23" s="4"/>
      <c r="K23" s="7" t="s">
        <v>1671</v>
      </c>
      <c r="L23" s="7"/>
      <c r="M23" s="7"/>
      <c r="N23" s="7"/>
      <c r="O23" s="7"/>
      <c r="P23" s="7"/>
      <c r="Q23" s="7"/>
      <c r="R23" s="6">
        <v>5</v>
      </c>
      <c r="S23" s="6" t="s">
        <v>1666</v>
      </c>
      <c r="T23" s="6">
        <v>2</v>
      </c>
      <c r="U23" s="6">
        <f t="shared" si="0"/>
        <v>16</v>
      </c>
      <c r="V23" s="18">
        <v>0.05</v>
      </c>
      <c r="W23" s="19"/>
      <c r="X23" s="6" t="s">
        <v>1661</v>
      </c>
      <c r="Y23" s="6" t="s">
        <v>1672</v>
      </c>
      <c r="Z23" s="7" t="s">
        <v>1673</v>
      </c>
      <c r="AA23" s="6"/>
      <c r="AB23" s="6" t="s">
        <v>1674</v>
      </c>
      <c r="AC23" s="6" t="s">
        <v>1675</v>
      </c>
    </row>
    <row r="24" ht="20.1" customHeight="1" spans="10:27">
      <c r="J24" s="4"/>
      <c r="K24" s="7" t="s">
        <v>1676</v>
      </c>
      <c r="L24" s="7"/>
      <c r="M24" s="7"/>
      <c r="N24" s="7"/>
      <c r="O24" s="7"/>
      <c r="P24" s="7"/>
      <c r="Q24" s="7"/>
      <c r="R24" s="6">
        <v>6</v>
      </c>
      <c r="S24" s="6" t="s">
        <v>1666</v>
      </c>
      <c r="T24" s="6">
        <v>2</v>
      </c>
      <c r="U24" s="6">
        <f t="shared" si="0"/>
        <v>32</v>
      </c>
      <c r="V24" s="18">
        <v>0.06</v>
      </c>
      <c r="W24" s="20"/>
      <c r="X24" s="20" t="s">
        <v>1677</v>
      </c>
      <c r="Y24" s="6" t="s">
        <v>1678</v>
      </c>
      <c r="Z24" s="8" t="s">
        <v>1679</v>
      </c>
      <c r="AA24" s="6"/>
    </row>
    <row r="25" ht="20.1" customHeight="1" spans="10:27">
      <c r="J25" s="4"/>
      <c r="K25" s="7" t="s">
        <v>1680</v>
      </c>
      <c r="L25" s="7"/>
      <c r="M25" s="7"/>
      <c r="N25" s="7"/>
      <c r="O25" s="7"/>
      <c r="P25" s="7"/>
      <c r="Q25" s="7"/>
      <c r="R25" s="6">
        <v>7</v>
      </c>
      <c r="S25" s="6" t="s">
        <v>1295</v>
      </c>
      <c r="T25" s="6">
        <v>2</v>
      </c>
      <c r="U25" s="6">
        <f t="shared" si="0"/>
        <v>64</v>
      </c>
      <c r="V25" s="18">
        <v>0.07</v>
      </c>
      <c r="W25" s="19"/>
      <c r="X25" s="20" t="s">
        <v>1677</v>
      </c>
      <c r="Y25" s="6" t="s">
        <v>1681</v>
      </c>
      <c r="Z25" s="8" t="s">
        <v>1682</v>
      </c>
      <c r="AA25" s="15"/>
    </row>
    <row r="26" ht="20.1" customHeight="1" spans="10:27">
      <c r="J26" s="4"/>
      <c r="K26" s="7" t="s">
        <v>1683</v>
      </c>
      <c r="L26" s="7"/>
      <c r="M26" s="7"/>
      <c r="N26" s="7"/>
      <c r="O26" s="7"/>
      <c r="P26" s="7"/>
      <c r="Q26" s="7"/>
      <c r="R26" s="6">
        <v>8</v>
      </c>
      <c r="S26" s="6" t="s">
        <v>1295</v>
      </c>
      <c r="T26" s="6">
        <v>2</v>
      </c>
      <c r="U26" s="6">
        <f t="shared" si="0"/>
        <v>128</v>
      </c>
      <c r="V26" s="18">
        <v>0.08</v>
      </c>
      <c r="W26" s="20"/>
      <c r="X26" s="20"/>
      <c r="AA26" s="15"/>
    </row>
    <row r="27" ht="20.1" customHeight="1" spans="10:27">
      <c r="J27" s="4"/>
      <c r="K27" s="7" t="s">
        <v>1684</v>
      </c>
      <c r="L27" s="7"/>
      <c r="M27" s="7"/>
      <c r="N27" s="7"/>
      <c r="O27" s="7"/>
      <c r="P27" s="7"/>
      <c r="Q27" s="7"/>
      <c r="R27" s="6">
        <v>9</v>
      </c>
      <c r="S27" s="6" t="s">
        <v>1295</v>
      </c>
      <c r="T27" s="6">
        <v>2</v>
      </c>
      <c r="U27" s="6">
        <f t="shared" si="0"/>
        <v>256</v>
      </c>
      <c r="V27" s="18">
        <v>0.09</v>
      </c>
      <c r="W27" s="19"/>
      <c r="X27" s="19" t="s">
        <v>1685</v>
      </c>
      <c r="AA27" s="6"/>
    </row>
    <row r="28" ht="20.1" customHeight="1" spans="10:27">
      <c r="J28" s="4"/>
      <c r="K28" s="4"/>
      <c r="L28" s="4"/>
      <c r="M28" s="4"/>
      <c r="N28" s="4"/>
      <c r="O28" s="4"/>
      <c r="P28" s="4"/>
      <c r="Q28" s="4"/>
      <c r="R28" s="6">
        <v>10</v>
      </c>
      <c r="S28" s="6" t="s">
        <v>1295</v>
      </c>
      <c r="T28" s="6">
        <v>2</v>
      </c>
      <c r="U28" s="6">
        <f t="shared" si="0"/>
        <v>512</v>
      </c>
      <c r="V28" s="18">
        <v>0.1</v>
      </c>
      <c r="W28" s="20"/>
      <c r="X28" s="21" t="s">
        <v>1686</v>
      </c>
      <c r="AA28" s="6"/>
    </row>
    <row r="29" ht="20.1" customHeight="1" spans="10:27">
      <c r="J29" s="6" t="s">
        <v>1687</v>
      </c>
      <c r="K29" s="6" t="s">
        <v>222</v>
      </c>
      <c r="L29" s="8" t="s">
        <v>1688</v>
      </c>
      <c r="S29" s="6"/>
      <c r="X29" s="15"/>
      <c r="AA29" s="6"/>
    </row>
    <row r="30" ht="20.1" customHeight="1" spans="10:27">
      <c r="J30" s="6"/>
      <c r="K30" s="6" t="s">
        <v>1689</v>
      </c>
      <c r="L30" s="6"/>
      <c r="S30" s="6"/>
      <c r="X30" s="15"/>
      <c r="AA30" s="6"/>
    </row>
    <row r="31" s="6" customFormat="1" ht="20.1" customHeight="1"/>
    <row r="32" s="6" customFormat="1" ht="20.1" customHeight="1" spans="20:25">
      <c r="T32" s="6" t="s">
        <v>1690</v>
      </c>
      <c r="U32" s="6" t="s">
        <v>1631</v>
      </c>
      <c r="Y32" s="6" t="s">
        <v>1691</v>
      </c>
    </row>
    <row r="33" s="6" customFormat="1" ht="20.1" customHeight="1" spans="11:26">
      <c r="K33" s="6" t="s">
        <v>1692</v>
      </c>
      <c r="L33" s="6" t="s">
        <v>3</v>
      </c>
      <c r="P33" s="6">
        <v>1000101</v>
      </c>
      <c r="R33" s="6" t="s">
        <v>1693</v>
      </c>
      <c r="S33" s="6" t="s">
        <v>1694</v>
      </c>
      <c r="T33" s="6" t="s">
        <v>1655</v>
      </c>
      <c r="U33" s="8" t="s">
        <v>1695</v>
      </c>
      <c r="Y33" s="6" t="s">
        <v>1696</v>
      </c>
      <c r="Z33" s="8" t="s">
        <v>1697</v>
      </c>
    </row>
    <row r="34" s="6" customFormat="1" ht="20.1" customHeight="1" spans="12:26">
      <c r="L34" s="6" t="s">
        <v>1635</v>
      </c>
      <c r="P34" s="6">
        <v>1000201</v>
      </c>
      <c r="R34" s="6" t="s">
        <v>1693</v>
      </c>
      <c r="S34" s="6" t="s">
        <v>1698</v>
      </c>
      <c r="T34" s="6" t="s">
        <v>1699</v>
      </c>
      <c r="U34" s="8" t="s">
        <v>1700</v>
      </c>
      <c r="Y34" s="6" t="s">
        <v>653</v>
      </c>
      <c r="Z34" s="8" t="s">
        <v>1701</v>
      </c>
    </row>
    <row r="35" s="6" customFormat="1" ht="20.1" customHeight="1" spans="12:26">
      <c r="L35" s="6" t="s">
        <v>12</v>
      </c>
      <c r="P35" s="6">
        <v>1000301</v>
      </c>
      <c r="R35" s="6" t="s">
        <v>1693</v>
      </c>
      <c r="S35" s="6" t="s">
        <v>1702</v>
      </c>
      <c r="T35" s="6" t="s">
        <v>1655</v>
      </c>
      <c r="U35" s="8" t="s">
        <v>1703</v>
      </c>
      <c r="Y35" s="6" t="s">
        <v>1635</v>
      </c>
      <c r="Z35" s="8" t="s">
        <v>1704</v>
      </c>
    </row>
    <row r="36" s="6" customFormat="1" ht="20.1" customHeight="1" spans="2:26">
      <c r="B36" s="6">
        <v>1</v>
      </c>
      <c r="C36" s="6">
        <v>160</v>
      </c>
      <c r="L36" s="6" t="s">
        <v>28</v>
      </c>
      <c r="P36" s="6">
        <v>1000401</v>
      </c>
      <c r="R36" s="6" t="s">
        <v>1693</v>
      </c>
      <c r="S36" s="6" t="s">
        <v>1705</v>
      </c>
      <c r="T36" s="6" t="s">
        <v>1655</v>
      </c>
      <c r="U36" s="8" t="s">
        <v>1706</v>
      </c>
      <c r="Y36" s="6" t="s">
        <v>1707</v>
      </c>
      <c r="Z36" s="8" t="s">
        <v>1708</v>
      </c>
    </row>
    <row r="37" s="6" customFormat="1" ht="20.1" customHeight="1" spans="2:26">
      <c r="B37" s="6">
        <v>1</v>
      </c>
      <c r="C37" s="6">
        <v>22.7</v>
      </c>
      <c r="L37" s="6" t="s">
        <v>2</v>
      </c>
      <c r="P37" s="6">
        <v>1000501</v>
      </c>
      <c r="R37" s="6" t="s">
        <v>1693</v>
      </c>
      <c r="S37" s="6" t="s">
        <v>1709</v>
      </c>
      <c r="T37" s="6" t="s">
        <v>1699</v>
      </c>
      <c r="U37" s="8" t="s">
        <v>1710</v>
      </c>
      <c r="Y37" s="6" t="s">
        <v>1665</v>
      </c>
      <c r="Z37" s="8" t="s">
        <v>1711</v>
      </c>
    </row>
    <row r="38" s="6" customFormat="1" ht="20.1" customHeight="1" spans="2:26">
      <c r="B38" s="6">
        <v>1</v>
      </c>
      <c r="C38" s="6">
        <v>65</v>
      </c>
      <c r="P38" s="6">
        <v>1000601</v>
      </c>
      <c r="R38" s="6" t="s">
        <v>1693</v>
      </c>
      <c r="S38" s="6" t="s">
        <v>1712</v>
      </c>
      <c r="T38" s="6" t="s">
        <v>1655</v>
      </c>
      <c r="U38" s="8" t="s">
        <v>1713</v>
      </c>
      <c r="Y38" s="6" t="s">
        <v>1714</v>
      </c>
      <c r="Z38" s="8" t="s">
        <v>1715</v>
      </c>
    </row>
    <row r="39" s="6" customFormat="1" ht="20.1" customHeight="1" spans="2:26">
      <c r="B39" s="6">
        <v>2</v>
      </c>
      <c r="C39" s="6">
        <v>213</v>
      </c>
      <c r="P39" s="6">
        <v>1000701</v>
      </c>
      <c r="R39" s="6" t="s">
        <v>1693</v>
      </c>
      <c r="S39" s="6" t="s">
        <v>1716</v>
      </c>
      <c r="T39" s="6" t="s">
        <v>1699</v>
      </c>
      <c r="U39" s="8" t="s">
        <v>1717</v>
      </c>
      <c r="Y39" s="6" t="s">
        <v>1718</v>
      </c>
      <c r="Z39" s="8" t="s">
        <v>1719</v>
      </c>
    </row>
    <row r="40" s="6" customFormat="1" ht="20.1" customHeight="1" spans="2:26">
      <c r="B40" s="6">
        <v>3</v>
      </c>
      <c r="C40" s="6">
        <v>89</v>
      </c>
      <c r="P40" s="6">
        <v>1000801</v>
      </c>
      <c r="R40" s="6" t="s">
        <v>1693</v>
      </c>
      <c r="S40" s="6" t="s">
        <v>1720</v>
      </c>
      <c r="T40" s="6" t="s">
        <v>1699</v>
      </c>
      <c r="U40" s="8" t="s">
        <v>1689</v>
      </c>
      <c r="Y40" s="6" t="s">
        <v>1721</v>
      </c>
      <c r="Z40" s="8" t="s">
        <v>1722</v>
      </c>
    </row>
    <row r="41" s="6" customFormat="1" ht="20.1" customHeight="1" spans="2:32">
      <c r="B41" s="6">
        <v>3</v>
      </c>
      <c r="C41" s="6">
        <v>40</v>
      </c>
      <c r="Y41" s="6" t="s">
        <v>1723</v>
      </c>
      <c r="Z41" s="8" t="s">
        <v>1724</v>
      </c>
      <c r="AE41" s="6">
        <v>80001001</v>
      </c>
      <c r="AF41" s="6" t="s">
        <v>1696</v>
      </c>
    </row>
    <row r="42" s="6" customFormat="1" ht="20.1" customHeight="1" spans="2:32">
      <c r="B42" s="6">
        <v>3</v>
      </c>
      <c r="C42" s="6">
        <v>95</v>
      </c>
      <c r="V42" s="6">
        <v>80001001</v>
      </c>
      <c r="W42" s="6" t="s">
        <v>1696</v>
      </c>
      <c r="Y42" s="6" t="s">
        <v>354</v>
      </c>
      <c r="Z42" s="8" t="s">
        <v>1725</v>
      </c>
      <c r="AE42" s="6">
        <v>80001002</v>
      </c>
      <c r="AF42" s="6" t="s">
        <v>653</v>
      </c>
    </row>
    <row r="43" s="6" customFormat="1" ht="20.1" customHeight="1" spans="2:32">
      <c r="B43" s="6">
        <v>4</v>
      </c>
      <c r="C43" s="6">
        <v>60</v>
      </c>
      <c r="V43" s="6">
        <v>80001002</v>
      </c>
      <c r="W43" s="6" t="s">
        <v>653</v>
      </c>
      <c r="Y43" s="6" t="s">
        <v>1726</v>
      </c>
      <c r="Z43" s="8" t="s">
        <v>1727</v>
      </c>
      <c r="AE43" s="6">
        <v>80001003</v>
      </c>
      <c r="AF43" s="6" t="s">
        <v>1635</v>
      </c>
    </row>
    <row r="44" s="6" customFormat="1" ht="20.1" customHeight="1" spans="22:32">
      <c r="V44" s="6">
        <v>80001003</v>
      </c>
      <c r="W44" s="6" t="s">
        <v>1635</v>
      </c>
      <c r="Y44" s="6" t="s">
        <v>1728</v>
      </c>
      <c r="Z44" s="8" t="s">
        <v>1729</v>
      </c>
      <c r="AE44" s="6">
        <v>80001004</v>
      </c>
      <c r="AF44" s="6" t="s">
        <v>1707</v>
      </c>
    </row>
    <row r="45" s="6" customFormat="1" ht="20.1" customHeight="1" spans="22:32">
      <c r="V45" s="6">
        <v>80001004</v>
      </c>
      <c r="W45" s="6" t="s">
        <v>1707</v>
      </c>
      <c r="Y45" s="6" t="s">
        <v>1730</v>
      </c>
      <c r="Z45" s="8" t="s">
        <v>1731</v>
      </c>
      <c r="AE45" s="6">
        <v>80001005</v>
      </c>
      <c r="AF45" s="6" t="s">
        <v>1665</v>
      </c>
    </row>
    <row r="46" s="6" customFormat="1" ht="20.1" customHeight="1" spans="3:32">
      <c r="C46" s="6">
        <v>744</v>
      </c>
      <c r="V46" s="6">
        <v>80001005</v>
      </c>
      <c r="W46" s="6" t="s">
        <v>1665</v>
      </c>
      <c r="Y46" s="6" t="s">
        <v>1732</v>
      </c>
      <c r="Z46" s="8" t="s">
        <v>1733</v>
      </c>
      <c r="AE46" s="6">
        <v>80001006</v>
      </c>
      <c r="AF46" s="6" t="s">
        <v>1714</v>
      </c>
    </row>
    <row r="47" s="6" customFormat="1" ht="20.1" customHeight="1" spans="22:32">
      <c r="V47" s="6">
        <v>80001006</v>
      </c>
      <c r="W47" s="6" t="s">
        <v>1714</v>
      </c>
      <c r="Y47" s="6" t="s">
        <v>1734</v>
      </c>
      <c r="Z47" s="8" t="s">
        <v>1735</v>
      </c>
      <c r="AE47" s="6">
        <v>80001007</v>
      </c>
      <c r="AF47" s="6" t="s">
        <v>1718</v>
      </c>
    </row>
    <row r="48" s="6" customFormat="1" ht="20.1" customHeight="1" spans="22:32">
      <c r="V48" s="6">
        <v>80001007</v>
      </c>
      <c r="W48" s="6" t="s">
        <v>1718</v>
      </c>
      <c r="Y48" s="6" t="s">
        <v>12</v>
      </c>
      <c r="Z48" s="8" t="s">
        <v>1736</v>
      </c>
      <c r="AE48" s="6">
        <v>80001008</v>
      </c>
      <c r="AF48" s="6" t="s">
        <v>1721</v>
      </c>
    </row>
    <row r="49" s="6" customFormat="1" ht="20.1" customHeight="1" spans="22:32">
      <c r="V49" s="6">
        <v>80001008</v>
      </c>
      <c r="W49" s="6" t="s">
        <v>1721</v>
      </c>
      <c r="Y49" s="6" t="s">
        <v>1737</v>
      </c>
      <c r="Z49" s="8" t="s">
        <v>1738</v>
      </c>
      <c r="AE49" s="6">
        <v>80001009</v>
      </c>
      <c r="AF49" s="6" t="s">
        <v>1723</v>
      </c>
    </row>
    <row r="50" s="6" customFormat="1" ht="20.1" customHeight="1" spans="22:32">
      <c r="V50" s="6">
        <v>80001009</v>
      </c>
      <c r="W50" s="6" t="s">
        <v>1723</v>
      </c>
      <c r="Y50" s="6" t="s">
        <v>1739</v>
      </c>
      <c r="Z50" s="8" t="s">
        <v>1740</v>
      </c>
      <c r="AE50" s="6">
        <v>80001010</v>
      </c>
      <c r="AF50" s="6" t="s">
        <v>354</v>
      </c>
    </row>
    <row r="51" s="6" customFormat="1" ht="20.1" customHeight="1" spans="22:32">
      <c r="V51" s="6">
        <v>80001010</v>
      </c>
      <c r="W51" s="6" t="s">
        <v>354</v>
      </c>
      <c r="Y51" s="6" t="s">
        <v>1741</v>
      </c>
      <c r="Z51" s="8" t="s">
        <v>1742</v>
      </c>
      <c r="AE51" s="6">
        <v>80001011</v>
      </c>
      <c r="AF51" s="6" t="s">
        <v>1726</v>
      </c>
    </row>
    <row r="52" s="6" customFormat="1" ht="20.1" customHeight="1" spans="22:32">
      <c r="V52" s="6">
        <v>80001011</v>
      </c>
      <c r="W52" s="6" t="s">
        <v>1726</v>
      </c>
      <c r="Y52" s="6" t="s">
        <v>1743</v>
      </c>
      <c r="Z52" s="6" t="s">
        <v>1744</v>
      </c>
      <c r="AE52" s="6">
        <v>80001012</v>
      </c>
      <c r="AF52" s="6" t="s">
        <v>1728</v>
      </c>
    </row>
    <row r="53" s="6" customFormat="1" ht="20.1" customHeight="1" spans="22:32">
      <c r="V53" s="6">
        <v>80001012</v>
      </c>
      <c r="W53" s="6" t="s">
        <v>1728</v>
      </c>
      <c r="AE53" s="6">
        <v>80001013</v>
      </c>
      <c r="AF53" s="6" t="s">
        <v>1730</v>
      </c>
    </row>
    <row r="54" s="6" customFormat="1" ht="20.1" customHeight="1" spans="22:32">
      <c r="V54" s="6">
        <v>80001013</v>
      </c>
      <c r="W54" s="6" t="s">
        <v>1730</v>
      </c>
      <c r="AE54" s="6">
        <v>80001014</v>
      </c>
      <c r="AF54" s="6" t="s">
        <v>1732</v>
      </c>
    </row>
    <row r="55" s="6" customFormat="1" ht="20.1" customHeight="1" spans="22:32">
      <c r="V55" s="6">
        <v>80001014</v>
      </c>
      <c r="W55" s="6" t="s">
        <v>1732</v>
      </c>
      <c r="AE55" s="6">
        <v>80001015</v>
      </c>
      <c r="AF55" s="6" t="s">
        <v>1734</v>
      </c>
    </row>
    <row r="56" s="6" customFormat="1" ht="20.1" customHeight="1" spans="22:32">
      <c r="V56" s="6">
        <v>80001015</v>
      </c>
      <c r="W56" s="6" t="s">
        <v>1734</v>
      </c>
      <c r="Y56" s="6" t="s">
        <v>1745</v>
      </c>
      <c r="AE56" s="6">
        <v>80001016</v>
      </c>
      <c r="AF56" s="6" t="s">
        <v>12</v>
      </c>
    </row>
    <row r="57" s="6" customFormat="1" ht="20.1" customHeight="1" spans="22:32">
      <c r="V57" s="6">
        <v>80001016</v>
      </c>
      <c r="W57" s="6" t="s">
        <v>12</v>
      </c>
      <c r="Y57" s="6" t="s">
        <v>1598</v>
      </c>
      <c r="Z57" s="8" t="s">
        <v>1746</v>
      </c>
      <c r="AE57" s="6">
        <v>80001017</v>
      </c>
      <c r="AF57" s="6" t="s">
        <v>1737</v>
      </c>
    </row>
    <row r="58" s="6" customFormat="1" ht="20.1" customHeight="1" spans="9:32">
      <c r="I58" s="6" t="s">
        <v>1747</v>
      </c>
      <c r="V58" s="6">
        <v>80001017</v>
      </c>
      <c r="W58" s="6" t="s">
        <v>1737</v>
      </c>
      <c r="Y58" s="6" t="s">
        <v>1606</v>
      </c>
      <c r="Z58" s="8" t="s">
        <v>1746</v>
      </c>
      <c r="AE58" s="6">
        <v>80001018</v>
      </c>
      <c r="AF58" s="6" t="s">
        <v>1739</v>
      </c>
    </row>
    <row r="59" s="6" customFormat="1" ht="20.1" customHeight="1" spans="22:32">
      <c r="V59" s="6">
        <v>80001018</v>
      </c>
      <c r="W59" s="6" t="s">
        <v>1739</v>
      </c>
      <c r="Y59" s="6" t="s">
        <v>1610</v>
      </c>
      <c r="Z59" s="8" t="s">
        <v>1746</v>
      </c>
      <c r="AE59" s="6">
        <v>80001019</v>
      </c>
      <c r="AF59" s="6" t="s">
        <v>1741</v>
      </c>
    </row>
    <row r="60" s="6" customFormat="1" ht="20.1" customHeight="1" spans="22:32">
      <c r="V60" s="6">
        <v>80001019</v>
      </c>
      <c r="W60" s="6" t="s">
        <v>1741</v>
      </c>
      <c r="Y60" s="6" t="s">
        <v>1613</v>
      </c>
      <c r="Z60" s="8" t="s">
        <v>1746</v>
      </c>
      <c r="AE60" s="6">
        <v>80001020</v>
      </c>
      <c r="AF60" s="6" t="s">
        <v>1743</v>
      </c>
    </row>
    <row r="61" ht="20.1" customHeight="1" spans="22:26">
      <c r="V61" s="6">
        <v>80001020</v>
      </c>
      <c r="W61" s="6" t="s">
        <v>1743</v>
      </c>
      <c r="Y61" s="6" t="s">
        <v>1615</v>
      </c>
      <c r="Z61" s="8" t="s">
        <v>1746</v>
      </c>
    </row>
    <row r="62" ht="20.1" customHeight="1"/>
    <row r="63" ht="20.1" customHeight="1" spans="9:25">
      <c r="I63" s="6"/>
      <c r="J63" s="6"/>
      <c r="Y63" s="6" t="s">
        <v>1748</v>
      </c>
    </row>
    <row r="64" ht="20.1" customHeight="1" spans="25:26">
      <c r="Y64" s="6" t="s">
        <v>1598</v>
      </c>
      <c r="Z64" s="8" t="s">
        <v>1749</v>
      </c>
    </row>
    <row r="65" ht="20.1" customHeight="1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P65" s="6"/>
      <c r="Q65" s="6"/>
      <c r="R65" s="6"/>
      <c r="S65" s="6"/>
      <c r="T65" s="6"/>
      <c r="U65" s="6"/>
      <c r="V65" s="6"/>
      <c r="W65" s="6"/>
      <c r="X65" s="6"/>
      <c r="Y65" s="6" t="s">
        <v>1606</v>
      </c>
      <c r="Z65" s="8" t="s">
        <v>1750</v>
      </c>
    </row>
    <row r="66" ht="20.1" customHeight="1" spans="1:26">
      <c r="A66" s="4">
        <v>70000011</v>
      </c>
      <c r="B66" s="6">
        <v>1000101</v>
      </c>
      <c r="C66" s="6" t="s">
        <v>1694</v>
      </c>
      <c r="D66" s="6">
        <v>1</v>
      </c>
      <c r="E66" s="6">
        <v>80001001</v>
      </c>
      <c r="F66" s="6" t="s">
        <v>1696</v>
      </c>
      <c r="G66" s="4"/>
      <c r="H66" s="4"/>
      <c r="I66" s="4"/>
      <c r="J66" s="4"/>
      <c r="K66" s="6">
        <v>80001010</v>
      </c>
      <c r="L66" s="6" t="s">
        <v>354</v>
      </c>
      <c r="M66" s="6">
        <v>80001014</v>
      </c>
      <c r="N66" s="6" t="s">
        <v>1732</v>
      </c>
      <c r="O66" s="6">
        <v>80001015</v>
      </c>
      <c r="P66" s="6" t="s">
        <v>1734</v>
      </c>
      <c r="Q66" s="6"/>
      <c r="R66" s="6"/>
      <c r="S66" s="6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6"/>
      <c r="Y66" s="6" t="s">
        <v>1610</v>
      </c>
      <c r="Z66" s="8" t="s">
        <v>1751</v>
      </c>
    </row>
    <row r="67" ht="20.1" customHeight="1" spans="1:26">
      <c r="A67" s="24">
        <v>70000012</v>
      </c>
      <c r="B67" s="6">
        <v>1000201</v>
      </c>
      <c r="C67" s="6" t="s">
        <v>1698</v>
      </c>
      <c r="D67" s="6">
        <v>1</v>
      </c>
      <c r="E67" s="6">
        <v>80001002</v>
      </c>
      <c r="F67" s="6" t="s">
        <v>653</v>
      </c>
      <c r="G67" s="6">
        <v>80001013</v>
      </c>
      <c r="H67" s="6" t="s">
        <v>1730</v>
      </c>
      <c r="I67" s="4"/>
      <c r="J67" s="4"/>
      <c r="K67" s="6">
        <v>80001009</v>
      </c>
      <c r="L67" s="6" t="s">
        <v>1723</v>
      </c>
      <c r="M67" s="6">
        <v>80001018</v>
      </c>
      <c r="N67" s="6" t="s">
        <v>1739</v>
      </c>
      <c r="P67" s="6"/>
      <c r="R67" s="6"/>
      <c r="S67" s="6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6"/>
      <c r="Y67" s="6" t="s">
        <v>1613</v>
      </c>
      <c r="Z67" s="8" t="s">
        <v>1752</v>
      </c>
    </row>
    <row r="68" ht="20.1" customHeight="1" spans="1:26">
      <c r="A68" s="4">
        <v>70000011</v>
      </c>
      <c r="B68" s="6">
        <v>1000301</v>
      </c>
      <c r="C68" s="6" t="s">
        <v>1702</v>
      </c>
      <c r="D68" s="6">
        <v>1</v>
      </c>
      <c r="E68" s="6">
        <v>80001018</v>
      </c>
      <c r="F68" s="6" t="s">
        <v>1739</v>
      </c>
      <c r="G68" s="4"/>
      <c r="H68" s="4"/>
      <c r="I68" s="4"/>
      <c r="J68" s="4"/>
      <c r="K68" s="6">
        <v>80001012</v>
      </c>
      <c r="L68" s="6" t="s">
        <v>1728</v>
      </c>
      <c r="M68" s="6">
        <v>80001004</v>
      </c>
      <c r="N68" s="6" t="s">
        <v>1707</v>
      </c>
      <c r="O68" s="6">
        <v>80001007</v>
      </c>
      <c r="P68" s="6" t="s">
        <v>1718</v>
      </c>
      <c r="Q68" s="6"/>
      <c r="R68" s="6"/>
      <c r="S68" s="6"/>
      <c r="T68" t="str">
        <f t="shared" si="1"/>
        <v>80001018;</v>
      </c>
      <c r="W68" t="str">
        <f t="shared" si="2"/>
        <v>80001012;80001004;80001007;</v>
      </c>
      <c r="X68" s="6"/>
      <c r="Y68" s="6" t="s">
        <v>1615</v>
      </c>
      <c r="Z68" s="8" t="s">
        <v>1753</v>
      </c>
    </row>
    <row r="69" ht="20.1" customHeight="1" spans="1:24">
      <c r="A69" s="4">
        <v>70000011</v>
      </c>
      <c r="B69" s="6">
        <v>1000401</v>
      </c>
      <c r="C69" s="6" t="s">
        <v>1705</v>
      </c>
      <c r="D69" s="6">
        <v>2</v>
      </c>
      <c r="E69" s="6">
        <v>80001004</v>
      </c>
      <c r="F69" s="6" t="s">
        <v>1707</v>
      </c>
      <c r="G69" s="6">
        <v>80001018</v>
      </c>
      <c r="H69" s="6" t="s">
        <v>1739</v>
      </c>
      <c r="I69" s="6"/>
      <c r="J69" s="4"/>
      <c r="K69" s="6">
        <v>80001004</v>
      </c>
      <c r="L69" s="6" t="s">
        <v>1707</v>
      </c>
      <c r="M69" s="6">
        <v>80002007</v>
      </c>
      <c r="N69" s="6" t="s">
        <v>1754</v>
      </c>
      <c r="O69" s="6">
        <v>80001023</v>
      </c>
      <c r="P69" s="6" t="s">
        <v>1755</v>
      </c>
      <c r="R69" s="6"/>
      <c r="S69" s="6"/>
      <c r="T69" t="str">
        <f t="shared" si="1"/>
        <v>80001004;80001018</v>
      </c>
      <c r="W69" t="str">
        <f t="shared" si="2"/>
        <v>80001004;80002007;80001023;</v>
      </c>
      <c r="X69" s="6"/>
    </row>
    <row r="70" ht="20.1" customHeight="1" spans="1:24">
      <c r="A70" s="24">
        <v>70000012</v>
      </c>
      <c r="B70" s="6">
        <v>1000501</v>
      </c>
      <c r="C70" s="6" t="s">
        <v>1709</v>
      </c>
      <c r="D70" s="6">
        <v>2</v>
      </c>
      <c r="E70" s="6">
        <v>80001005</v>
      </c>
      <c r="F70" s="6" t="s">
        <v>1665</v>
      </c>
      <c r="G70" s="6">
        <v>80001019</v>
      </c>
      <c r="H70" s="6" t="s">
        <v>1741</v>
      </c>
      <c r="I70" s="6"/>
      <c r="J70" s="4"/>
      <c r="K70" s="6">
        <v>80001017</v>
      </c>
      <c r="L70" s="6" t="s">
        <v>1737</v>
      </c>
      <c r="M70" s="6">
        <v>80001008</v>
      </c>
      <c r="N70" s="6" t="s">
        <v>1721</v>
      </c>
      <c r="O70" s="6">
        <v>80001021</v>
      </c>
      <c r="P70" s="6" t="s">
        <v>1756</v>
      </c>
      <c r="R70" s="6"/>
      <c r="S70" s="6"/>
      <c r="T70" t="str">
        <f t="shared" si="1"/>
        <v>80001005;80001019</v>
      </c>
      <c r="W70" t="str">
        <f t="shared" si="2"/>
        <v>80001017;80001008;80001021;</v>
      </c>
      <c r="X70" s="6"/>
    </row>
    <row r="71" ht="20.1" customHeight="1" spans="1:24">
      <c r="A71" s="4">
        <v>70000011</v>
      </c>
      <c r="B71" s="6">
        <v>1000601</v>
      </c>
      <c r="C71" s="6" t="s">
        <v>1712</v>
      </c>
      <c r="D71" s="6">
        <v>2</v>
      </c>
      <c r="E71" s="6">
        <v>80001006</v>
      </c>
      <c r="F71" s="6" t="s">
        <v>1714</v>
      </c>
      <c r="I71" s="6"/>
      <c r="J71" s="4"/>
      <c r="K71" s="6">
        <v>80001015</v>
      </c>
      <c r="L71" s="6" t="s">
        <v>1734</v>
      </c>
      <c r="M71" s="6">
        <v>80001010</v>
      </c>
      <c r="N71" s="6" t="s">
        <v>354</v>
      </c>
      <c r="O71" s="6">
        <v>80002006</v>
      </c>
      <c r="P71" s="6" t="s">
        <v>1757</v>
      </c>
      <c r="Q71" s="6"/>
      <c r="R71" s="6"/>
      <c r="S71" s="6"/>
      <c r="T71" t="str">
        <f t="shared" si="1"/>
        <v>80001006;</v>
      </c>
      <c r="W71" t="str">
        <f t="shared" si="2"/>
        <v>80001015;80001010;80002006;</v>
      </c>
      <c r="X71" s="6"/>
    </row>
    <row r="72" ht="20.1" customHeight="1" spans="1:24">
      <c r="A72" s="4">
        <v>70000011</v>
      </c>
      <c r="B72" s="6">
        <v>1000701</v>
      </c>
      <c r="C72" s="6" t="s">
        <v>1716</v>
      </c>
      <c r="D72" s="6">
        <v>3</v>
      </c>
      <c r="E72" s="6">
        <v>80001007</v>
      </c>
      <c r="F72" s="6" t="s">
        <v>1718</v>
      </c>
      <c r="G72" s="6">
        <v>80001005</v>
      </c>
      <c r="H72" s="6" t="s">
        <v>1665</v>
      </c>
      <c r="I72" s="4"/>
      <c r="K72" s="6">
        <v>80001006</v>
      </c>
      <c r="L72" s="6" t="s">
        <v>1714</v>
      </c>
      <c r="M72" s="6">
        <v>80002018</v>
      </c>
      <c r="N72" s="6" t="s">
        <v>1758</v>
      </c>
      <c r="O72" s="6">
        <v>80001022</v>
      </c>
      <c r="P72" s="6" t="s">
        <v>1759</v>
      </c>
      <c r="R72" s="6"/>
      <c r="S72" s="6"/>
      <c r="T72" t="str">
        <f t="shared" si="1"/>
        <v>80001007;80001005</v>
      </c>
      <c r="W72" t="str">
        <f t="shared" si="2"/>
        <v>80001006;80002018;80001022;</v>
      </c>
      <c r="X72" s="6"/>
    </row>
    <row r="73" ht="20.1" customHeight="1" spans="1:24">
      <c r="A73" s="4">
        <v>70000011</v>
      </c>
      <c r="B73" s="6">
        <v>1000801</v>
      </c>
      <c r="C73" s="6" t="s">
        <v>1720</v>
      </c>
      <c r="D73" s="6">
        <v>3</v>
      </c>
      <c r="E73" s="6">
        <v>80001008</v>
      </c>
      <c r="F73" s="6" t="s">
        <v>1721</v>
      </c>
      <c r="G73" s="6">
        <v>80001020</v>
      </c>
      <c r="H73" s="6" t="s">
        <v>1743</v>
      </c>
      <c r="I73" s="4"/>
      <c r="J73" s="4"/>
      <c r="K73" s="6">
        <v>80001011</v>
      </c>
      <c r="L73" s="6" t="s">
        <v>1726</v>
      </c>
      <c r="M73" s="6">
        <v>80002015</v>
      </c>
      <c r="N73" s="6" t="s">
        <v>1760</v>
      </c>
      <c r="O73" s="6">
        <v>80001024</v>
      </c>
      <c r="P73" s="6" t="s">
        <v>1761</v>
      </c>
      <c r="T73" t="str">
        <f t="shared" si="1"/>
        <v>80001008;80001020</v>
      </c>
      <c r="W73" t="str">
        <f t="shared" si="2"/>
        <v>80001011;80002015;80001024;</v>
      </c>
      <c r="X73" s="6"/>
    </row>
    <row r="74" ht="20.1" customHeight="1" spans="1:24">
      <c r="A74" s="4">
        <v>70000011</v>
      </c>
      <c r="B74" s="6">
        <v>1000901</v>
      </c>
      <c r="C74" s="6" t="s">
        <v>1762</v>
      </c>
      <c r="D74" s="6">
        <v>2</v>
      </c>
      <c r="E74" s="6">
        <v>80001009</v>
      </c>
      <c r="F74" s="6" t="s">
        <v>1723</v>
      </c>
      <c r="G74" s="6">
        <v>80001002</v>
      </c>
      <c r="H74" s="6" t="s">
        <v>653</v>
      </c>
      <c r="I74" s="4"/>
      <c r="J74" s="4"/>
      <c r="K74" s="6">
        <v>80002001</v>
      </c>
      <c r="L74" s="6" t="s">
        <v>1763</v>
      </c>
      <c r="M74" s="6">
        <v>80001014</v>
      </c>
      <c r="N74" s="6" t="s">
        <v>1732</v>
      </c>
      <c r="O74" s="6">
        <v>80001028</v>
      </c>
      <c r="P74" s="6" t="s">
        <v>1764</v>
      </c>
      <c r="Q74" s="6">
        <v>80002022</v>
      </c>
      <c r="R74" s="6" t="s">
        <v>1765</v>
      </c>
      <c r="S74" s="6"/>
      <c r="T74" t="str">
        <f t="shared" si="1"/>
        <v>80001009;80001002</v>
      </c>
      <c r="W74" t="str">
        <f t="shared" si="2"/>
        <v>80002001;80001014;80001028;80002022</v>
      </c>
      <c r="X74" s="6"/>
    </row>
    <row r="75" ht="20.1" customHeight="1" spans="1:24">
      <c r="A75" s="4">
        <v>70000011</v>
      </c>
      <c r="B75" s="6">
        <v>1001001</v>
      </c>
      <c r="C75" s="6" t="s">
        <v>1766</v>
      </c>
      <c r="D75" s="6">
        <v>3</v>
      </c>
      <c r="E75" s="6">
        <v>80001010</v>
      </c>
      <c r="F75" s="6" t="s">
        <v>354</v>
      </c>
      <c r="G75" s="6">
        <v>80001001</v>
      </c>
      <c r="H75" s="6" t="s">
        <v>1696</v>
      </c>
      <c r="I75" s="4"/>
      <c r="J75" s="4"/>
      <c r="K75" s="6">
        <v>80001002</v>
      </c>
      <c r="L75" s="6" t="s">
        <v>653</v>
      </c>
      <c r="M75" s="6">
        <v>80002001</v>
      </c>
      <c r="N75" s="6" t="s">
        <v>1763</v>
      </c>
      <c r="O75" s="6">
        <v>80001023</v>
      </c>
      <c r="P75" s="6" t="s">
        <v>1755</v>
      </c>
      <c r="Q75" s="6">
        <v>80002019</v>
      </c>
      <c r="R75" s="6" t="s">
        <v>1767</v>
      </c>
      <c r="S75" s="6"/>
      <c r="T75" t="str">
        <f t="shared" si="1"/>
        <v>80001010;80001001</v>
      </c>
      <c r="W75" t="str">
        <f t="shared" si="2"/>
        <v>80001002;80002001;80001023;80002019</v>
      </c>
      <c r="X75" s="6"/>
    </row>
    <row r="76" ht="20.1" customHeight="1" spans="1:24">
      <c r="A76" s="24">
        <v>70000012</v>
      </c>
      <c r="B76" s="6">
        <v>1001101</v>
      </c>
      <c r="C76" s="6" t="s">
        <v>1768</v>
      </c>
      <c r="D76" s="6">
        <v>3</v>
      </c>
      <c r="E76" s="6">
        <v>80001011</v>
      </c>
      <c r="F76" s="6" t="s">
        <v>1726</v>
      </c>
      <c r="G76" s="6">
        <v>80001003</v>
      </c>
      <c r="H76" s="6" t="s">
        <v>1635</v>
      </c>
      <c r="I76" s="4"/>
      <c r="J76" s="4"/>
      <c r="K76" s="6">
        <v>80001015</v>
      </c>
      <c r="L76" s="6" t="s">
        <v>1734</v>
      </c>
      <c r="M76" s="6">
        <v>80002002</v>
      </c>
      <c r="N76" s="6" t="s">
        <v>1769</v>
      </c>
      <c r="O76" s="6">
        <v>80001027</v>
      </c>
      <c r="P76" s="6" t="s">
        <v>1770</v>
      </c>
      <c r="Q76" s="6">
        <v>80002021</v>
      </c>
      <c r="R76" s="6" t="s">
        <v>1771</v>
      </c>
      <c r="S76" s="6"/>
      <c r="T76" t="str">
        <f t="shared" si="1"/>
        <v>80001011;80001003</v>
      </c>
      <c r="W76" t="str">
        <f t="shared" si="2"/>
        <v>80001015;80002002;80001027;80002021</v>
      </c>
      <c r="X76" s="6"/>
    </row>
    <row r="77" ht="20.1" customHeight="1" spans="1:24">
      <c r="A77" s="24">
        <v>70000012</v>
      </c>
      <c r="B77" s="6">
        <v>1001201</v>
      </c>
      <c r="C77" s="6" t="s">
        <v>1772</v>
      </c>
      <c r="D77" s="6">
        <v>3</v>
      </c>
      <c r="E77" s="6">
        <v>80001012</v>
      </c>
      <c r="F77" s="6" t="s">
        <v>1728</v>
      </c>
      <c r="G77" s="6">
        <v>80002025</v>
      </c>
      <c r="H77" s="6" t="s">
        <v>1773</v>
      </c>
      <c r="I77" s="4"/>
      <c r="J77" s="4"/>
      <c r="K77" s="6">
        <v>80002010</v>
      </c>
      <c r="L77" s="6" t="s">
        <v>1774</v>
      </c>
      <c r="M77" s="6">
        <v>80002003</v>
      </c>
      <c r="N77" s="6" t="s">
        <v>1775</v>
      </c>
      <c r="O77" s="6">
        <v>80001026</v>
      </c>
      <c r="P77" s="6" t="s">
        <v>1776</v>
      </c>
      <c r="Q77" s="6">
        <v>80002027</v>
      </c>
      <c r="R77" s="6" t="s">
        <v>1777</v>
      </c>
      <c r="S77" s="6"/>
      <c r="T77" t="str">
        <f t="shared" si="1"/>
        <v>80001012;80002025</v>
      </c>
      <c r="W77" t="str">
        <f t="shared" si="2"/>
        <v>80002010;80002003;80001026;80002027</v>
      </c>
      <c r="X77" s="6"/>
    </row>
    <row r="78" ht="20.1" customHeight="1" spans="1:24">
      <c r="A78" s="4">
        <v>70000011</v>
      </c>
      <c r="B78" s="6">
        <v>1001301</v>
      </c>
      <c r="C78" s="6" t="s">
        <v>1778</v>
      </c>
      <c r="D78" s="6">
        <v>3</v>
      </c>
      <c r="E78" s="6">
        <v>80001006</v>
      </c>
      <c r="F78" s="6" t="s">
        <v>1714</v>
      </c>
      <c r="G78" s="6">
        <v>80002018</v>
      </c>
      <c r="H78" s="6" t="s">
        <v>1758</v>
      </c>
      <c r="I78" s="4"/>
      <c r="J78" s="4"/>
      <c r="K78" s="6">
        <v>80002004</v>
      </c>
      <c r="L78" s="6" t="s">
        <v>1779</v>
      </c>
      <c r="M78" s="6">
        <v>80002016</v>
      </c>
      <c r="N78" s="6" t="s">
        <v>1780</v>
      </c>
      <c r="O78" s="6">
        <v>80001028</v>
      </c>
      <c r="P78" s="6" t="s">
        <v>1764</v>
      </c>
      <c r="Q78" s="6">
        <v>80002023</v>
      </c>
      <c r="R78" s="6" t="s">
        <v>1781</v>
      </c>
      <c r="S78" s="6"/>
      <c r="T78" t="str">
        <f t="shared" si="1"/>
        <v>80001006;80002018</v>
      </c>
      <c r="W78" t="str">
        <f t="shared" si="2"/>
        <v>80002004;80002016;80001028;80002023</v>
      </c>
      <c r="X78" s="6"/>
    </row>
    <row r="79" ht="20.1" customHeight="1" spans="1:24">
      <c r="A79" s="24">
        <v>70000012</v>
      </c>
      <c r="B79" s="6">
        <v>1001401</v>
      </c>
      <c r="C79" s="6" t="s">
        <v>1782</v>
      </c>
      <c r="D79" s="6">
        <v>3</v>
      </c>
      <c r="E79" s="6">
        <v>80001014</v>
      </c>
      <c r="F79" s="6" t="s">
        <v>1732</v>
      </c>
      <c r="G79" s="6">
        <v>80002021</v>
      </c>
      <c r="H79" s="6" t="s">
        <v>1771</v>
      </c>
      <c r="I79" s="4"/>
      <c r="J79" s="4"/>
      <c r="K79" s="6">
        <v>80002009</v>
      </c>
      <c r="L79" s="6" t="s">
        <v>1783</v>
      </c>
      <c r="M79" s="6">
        <v>80002013</v>
      </c>
      <c r="N79" s="6" t="s">
        <v>1784</v>
      </c>
      <c r="O79" s="6">
        <v>80001025</v>
      </c>
      <c r="P79" s="6" t="s">
        <v>1785</v>
      </c>
      <c r="Q79" s="6">
        <v>80002003</v>
      </c>
      <c r="R79" s="6" t="s">
        <v>1775</v>
      </c>
      <c r="T79" t="str">
        <f t="shared" si="1"/>
        <v>80001014;80002021</v>
      </c>
      <c r="W79" t="str">
        <f t="shared" si="2"/>
        <v>80002009;80002013;80001025;80002003</v>
      </c>
      <c r="X79" s="6"/>
    </row>
    <row r="80" ht="20.1" customHeight="1" spans="1:24">
      <c r="A80" s="4"/>
      <c r="B80" s="4"/>
      <c r="C80" s="4"/>
      <c r="D80" s="6"/>
      <c r="E80" s="4"/>
      <c r="F80" s="4"/>
      <c r="G80" s="4"/>
      <c r="H80" s="4"/>
      <c r="I80" s="4"/>
      <c r="J80" s="4"/>
      <c r="K80" s="4"/>
      <c r="L80" s="4"/>
      <c r="M80" s="4"/>
      <c r="P80" s="6"/>
      <c r="Q80" s="6"/>
      <c r="X80" s="6"/>
    </row>
    <row r="81" ht="20.1" customHeight="1" spans="1:24">
      <c r="A81" s="4"/>
      <c r="B81" s="4"/>
      <c r="C81" s="4"/>
      <c r="D81" s="6"/>
      <c r="E81" s="4"/>
      <c r="F81" s="4"/>
      <c r="G81" s="4"/>
      <c r="H81" s="4"/>
      <c r="I81" s="4"/>
      <c r="J81" s="4"/>
      <c r="K81" s="4"/>
      <c r="L81" s="4"/>
      <c r="M81" s="4"/>
      <c r="P81" s="6"/>
      <c r="Q81" s="6"/>
      <c r="X81" s="6"/>
    </row>
    <row r="82" ht="20.1" customHeight="1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P82" s="6"/>
      <c r="Q82" s="6"/>
      <c r="X82" s="6"/>
    </row>
    <row r="83" ht="20.1" customHeight="1" spans="16:24">
      <c r="P83" s="6"/>
      <c r="Q83" s="6"/>
      <c r="X83" s="6"/>
    </row>
    <row r="84" ht="20.1" customHeight="1" spans="16:24">
      <c r="P84" s="6"/>
      <c r="Q84" s="6"/>
      <c r="X84" s="6"/>
    </row>
    <row r="85" ht="20.1" customHeight="1" spans="16:24">
      <c r="P85" s="6"/>
      <c r="Q85" s="6"/>
      <c r="X85" s="6"/>
    </row>
    <row r="86" ht="20.1" customHeight="1" spans="16:24">
      <c r="P86" s="6"/>
      <c r="Q86" s="6"/>
      <c r="R86" s="6"/>
      <c r="S86" s="6"/>
      <c r="T86" s="6"/>
      <c r="U86" s="6"/>
      <c r="V86" s="6"/>
      <c r="W86" s="6"/>
      <c r="X86" s="6"/>
    </row>
    <row r="87" ht="20.1" customHeight="1" spans="2:24">
      <c r="B87" s="6">
        <v>2000001</v>
      </c>
      <c r="C87" s="6" t="s">
        <v>1786</v>
      </c>
      <c r="D87" s="6">
        <v>80002019</v>
      </c>
      <c r="E87" s="6" t="s">
        <v>1767</v>
      </c>
      <c r="F87" s="6">
        <v>80002017</v>
      </c>
      <c r="G87" s="6" t="s">
        <v>1787</v>
      </c>
      <c r="H87" s="6">
        <v>80002016</v>
      </c>
      <c r="I87" s="6" t="s">
        <v>1780</v>
      </c>
      <c r="J87" s="6">
        <v>80002014</v>
      </c>
      <c r="K87" s="6" t="s">
        <v>1788</v>
      </c>
      <c r="L87" s="6">
        <v>80002010</v>
      </c>
      <c r="M87" s="6" t="s">
        <v>1774</v>
      </c>
      <c r="N87" s="6">
        <v>80002023</v>
      </c>
      <c r="O87" s="6" t="s">
        <v>1781</v>
      </c>
      <c r="P87" s="6">
        <v>80002009</v>
      </c>
      <c r="Q87" s="6" t="s">
        <v>1783</v>
      </c>
      <c r="R87" s="6">
        <v>80002008</v>
      </c>
      <c r="S87" s="6" t="s">
        <v>1789</v>
      </c>
      <c r="T87" s="6"/>
      <c r="U87" s="8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6"/>
      <c r="W87" s="6"/>
      <c r="X87" s="6"/>
    </row>
    <row r="88" ht="20.1" customHeight="1" spans="2:21">
      <c r="B88" s="6">
        <v>2000002</v>
      </c>
      <c r="C88" s="6" t="s">
        <v>1790</v>
      </c>
      <c r="D88" s="6">
        <v>80004002</v>
      </c>
      <c r="E88" s="6" t="s">
        <v>1791</v>
      </c>
      <c r="F88" s="6">
        <v>80002021</v>
      </c>
      <c r="G88" s="6" t="s">
        <v>1771</v>
      </c>
      <c r="H88" s="6">
        <v>80002002</v>
      </c>
      <c r="I88" s="6" t="s">
        <v>1775</v>
      </c>
      <c r="J88" s="6">
        <v>80002003</v>
      </c>
      <c r="K88" s="6" t="s">
        <v>1769</v>
      </c>
      <c r="L88" s="15">
        <v>80002025</v>
      </c>
      <c r="M88" s="15" t="s">
        <v>1773</v>
      </c>
      <c r="N88" s="6">
        <v>80002014</v>
      </c>
      <c r="O88" s="6" t="s">
        <v>1788</v>
      </c>
      <c r="P88" s="6">
        <v>80002024</v>
      </c>
      <c r="Q88" s="6" t="s">
        <v>1792</v>
      </c>
      <c r="R88" s="6">
        <v>80002027</v>
      </c>
      <c r="S88" s="6" t="s">
        <v>1777</v>
      </c>
      <c r="U88" s="8" t="str">
        <f t="shared" si="3"/>
        <v>80004002;80002021;80002002;80002003;80002025;80002014;80002024;80002027</v>
      </c>
    </row>
    <row r="89" ht="20.1" customHeight="1" spans="2:21">
      <c r="B89" s="6">
        <v>2000003</v>
      </c>
      <c r="D89" s="15">
        <v>80004003</v>
      </c>
      <c r="E89" s="15" t="s">
        <v>1793</v>
      </c>
      <c r="F89" s="6">
        <v>80002002</v>
      </c>
      <c r="G89" s="6" t="s">
        <v>1769</v>
      </c>
      <c r="H89" s="6">
        <v>80002001</v>
      </c>
      <c r="I89" s="6" t="s">
        <v>1763</v>
      </c>
      <c r="J89" s="6">
        <v>80002006</v>
      </c>
      <c r="K89" s="6" t="s">
        <v>1757</v>
      </c>
      <c r="L89" s="6">
        <v>80002011</v>
      </c>
      <c r="M89" s="6" t="s">
        <v>1794</v>
      </c>
      <c r="N89" s="6">
        <v>80002018</v>
      </c>
      <c r="O89" s="6" t="s">
        <v>1758</v>
      </c>
      <c r="P89" s="6">
        <v>80002028</v>
      </c>
      <c r="Q89" s="6" t="s">
        <v>1795</v>
      </c>
      <c r="R89" s="6">
        <v>80002022</v>
      </c>
      <c r="S89" s="6" t="s">
        <v>1765</v>
      </c>
      <c r="T89" s="6"/>
      <c r="U89" s="8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1771</v>
      </c>
    </row>
    <row r="92" ht="20.1" customHeight="1" spans="2:21">
      <c r="B92" s="6">
        <v>80001001</v>
      </c>
      <c r="C92" s="6" t="s">
        <v>1696</v>
      </c>
      <c r="D92" s="6">
        <v>80002001</v>
      </c>
      <c r="E92" s="6" t="s">
        <v>1763</v>
      </c>
      <c r="F92" s="6">
        <v>80003001</v>
      </c>
      <c r="G92" s="6" t="s">
        <v>1796</v>
      </c>
      <c r="R92" s="6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6">
        <v>80001002</v>
      </c>
      <c r="C93" s="6" t="s">
        <v>653</v>
      </c>
      <c r="D93" s="6">
        <v>80002002</v>
      </c>
      <c r="E93" s="6" t="s">
        <v>1769</v>
      </c>
      <c r="F93" s="6">
        <v>80003002</v>
      </c>
      <c r="G93" s="6" t="s">
        <v>1797</v>
      </c>
      <c r="R93" s="6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6">
        <v>80001003</v>
      </c>
      <c r="C94" s="6" t="s">
        <v>1635</v>
      </c>
      <c r="D94" s="6">
        <v>80002003</v>
      </c>
      <c r="E94" s="6" t="s">
        <v>1775</v>
      </c>
      <c r="F94" s="6">
        <v>80003003</v>
      </c>
      <c r="G94" s="6" t="s">
        <v>1798</v>
      </c>
      <c r="R94" s="26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6">
        <v>80001004</v>
      </c>
      <c r="C95" s="6" t="s">
        <v>1707</v>
      </c>
      <c r="D95" s="6">
        <v>80002004</v>
      </c>
      <c r="E95" s="6" t="s">
        <v>1779</v>
      </c>
      <c r="F95" s="6">
        <v>80003004</v>
      </c>
      <c r="G95" s="6" t="s">
        <v>1799</v>
      </c>
      <c r="R95" s="6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6">
        <v>80001005</v>
      </c>
      <c r="C96" s="6" t="s">
        <v>1665</v>
      </c>
      <c r="D96" s="6">
        <v>80002005</v>
      </c>
      <c r="E96" s="6" t="s">
        <v>1800</v>
      </c>
      <c r="F96" s="6">
        <v>80003005</v>
      </c>
      <c r="G96" s="6" t="s">
        <v>1801</v>
      </c>
      <c r="R96" s="26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6">
        <v>80001006</v>
      </c>
      <c r="C97" s="6" t="s">
        <v>1714</v>
      </c>
      <c r="D97" s="6">
        <v>80002006</v>
      </c>
      <c r="E97" s="6" t="s">
        <v>1757</v>
      </c>
      <c r="F97" s="6">
        <v>80003006</v>
      </c>
      <c r="G97" s="6" t="s">
        <v>1802</v>
      </c>
      <c r="R97" s="6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6">
        <v>80001007</v>
      </c>
      <c r="C98" s="6" t="s">
        <v>1718</v>
      </c>
      <c r="D98" s="6">
        <v>80002007</v>
      </c>
      <c r="E98" s="6" t="s">
        <v>1754</v>
      </c>
      <c r="F98" s="6">
        <v>80003007</v>
      </c>
      <c r="G98" s="6" t="s">
        <v>1803</v>
      </c>
      <c r="R98" s="26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6">
        <v>80001008</v>
      </c>
      <c r="C99" s="6" t="s">
        <v>1721</v>
      </c>
      <c r="D99" s="6">
        <v>80002008</v>
      </c>
      <c r="E99" s="6" t="s">
        <v>1789</v>
      </c>
      <c r="F99" s="6">
        <v>80003008</v>
      </c>
      <c r="G99" s="6" t="s">
        <v>1804</v>
      </c>
      <c r="R99" s="6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6">
        <v>80001009</v>
      </c>
      <c r="C100" s="6" t="s">
        <v>1723</v>
      </c>
      <c r="D100" s="6">
        <v>80002009</v>
      </c>
      <c r="E100" s="6" t="s">
        <v>1783</v>
      </c>
      <c r="F100" s="6">
        <v>80003009</v>
      </c>
      <c r="G100" s="6" t="s">
        <v>1805</v>
      </c>
      <c r="R100" s="26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6">
        <v>80001010</v>
      </c>
      <c r="C101" s="6" t="s">
        <v>354</v>
      </c>
      <c r="D101" s="6">
        <v>80002010</v>
      </c>
      <c r="E101" s="6" t="s">
        <v>1774</v>
      </c>
      <c r="F101" s="6">
        <v>80003010</v>
      </c>
      <c r="G101" s="6" t="s">
        <v>1806</v>
      </c>
      <c r="R101" s="6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6">
        <v>80001011</v>
      </c>
      <c r="C102" s="6" t="s">
        <v>1726</v>
      </c>
      <c r="D102" s="6">
        <v>80002011</v>
      </c>
      <c r="E102" s="6" t="s">
        <v>1794</v>
      </c>
      <c r="F102" s="6"/>
      <c r="G102" s="6"/>
    </row>
    <row r="103" spans="2:7">
      <c r="B103" s="6">
        <v>80001012</v>
      </c>
      <c r="C103" s="6" t="s">
        <v>1728</v>
      </c>
      <c r="D103" s="6">
        <v>80002012</v>
      </c>
      <c r="E103" s="6" t="s">
        <v>1807</v>
      </c>
      <c r="F103" s="6"/>
      <c r="G103" s="6"/>
    </row>
    <row r="104" spans="2:7">
      <c r="B104" s="6">
        <v>80001013</v>
      </c>
      <c r="C104" s="6" t="s">
        <v>1730</v>
      </c>
      <c r="D104" s="6">
        <v>80002013</v>
      </c>
      <c r="E104" s="6" t="s">
        <v>1784</v>
      </c>
      <c r="F104" s="6"/>
      <c r="G104" s="6"/>
    </row>
    <row r="105" spans="2:7">
      <c r="B105" s="6">
        <v>80001014</v>
      </c>
      <c r="C105" s="6" t="s">
        <v>1732</v>
      </c>
      <c r="D105" s="6">
        <v>80002014</v>
      </c>
      <c r="E105" s="6" t="s">
        <v>1788</v>
      </c>
      <c r="F105" s="6"/>
      <c r="G105" s="6"/>
    </row>
    <row r="106" spans="2:7">
      <c r="B106" s="6">
        <v>80001015</v>
      </c>
      <c r="C106" s="6" t="s">
        <v>1734</v>
      </c>
      <c r="D106" s="6">
        <v>80002015</v>
      </c>
      <c r="E106" s="6" t="s">
        <v>1760</v>
      </c>
      <c r="F106" s="6"/>
      <c r="G106" s="6"/>
    </row>
    <row r="107" spans="2:7">
      <c r="B107" s="6">
        <v>80001016</v>
      </c>
      <c r="C107" s="6" t="s">
        <v>12</v>
      </c>
      <c r="D107" s="6">
        <v>80002016</v>
      </c>
      <c r="E107" s="6" t="s">
        <v>1780</v>
      </c>
      <c r="F107" s="6"/>
      <c r="G107" s="6"/>
    </row>
    <row r="108" spans="2:7">
      <c r="B108" s="6">
        <v>80001017</v>
      </c>
      <c r="C108" s="6" t="s">
        <v>1737</v>
      </c>
      <c r="D108" s="6">
        <v>80002017</v>
      </c>
      <c r="E108" s="6" t="s">
        <v>1787</v>
      </c>
      <c r="F108" s="6"/>
      <c r="G108" s="6"/>
    </row>
    <row r="109" spans="2:7">
      <c r="B109" s="6">
        <v>80001018</v>
      </c>
      <c r="C109" s="6" t="s">
        <v>1739</v>
      </c>
      <c r="D109" s="6">
        <v>80002018</v>
      </c>
      <c r="E109" s="6" t="s">
        <v>1758</v>
      </c>
      <c r="F109" s="6"/>
      <c r="G109" s="6"/>
    </row>
    <row r="110" spans="2:7">
      <c r="B110" s="6">
        <v>80001019</v>
      </c>
      <c r="C110" s="6" t="s">
        <v>1741</v>
      </c>
      <c r="D110" s="6">
        <v>80002019</v>
      </c>
      <c r="E110" s="6" t="s">
        <v>1767</v>
      </c>
      <c r="F110" s="6"/>
      <c r="G110" s="6"/>
    </row>
    <row r="111" spans="2:7">
      <c r="B111" s="6">
        <v>80001020</v>
      </c>
      <c r="C111" s="6" t="s">
        <v>1743</v>
      </c>
      <c r="D111" s="6">
        <v>80002020</v>
      </c>
      <c r="E111" s="6" t="s">
        <v>1808</v>
      </c>
      <c r="F111" s="6"/>
      <c r="G111" s="6"/>
    </row>
    <row r="112" spans="2:11">
      <c r="B112" s="6">
        <v>80001021</v>
      </c>
      <c r="C112" s="6" t="s">
        <v>1756</v>
      </c>
      <c r="D112" s="6">
        <v>80002021</v>
      </c>
      <c r="E112" s="6" t="s">
        <v>1771</v>
      </c>
      <c r="J112" s="15"/>
      <c r="K112" s="25" t="s">
        <v>1809</v>
      </c>
    </row>
    <row r="113" spans="2:11">
      <c r="B113" s="6">
        <v>80001022</v>
      </c>
      <c r="C113" s="6" t="s">
        <v>1759</v>
      </c>
      <c r="D113" s="6">
        <v>80002022</v>
      </c>
      <c r="E113" s="6" t="s">
        <v>1765</v>
      </c>
      <c r="J113" s="15">
        <v>1</v>
      </c>
      <c r="K113" s="15">
        <v>1</v>
      </c>
    </row>
    <row r="114" spans="2:12">
      <c r="B114" s="6">
        <v>80001023</v>
      </c>
      <c r="C114" s="6" t="s">
        <v>1755</v>
      </c>
      <c r="D114" s="6">
        <v>80002023</v>
      </c>
      <c r="E114" s="6" t="s">
        <v>1781</v>
      </c>
      <c r="J114" s="15">
        <v>2</v>
      </c>
      <c r="K114" s="15">
        <v>0.8</v>
      </c>
      <c r="L114">
        <v>0.2</v>
      </c>
    </row>
    <row r="115" spans="2:12">
      <c r="B115" s="6">
        <v>80001024</v>
      </c>
      <c r="C115" s="6" t="s">
        <v>1761</v>
      </c>
      <c r="D115" s="6">
        <v>80002024</v>
      </c>
      <c r="E115" s="6" t="s">
        <v>1792</v>
      </c>
      <c r="J115" s="15">
        <v>3</v>
      </c>
      <c r="K115" s="15">
        <v>0.6</v>
      </c>
      <c r="L115">
        <v>0.4</v>
      </c>
    </row>
    <row r="116" spans="2:5">
      <c r="B116" s="6">
        <v>80001025</v>
      </c>
      <c r="C116" s="6" t="s">
        <v>1785</v>
      </c>
      <c r="D116" s="6">
        <v>80002025</v>
      </c>
      <c r="E116" s="6" t="s">
        <v>1773</v>
      </c>
    </row>
    <row r="117" spans="2:5">
      <c r="B117" s="6">
        <v>80001026</v>
      </c>
      <c r="C117" s="6" t="s">
        <v>1776</v>
      </c>
      <c r="D117" s="6">
        <v>80002026</v>
      </c>
      <c r="E117" s="6" t="s">
        <v>1810</v>
      </c>
    </row>
    <row r="118" spans="2:5">
      <c r="B118" s="6">
        <v>80001027</v>
      </c>
      <c r="C118" s="6" t="s">
        <v>1770</v>
      </c>
      <c r="D118" s="6">
        <v>80002027</v>
      </c>
      <c r="E118" s="6" t="s">
        <v>1777</v>
      </c>
    </row>
    <row r="119" spans="2:5">
      <c r="B119" s="6">
        <v>80001028</v>
      </c>
      <c r="C119" s="6" t="s">
        <v>1764</v>
      </c>
      <c r="D119" s="6">
        <v>80002028</v>
      </c>
      <c r="E119" s="6" t="s">
        <v>1795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5"/>
    <col min="15" max="15" width="13" customWidth="1"/>
    <col min="16" max="16" width="39.25" customWidth="1"/>
  </cols>
  <sheetData>
    <row r="1" ht="20.1" customHeight="1" spans="1:20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  <c r="N1" s="4"/>
      <c r="O1" s="4"/>
      <c r="P1" s="4"/>
      <c r="Q1" s="4"/>
      <c r="R1" s="4"/>
      <c r="S1" s="4"/>
      <c r="T1" s="4"/>
    </row>
    <row r="2" ht="20.1" customHeight="1" spans="1:20">
      <c r="A2" s="6">
        <v>1</v>
      </c>
      <c r="B2" s="6">
        <v>1.375</v>
      </c>
      <c r="C2" s="6">
        <v>2.75</v>
      </c>
      <c r="D2" s="6">
        <f>$B2*总表!D$4</f>
        <v>1443.75</v>
      </c>
      <c r="E2" s="6">
        <f>$C2*总表!E$4</f>
        <v>275</v>
      </c>
      <c r="F2" s="6">
        <f>$C2*总表!F$4</f>
        <v>82.5</v>
      </c>
      <c r="G2" s="6">
        <f>$C2*总表!G$4</f>
        <v>82.5</v>
      </c>
      <c r="N2" s="6"/>
      <c r="O2" s="6" t="s">
        <v>1692</v>
      </c>
      <c r="P2" s="4"/>
      <c r="Q2" s="4"/>
      <c r="R2" s="4"/>
      <c r="S2" s="4"/>
      <c r="T2" s="4"/>
    </row>
    <row r="3" ht="20.1" customHeight="1" spans="1:20">
      <c r="A3" s="6">
        <v>2</v>
      </c>
      <c r="B3" s="6">
        <f>B2+0.125</f>
        <v>1.5</v>
      </c>
      <c r="C3" s="6">
        <f>C2+0.25</f>
        <v>3</v>
      </c>
      <c r="D3" s="6">
        <f>$B3*总表!D$4</f>
        <v>1575</v>
      </c>
      <c r="E3" s="6">
        <f>$C3*总表!E$4</f>
        <v>300</v>
      </c>
      <c r="F3" s="6">
        <f>$C3*总表!F$4</f>
        <v>90</v>
      </c>
      <c r="G3" s="6">
        <f>$C3*总表!G$4</f>
        <v>90</v>
      </c>
      <c r="I3" s="6">
        <f>D3-D2</f>
        <v>131.25</v>
      </c>
      <c r="J3" s="6">
        <f t="shared" ref="J3:L3" si="0">E3-E2</f>
        <v>25</v>
      </c>
      <c r="K3" s="6">
        <f t="shared" si="0"/>
        <v>7.5</v>
      </c>
      <c r="L3" s="6">
        <f t="shared" si="0"/>
        <v>7.5</v>
      </c>
      <c r="N3" s="6"/>
      <c r="O3" s="6" t="s">
        <v>916</v>
      </c>
      <c r="P3" s="6" t="s">
        <v>1811</v>
      </c>
      <c r="Q3" s="4"/>
      <c r="R3" s="4"/>
      <c r="S3" s="16" t="s">
        <v>920</v>
      </c>
      <c r="T3" s="4"/>
    </row>
    <row r="4" ht="20.1" customHeight="1" spans="1:20">
      <c r="A4" s="6">
        <v>3</v>
      </c>
      <c r="B4" s="6">
        <f t="shared" ref="B4:B67" si="1">B3+0.125</f>
        <v>1.625</v>
      </c>
      <c r="C4" s="6">
        <f t="shared" ref="C4" si="2">C3+0.25</f>
        <v>3.25</v>
      </c>
      <c r="D4" s="6">
        <f>$B4*总表!D$4</f>
        <v>1706.25</v>
      </c>
      <c r="E4" s="6">
        <f>$C4*总表!E$4</f>
        <v>325</v>
      </c>
      <c r="F4" s="6">
        <f>$C4*总表!F$4</f>
        <v>97.5</v>
      </c>
      <c r="G4" s="6">
        <f>$C4*总表!G$4</f>
        <v>97.5</v>
      </c>
      <c r="I4" s="6"/>
      <c r="J4" s="6"/>
      <c r="K4" s="6"/>
      <c r="L4" s="6"/>
      <c r="N4" s="6"/>
      <c r="O4" s="6" t="s">
        <v>918</v>
      </c>
      <c r="P4" s="6" t="s">
        <v>1812</v>
      </c>
      <c r="Q4" s="4"/>
      <c r="R4" s="4"/>
      <c r="S4" s="16" t="s">
        <v>922</v>
      </c>
      <c r="T4" s="4"/>
    </row>
    <row r="5" ht="20.1" customHeight="1" spans="1:20">
      <c r="A5" s="6">
        <v>4</v>
      </c>
      <c r="B5" s="6">
        <f t="shared" si="1"/>
        <v>1.75</v>
      </c>
      <c r="C5" s="6">
        <f t="shared" ref="C5" si="3">C4+0.25</f>
        <v>3.5</v>
      </c>
      <c r="D5" s="6">
        <f>$B5*总表!D$4</f>
        <v>1837.5</v>
      </c>
      <c r="E5" s="6">
        <f>$C5*总表!E$4</f>
        <v>350</v>
      </c>
      <c r="F5" s="6">
        <f>$C5*总表!F$4</f>
        <v>105</v>
      </c>
      <c r="G5" s="6">
        <f>$C5*总表!G$4</f>
        <v>105</v>
      </c>
      <c r="I5" s="6">
        <v>2887.5</v>
      </c>
      <c r="J5" s="6">
        <v>500</v>
      </c>
      <c r="K5" s="6">
        <v>41</v>
      </c>
      <c r="L5" s="6">
        <v>41</v>
      </c>
      <c r="N5" s="6"/>
      <c r="O5" s="6" t="s">
        <v>920</v>
      </c>
      <c r="P5" s="6" t="s">
        <v>1813</v>
      </c>
      <c r="Q5" s="4"/>
      <c r="R5" s="4"/>
      <c r="S5" s="16" t="s">
        <v>916</v>
      </c>
      <c r="T5" s="4"/>
    </row>
    <row r="6" ht="20.1" customHeight="1" spans="1:20">
      <c r="A6" s="6">
        <v>5</v>
      </c>
      <c r="B6" s="6">
        <f t="shared" si="1"/>
        <v>1.875</v>
      </c>
      <c r="C6" s="6">
        <f t="shared" ref="C6" si="4">C5+0.25</f>
        <v>3.75</v>
      </c>
      <c r="D6" s="6">
        <f>$B6*总表!D$4</f>
        <v>1968.75</v>
      </c>
      <c r="E6" s="6">
        <f>$C6*总表!E$4</f>
        <v>375</v>
      </c>
      <c r="F6" s="6">
        <f>$C6*总表!F$4</f>
        <v>112.5</v>
      </c>
      <c r="G6" s="6">
        <f>$C6*总表!G$4</f>
        <v>112.5</v>
      </c>
      <c r="I6" s="6">
        <f>I5-I3</f>
        <v>2756.25</v>
      </c>
      <c r="J6" s="6">
        <f t="shared" ref="J6:L6" si="5">J5-J3</f>
        <v>475</v>
      </c>
      <c r="K6" s="6">
        <f t="shared" si="5"/>
        <v>33.5</v>
      </c>
      <c r="L6" s="6">
        <f t="shared" si="5"/>
        <v>33.5</v>
      </c>
      <c r="N6" s="6"/>
      <c r="O6" s="6" t="s">
        <v>924</v>
      </c>
      <c r="P6" s="6" t="s">
        <v>1814</v>
      </c>
      <c r="Q6" s="4"/>
      <c r="R6" s="4"/>
      <c r="S6" s="16" t="s">
        <v>918</v>
      </c>
      <c r="T6" s="4"/>
    </row>
    <row r="7" ht="20.1" customHeight="1" spans="1:20">
      <c r="A7" s="6">
        <v>6</v>
      </c>
      <c r="B7" s="6">
        <f t="shared" si="1"/>
        <v>2</v>
      </c>
      <c r="C7" s="6">
        <f t="shared" ref="C7" si="6">C6+0.25</f>
        <v>4</v>
      </c>
      <c r="D7" s="6">
        <f>$B7*总表!D$4</f>
        <v>2100</v>
      </c>
      <c r="E7" s="6">
        <f>$C7*总表!E$4</f>
        <v>400</v>
      </c>
      <c r="F7" s="6">
        <f>$C7*总表!F$4</f>
        <v>120</v>
      </c>
      <c r="G7" s="6">
        <f>$C7*总表!G$4</f>
        <v>120</v>
      </c>
      <c r="N7" s="6"/>
      <c r="O7" s="4"/>
      <c r="P7" s="4"/>
      <c r="Q7" s="4"/>
      <c r="R7" s="4"/>
      <c r="S7" s="16" t="s">
        <v>924</v>
      </c>
      <c r="T7" s="4"/>
    </row>
    <row r="8" ht="20.1" customHeight="1" spans="1:20">
      <c r="A8" s="6">
        <v>7</v>
      </c>
      <c r="B8" s="6">
        <f t="shared" si="1"/>
        <v>2.125</v>
      </c>
      <c r="C8" s="6">
        <f t="shared" ref="C8" si="7">C7+0.25</f>
        <v>4.25</v>
      </c>
      <c r="D8" s="6">
        <f>$B8*总表!D$4</f>
        <v>2231.25</v>
      </c>
      <c r="E8" s="6">
        <f>$C8*总表!E$4</f>
        <v>425</v>
      </c>
      <c r="F8" s="6">
        <f>$C8*总表!F$4</f>
        <v>127.5</v>
      </c>
      <c r="G8" s="6">
        <f>$C8*总表!G$4</f>
        <v>127.5</v>
      </c>
      <c r="N8" s="6"/>
      <c r="O8" s="6" t="s">
        <v>1815</v>
      </c>
      <c r="P8" s="6">
        <f>4*5+1*5</f>
        <v>25</v>
      </c>
      <c r="Q8" s="4"/>
      <c r="R8" s="4"/>
      <c r="S8" s="4"/>
      <c r="T8" s="4"/>
    </row>
    <row r="9" ht="20.1" customHeight="1" spans="1:20">
      <c r="A9" s="6">
        <v>8</v>
      </c>
      <c r="B9" s="6">
        <f t="shared" si="1"/>
        <v>2.25</v>
      </c>
      <c r="C9" s="6">
        <f t="shared" ref="C9" si="8">C8+0.25</f>
        <v>4.5</v>
      </c>
      <c r="D9" s="6">
        <f>$B9*总表!D$4</f>
        <v>2362.5</v>
      </c>
      <c r="E9" s="6">
        <f>$C9*总表!E$4</f>
        <v>450</v>
      </c>
      <c r="F9" s="6">
        <f>$C9*总表!F$4</f>
        <v>135</v>
      </c>
      <c r="G9" s="6">
        <f>$C9*总表!G$4</f>
        <v>135</v>
      </c>
      <c r="N9" s="6"/>
      <c r="O9" s="4"/>
      <c r="P9" s="6"/>
      <c r="Q9" s="4"/>
      <c r="R9" s="4"/>
      <c r="S9" s="4"/>
      <c r="T9" s="4"/>
    </row>
    <row r="10" ht="20.1" customHeight="1" spans="1:20">
      <c r="A10" s="6">
        <v>9</v>
      </c>
      <c r="B10" s="6">
        <f t="shared" si="1"/>
        <v>2.375</v>
      </c>
      <c r="C10" s="6">
        <f t="shared" ref="C10" si="9">C9+0.25</f>
        <v>4.75</v>
      </c>
      <c r="D10" s="6">
        <f>$B10*总表!D$4</f>
        <v>2493.75</v>
      </c>
      <c r="E10" s="6">
        <f>$C10*总表!E$4</f>
        <v>475</v>
      </c>
      <c r="F10" s="6">
        <f>$C10*总表!F$4</f>
        <v>142.5</v>
      </c>
      <c r="G10" s="6">
        <f>$C10*总表!G$4</f>
        <v>142.5</v>
      </c>
      <c r="N10" s="6"/>
      <c r="O10" s="4"/>
      <c r="P10" s="6"/>
      <c r="Q10" s="4"/>
      <c r="R10" s="4"/>
      <c r="S10" s="4"/>
      <c r="T10" s="4"/>
    </row>
    <row r="11" ht="20.1" customHeight="1" spans="1:16">
      <c r="A11" s="6">
        <v>10</v>
      </c>
      <c r="B11" s="6">
        <f t="shared" si="1"/>
        <v>2.5</v>
      </c>
      <c r="C11" s="6">
        <f t="shared" ref="C11" si="10">C10+0.25</f>
        <v>5</v>
      </c>
      <c r="D11" s="6">
        <f>$B11*总表!D$4</f>
        <v>2625</v>
      </c>
      <c r="E11" s="6">
        <f>$C11*总表!E$4</f>
        <v>500</v>
      </c>
      <c r="F11" s="6">
        <f>$C11*总表!F$4</f>
        <v>150</v>
      </c>
      <c r="G11" s="6">
        <f>$C11*总表!G$4</f>
        <v>150</v>
      </c>
      <c r="N11" s="6"/>
      <c r="P11" s="15">
        <v>6</v>
      </c>
    </row>
    <row r="12" ht="20.1" customHeight="1" spans="1:16">
      <c r="A12" s="6">
        <v>11</v>
      </c>
      <c r="B12" s="6">
        <f t="shared" si="1"/>
        <v>2.625</v>
      </c>
      <c r="C12" s="6">
        <f t="shared" ref="C12" si="11">C11+0.25</f>
        <v>5.25</v>
      </c>
      <c r="D12" s="6">
        <f>$B12*总表!D$4</f>
        <v>2756.25</v>
      </c>
      <c r="E12" s="6">
        <f>$C12*总表!E$4</f>
        <v>525</v>
      </c>
      <c r="F12" s="6">
        <f>$C12*总表!F$4</f>
        <v>157.5</v>
      </c>
      <c r="G12" s="6">
        <f>$C12*总表!G$4</f>
        <v>157.5</v>
      </c>
      <c r="N12" s="6"/>
      <c r="P12" s="15"/>
    </row>
    <row r="13" ht="20.1" customHeight="1" spans="1:23">
      <c r="A13" s="6">
        <v>12</v>
      </c>
      <c r="B13" s="6">
        <f t="shared" si="1"/>
        <v>2.75</v>
      </c>
      <c r="C13" s="6">
        <f t="shared" ref="C13" si="12">C12+0.25</f>
        <v>5.5</v>
      </c>
      <c r="D13" s="6">
        <f>$B13*总表!D$4</f>
        <v>2887.5</v>
      </c>
      <c r="E13" s="6">
        <f>$C13*总表!E$4</f>
        <v>550</v>
      </c>
      <c r="F13" s="6">
        <f>$C13*总表!F$4</f>
        <v>165</v>
      </c>
      <c r="G13" s="6">
        <f>$C13*总表!G$4</f>
        <v>165</v>
      </c>
      <c r="N13" s="6"/>
      <c r="P13" s="15"/>
      <c r="S13" s="15">
        <v>1500</v>
      </c>
      <c r="T13" s="15">
        <v>1280</v>
      </c>
      <c r="U13" s="15">
        <f>S13-T13</f>
        <v>220</v>
      </c>
      <c r="V13" s="15">
        <f>U13/750</f>
        <v>0.293333333333333</v>
      </c>
      <c r="W13" s="15">
        <f>1-V13</f>
        <v>0.706666666666667</v>
      </c>
    </row>
    <row r="14" ht="20.1" customHeight="1" spans="1:23">
      <c r="A14" s="6">
        <v>13</v>
      </c>
      <c r="B14" s="6">
        <f t="shared" si="1"/>
        <v>2.875</v>
      </c>
      <c r="C14" s="6">
        <f t="shared" ref="C14" si="13">C13+0.25</f>
        <v>5.75</v>
      </c>
      <c r="D14" s="6">
        <f>$B14*总表!D$4</f>
        <v>3018.75</v>
      </c>
      <c r="E14" s="6">
        <f>$C14*总表!E$4</f>
        <v>575</v>
      </c>
      <c r="F14" s="6">
        <f>$C14*总表!F$4</f>
        <v>172.5</v>
      </c>
      <c r="G14" s="6">
        <f>$C14*总表!G$4</f>
        <v>172.5</v>
      </c>
      <c r="N14" s="6"/>
      <c r="P14" s="15">
        <v>2</v>
      </c>
      <c r="S14" s="15">
        <v>1500</v>
      </c>
      <c r="T14" s="15">
        <v>1380</v>
      </c>
      <c r="U14" s="15">
        <f t="shared" ref="U14:U16" si="14">S14-T14</f>
        <v>120</v>
      </c>
      <c r="V14" s="15">
        <f t="shared" ref="V14:V16" si="15">U14/750</f>
        <v>0.16</v>
      </c>
      <c r="W14" s="15">
        <f t="shared" ref="W14:W16" si="16">1-V14</f>
        <v>0.84</v>
      </c>
    </row>
    <row r="15" ht="20.1" customHeight="1" spans="1:23">
      <c r="A15" s="6">
        <v>14</v>
      </c>
      <c r="B15" s="6">
        <f t="shared" si="1"/>
        <v>3</v>
      </c>
      <c r="C15" s="6">
        <f t="shared" ref="C15" si="17">C14+0.25</f>
        <v>6</v>
      </c>
      <c r="D15" s="6">
        <f>$B15*总表!D$4</f>
        <v>3150</v>
      </c>
      <c r="E15" s="6">
        <f>$C15*总表!E$4</f>
        <v>600</v>
      </c>
      <c r="F15" s="6">
        <f>$C15*总表!F$4</f>
        <v>180</v>
      </c>
      <c r="G15" s="6">
        <f>$C15*总表!G$4</f>
        <v>180</v>
      </c>
      <c r="N15" s="6"/>
      <c r="P15" s="15"/>
      <c r="S15" s="15">
        <v>1500</v>
      </c>
      <c r="T15" s="15">
        <v>1480</v>
      </c>
      <c r="U15" s="15">
        <f t="shared" si="14"/>
        <v>20</v>
      </c>
      <c r="V15" s="15">
        <f t="shared" si="15"/>
        <v>0.0266666666666667</v>
      </c>
      <c r="W15" s="15">
        <f t="shared" si="16"/>
        <v>0.973333333333333</v>
      </c>
    </row>
    <row r="16" ht="20.1" customHeight="1" spans="1:23">
      <c r="A16" s="6">
        <v>15</v>
      </c>
      <c r="B16" s="6">
        <f t="shared" si="1"/>
        <v>3.125</v>
      </c>
      <c r="C16" s="6">
        <f t="shared" ref="C16" si="18">C15+0.25</f>
        <v>6.25</v>
      </c>
      <c r="D16" s="6">
        <f>$B16*总表!D$4</f>
        <v>3281.25</v>
      </c>
      <c r="E16" s="6">
        <f>$C16*总表!E$4</f>
        <v>625</v>
      </c>
      <c r="F16" s="6">
        <f>$C16*总表!F$4</f>
        <v>187.5</v>
      </c>
      <c r="G16" s="6">
        <f>$C16*总表!G$4</f>
        <v>187.5</v>
      </c>
      <c r="N16" s="6"/>
      <c r="P16" s="15"/>
      <c r="S16" s="15">
        <v>1500</v>
      </c>
      <c r="T16" s="15">
        <v>1280</v>
      </c>
      <c r="U16" s="15">
        <f t="shared" si="14"/>
        <v>220</v>
      </c>
      <c r="V16" s="15">
        <f t="shared" si="15"/>
        <v>0.293333333333333</v>
      </c>
      <c r="W16" s="15">
        <f t="shared" si="16"/>
        <v>0.706666666666667</v>
      </c>
    </row>
    <row r="17" ht="20.1" customHeight="1" spans="1:14">
      <c r="A17" s="6">
        <v>16</v>
      </c>
      <c r="B17" s="6">
        <f t="shared" si="1"/>
        <v>3.25</v>
      </c>
      <c r="C17" s="6">
        <f t="shared" ref="C17" si="19">C16+0.25</f>
        <v>6.5</v>
      </c>
      <c r="D17" s="6">
        <f>$B17*总表!D$4</f>
        <v>3412.5</v>
      </c>
      <c r="E17" s="6">
        <f>$C17*总表!E$4</f>
        <v>650</v>
      </c>
      <c r="F17" s="6">
        <f>$C17*总表!F$4</f>
        <v>195</v>
      </c>
      <c r="G17" s="6">
        <f>$C17*总表!G$4</f>
        <v>195</v>
      </c>
      <c r="N17" s="6"/>
    </row>
    <row r="18" ht="20.1" customHeight="1" spans="1:14">
      <c r="A18" s="6">
        <v>17</v>
      </c>
      <c r="B18" s="6">
        <f t="shared" si="1"/>
        <v>3.375</v>
      </c>
      <c r="C18" s="6">
        <f t="shared" ref="C18" si="20">C17+0.25</f>
        <v>6.75</v>
      </c>
      <c r="D18" s="6">
        <f>$B18*总表!D$4</f>
        <v>3543.75</v>
      </c>
      <c r="E18" s="6">
        <f>$C18*总表!E$4</f>
        <v>675</v>
      </c>
      <c r="F18" s="6">
        <f>$C18*总表!F$4</f>
        <v>202.5</v>
      </c>
      <c r="G18" s="6">
        <f>$C18*总表!G$4</f>
        <v>202.5</v>
      </c>
      <c r="N18" s="6"/>
    </row>
    <row r="19" ht="20.1" customHeight="1" spans="1:14">
      <c r="A19" s="6">
        <v>18</v>
      </c>
      <c r="B19" s="6">
        <f t="shared" si="1"/>
        <v>3.5</v>
      </c>
      <c r="C19" s="6">
        <f t="shared" ref="C19" si="21">C18+0.25</f>
        <v>7</v>
      </c>
      <c r="D19" s="6">
        <f>$B19*总表!D$4</f>
        <v>3675</v>
      </c>
      <c r="E19" s="6">
        <f>$C19*总表!E$4</f>
        <v>700</v>
      </c>
      <c r="F19" s="6">
        <f>$C19*总表!F$4</f>
        <v>210</v>
      </c>
      <c r="G19" s="6">
        <f>$C19*总表!G$4</f>
        <v>210</v>
      </c>
      <c r="N19" s="6"/>
    </row>
    <row r="20" ht="20.1" customHeight="1" spans="1:18">
      <c r="A20" s="6">
        <v>19</v>
      </c>
      <c r="B20" s="6">
        <f t="shared" si="1"/>
        <v>3.625</v>
      </c>
      <c r="C20" s="6">
        <f t="shared" ref="C20" si="22">C19+0.25</f>
        <v>7.25</v>
      </c>
      <c r="D20" s="6">
        <f>$B20*总表!D$4</f>
        <v>3806.25</v>
      </c>
      <c r="E20" s="6">
        <f>$C20*总表!E$4</f>
        <v>725</v>
      </c>
      <c r="F20" s="6">
        <f>$C20*总表!F$4</f>
        <v>217.5</v>
      </c>
      <c r="G20" s="6">
        <f>$C20*总表!G$4</f>
        <v>217.5</v>
      </c>
      <c r="N20" s="6"/>
      <c r="O20" s="6"/>
      <c r="P20" s="6"/>
      <c r="Q20" s="6"/>
      <c r="R20" s="15"/>
    </row>
    <row r="21" ht="20.1" customHeight="1" spans="1:18">
      <c r="A21" s="6">
        <v>20</v>
      </c>
      <c r="B21" s="6">
        <f t="shared" si="1"/>
        <v>3.75</v>
      </c>
      <c r="C21" s="6">
        <f t="shared" ref="C21" si="23">C20+0.25</f>
        <v>7.5</v>
      </c>
      <c r="D21" s="6">
        <f>$B21*总表!D$4</f>
        <v>3937.5</v>
      </c>
      <c r="E21" s="6">
        <f>$C21*总表!E$4</f>
        <v>750</v>
      </c>
      <c r="F21" s="6">
        <f>$C21*总表!F$4</f>
        <v>225</v>
      </c>
      <c r="G21" s="6">
        <f>$C21*总表!G$4</f>
        <v>225</v>
      </c>
      <c r="N21" s="6"/>
      <c r="O21" s="6" t="s">
        <v>1631</v>
      </c>
      <c r="P21" s="8"/>
      <c r="Q21" s="6"/>
      <c r="R21" s="15"/>
    </row>
    <row r="22" ht="20.1" customHeight="1" spans="1:18">
      <c r="A22" s="6">
        <v>21</v>
      </c>
      <c r="B22" s="6">
        <f t="shared" si="1"/>
        <v>3.875</v>
      </c>
      <c r="C22" s="6">
        <f t="shared" ref="C22" si="24">C21+0.25</f>
        <v>7.75</v>
      </c>
      <c r="D22" s="6">
        <f>$B22*总表!D$4</f>
        <v>4068.75</v>
      </c>
      <c r="E22" s="6">
        <f>$C22*总表!E$4</f>
        <v>775</v>
      </c>
      <c r="F22" s="6">
        <f>$C22*总表!F$4</f>
        <v>232.5</v>
      </c>
      <c r="G22" s="6">
        <f>$C22*总表!G$4</f>
        <v>232.5</v>
      </c>
      <c r="N22" s="6" t="s">
        <v>1816</v>
      </c>
      <c r="O22" s="6" t="s">
        <v>1817</v>
      </c>
      <c r="P22" s="8" t="s">
        <v>1818</v>
      </c>
      <c r="Q22" s="6"/>
      <c r="R22" s="15"/>
    </row>
    <row r="23" ht="20.1" customHeight="1" spans="1:18">
      <c r="A23" s="6">
        <v>22</v>
      </c>
      <c r="B23" s="6">
        <f t="shared" si="1"/>
        <v>4</v>
      </c>
      <c r="C23" s="6">
        <f t="shared" ref="C23" si="25">C22+0.25</f>
        <v>8</v>
      </c>
      <c r="D23" s="6">
        <f>$B23*总表!D$4</f>
        <v>4200</v>
      </c>
      <c r="E23" s="6">
        <f>$C23*总表!E$4</f>
        <v>800</v>
      </c>
      <c r="F23" s="6">
        <f>$C23*总表!F$4</f>
        <v>240</v>
      </c>
      <c r="G23" s="6">
        <f>$C23*总表!G$4</f>
        <v>240</v>
      </c>
      <c r="N23" s="6" t="s">
        <v>1759</v>
      </c>
      <c r="O23" s="6" t="s">
        <v>1819</v>
      </c>
      <c r="P23" s="8" t="s">
        <v>1820</v>
      </c>
      <c r="Q23" s="6"/>
      <c r="R23" s="15"/>
    </row>
    <row r="24" ht="20.1" customHeight="1" spans="1:18">
      <c r="A24" s="6">
        <v>23</v>
      </c>
      <c r="B24" s="6">
        <f t="shared" si="1"/>
        <v>4.125</v>
      </c>
      <c r="C24" s="6">
        <f t="shared" ref="C24" si="26">C23+0.25</f>
        <v>8.25</v>
      </c>
      <c r="D24" s="6">
        <f>$B24*总表!D$4</f>
        <v>4331.25</v>
      </c>
      <c r="E24" s="6">
        <f>$C24*总表!E$4</f>
        <v>825</v>
      </c>
      <c r="F24" s="6">
        <f>$C24*总表!F$4</f>
        <v>247.5</v>
      </c>
      <c r="G24" s="6">
        <f>$C24*总表!G$4</f>
        <v>247.5</v>
      </c>
      <c r="N24" s="6" t="s">
        <v>1755</v>
      </c>
      <c r="O24" s="6" t="s">
        <v>1755</v>
      </c>
      <c r="P24" s="8" t="s">
        <v>1821</v>
      </c>
      <c r="Q24" s="6"/>
      <c r="R24" s="15"/>
    </row>
    <row r="25" ht="20.1" customHeight="1" spans="1:18">
      <c r="A25" s="6">
        <v>24</v>
      </c>
      <c r="B25" s="6">
        <f t="shared" si="1"/>
        <v>4.25</v>
      </c>
      <c r="C25" s="6">
        <f t="shared" ref="C25" si="27">C24+0.25</f>
        <v>8.5</v>
      </c>
      <c r="D25" s="6">
        <f>$B25*总表!D$4</f>
        <v>4462.5</v>
      </c>
      <c r="E25" s="6">
        <f>$C25*总表!E$4</f>
        <v>850</v>
      </c>
      <c r="F25" s="6">
        <f>$C25*总表!F$4</f>
        <v>255</v>
      </c>
      <c r="G25" s="6">
        <f>$C25*总表!G$4</f>
        <v>255</v>
      </c>
      <c r="N25" s="6" t="s">
        <v>1761</v>
      </c>
      <c r="O25" s="6" t="s">
        <v>1822</v>
      </c>
      <c r="P25" s="8" t="s">
        <v>1823</v>
      </c>
      <c r="Q25" s="6"/>
      <c r="R25" s="15"/>
    </row>
    <row r="26" ht="20.1" customHeight="1" spans="1:18">
      <c r="A26" s="6">
        <v>25</v>
      </c>
      <c r="B26" s="6">
        <f t="shared" si="1"/>
        <v>4.375</v>
      </c>
      <c r="C26" s="6">
        <f t="shared" ref="C26" si="28">C25+0.25</f>
        <v>8.75</v>
      </c>
      <c r="D26" s="6">
        <f>$B26*总表!D$4</f>
        <v>4593.75</v>
      </c>
      <c r="E26" s="6">
        <f>$C26*总表!E$4</f>
        <v>875</v>
      </c>
      <c r="F26" s="6">
        <f>$C26*总表!F$4</f>
        <v>262.5</v>
      </c>
      <c r="G26" s="6">
        <f>$C26*总表!G$4</f>
        <v>262.5</v>
      </c>
      <c r="N26" s="6" t="s">
        <v>1785</v>
      </c>
      <c r="O26" s="6" t="s">
        <v>1824</v>
      </c>
      <c r="P26" s="8" t="s">
        <v>1825</v>
      </c>
      <c r="Q26" s="6"/>
      <c r="R26" s="15"/>
    </row>
    <row r="27" ht="20.1" customHeight="1" spans="1:16">
      <c r="A27" s="6">
        <v>26</v>
      </c>
      <c r="B27" s="6">
        <f t="shared" si="1"/>
        <v>4.5</v>
      </c>
      <c r="C27" s="6">
        <f t="shared" ref="C27" si="29">C26+0.25</f>
        <v>9</v>
      </c>
      <c r="D27" s="6">
        <f>$B27*总表!D$4</f>
        <v>4725</v>
      </c>
      <c r="E27" s="6">
        <f>$C27*总表!E$4</f>
        <v>900</v>
      </c>
      <c r="F27" s="6">
        <f>$C27*总表!F$4</f>
        <v>270</v>
      </c>
      <c r="G27" s="6">
        <f>$C27*总表!G$4</f>
        <v>270</v>
      </c>
      <c r="N27" s="6" t="s">
        <v>1776</v>
      </c>
      <c r="O27" s="6" t="s">
        <v>1826</v>
      </c>
      <c r="P27" s="8" t="s">
        <v>1827</v>
      </c>
    </row>
    <row r="28" ht="20.1" customHeight="1" spans="1:16">
      <c r="A28" s="6">
        <v>27</v>
      </c>
      <c r="B28" s="6">
        <f t="shared" si="1"/>
        <v>4.625</v>
      </c>
      <c r="C28" s="6">
        <f t="shared" ref="C28" si="30">C27+0.25</f>
        <v>9.25</v>
      </c>
      <c r="D28" s="6">
        <f>$B28*总表!D$4</f>
        <v>4856.25</v>
      </c>
      <c r="E28" s="6">
        <f>$C28*总表!E$4</f>
        <v>925</v>
      </c>
      <c r="F28" s="6">
        <f>$C28*总表!F$4</f>
        <v>277.5</v>
      </c>
      <c r="G28" s="6">
        <f>$C28*总表!G$4</f>
        <v>277.5</v>
      </c>
      <c r="N28" s="6" t="s">
        <v>1770</v>
      </c>
      <c r="P28" s="8" t="s">
        <v>1828</v>
      </c>
    </row>
    <row r="29" ht="20.1" customHeight="1" spans="1:16">
      <c r="A29" s="6">
        <v>28</v>
      </c>
      <c r="B29" s="6">
        <f t="shared" si="1"/>
        <v>4.75</v>
      </c>
      <c r="C29" s="6">
        <f t="shared" ref="C29" si="31">C28+0.25</f>
        <v>9.5</v>
      </c>
      <c r="D29" s="6">
        <f>$B29*总表!D$4</f>
        <v>4987.5</v>
      </c>
      <c r="E29" s="6">
        <f>$C29*总表!E$4</f>
        <v>950</v>
      </c>
      <c r="F29" s="6">
        <f>$C29*总表!F$4</f>
        <v>285</v>
      </c>
      <c r="G29" s="6">
        <f>$C29*总表!G$4</f>
        <v>285</v>
      </c>
      <c r="N29" s="6" t="s">
        <v>1829</v>
      </c>
      <c r="P29" s="8" t="s">
        <v>1830</v>
      </c>
    </row>
    <row r="30" ht="20.1" customHeight="1" spans="1:14">
      <c r="A30" s="6">
        <v>29</v>
      </c>
      <c r="B30" s="6">
        <f t="shared" si="1"/>
        <v>4.875</v>
      </c>
      <c r="C30" s="6">
        <f t="shared" ref="C30" si="32">C29+0.25</f>
        <v>9.75</v>
      </c>
      <c r="D30" s="6">
        <f>$B30*总表!D$4</f>
        <v>5118.75</v>
      </c>
      <c r="E30" s="6">
        <f>$C30*总表!E$4</f>
        <v>975</v>
      </c>
      <c r="F30" s="6">
        <f>$C30*总表!F$4</f>
        <v>292.5</v>
      </c>
      <c r="G30" s="6">
        <f>$C30*总表!G$4</f>
        <v>292.5</v>
      </c>
      <c r="N30" s="6"/>
    </row>
    <row r="31" ht="20.1" customHeight="1" spans="1:17">
      <c r="A31" s="6">
        <v>30</v>
      </c>
      <c r="B31" s="6">
        <f t="shared" si="1"/>
        <v>5</v>
      </c>
      <c r="C31" s="6">
        <f t="shared" ref="C31" si="33">C30+0.25</f>
        <v>10</v>
      </c>
      <c r="D31" s="6">
        <f>$B31*总表!D$4</f>
        <v>5250</v>
      </c>
      <c r="E31" s="6">
        <f>$C31*总表!E$4</f>
        <v>1000</v>
      </c>
      <c r="F31" s="6">
        <f>$C31*总表!F$4</f>
        <v>300</v>
      </c>
      <c r="G31" s="6">
        <f>$C31*总表!G$4</f>
        <v>300</v>
      </c>
      <c r="M31" s="6"/>
      <c r="N31" s="6"/>
      <c r="O31" s="6"/>
      <c r="P31" s="6"/>
      <c r="Q31" s="6"/>
    </row>
    <row r="32" ht="20.1" customHeight="1" spans="1:17">
      <c r="A32" s="6">
        <v>31</v>
      </c>
      <c r="B32" s="6">
        <f t="shared" si="1"/>
        <v>5.125</v>
      </c>
      <c r="C32" s="6">
        <f t="shared" ref="C32" si="34">C31+0.25</f>
        <v>10.25</v>
      </c>
      <c r="D32" s="6">
        <f>$B32*总表!D$4</f>
        <v>5381.25</v>
      </c>
      <c r="E32" s="6">
        <f>$C32*总表!E$4</f>
        <v>1025</v>
      </c>
      <c r="F32" s="6">
        <f>$C32*总表!F$4</f>
        <v>307.5</v>
      </c>
      <c r="G32" s="6">
        <f>$C32*总表!G$4</f>
        <v>307.5</v>
      </c>
      <c r="M32" s="6"/>
      <c r="N32" s="6"/>
      <c r="O32" s="6" t="s">
        <v>1831</v>
      </c>
      <c r="P32" s="6"/>
      <c r="Q32" s="6"/>
    </row>
    <row r="33" ht="20.1" customHeight="1" spans="1:17">
      <c r="A33" s="6">
        <v>32</v>
      </c>
      <c r="B33" s="6">
        <f t="shared" si="1"/>
        <v>5.25</v>
      </c>
      <c r="C33" s="6">
        <f t="shared" ref="C33" si="35">C32+0.25</f>
        <v>10.5</v>
      </c>
      <c r="D33" s="6">
        <f>$B33*总表!D$4</f>
        <v>5512.5</v>
      </c>
      <c r="E33" s="6">
        <f>$C33*总表!E$4</f>
        <v>1050</v>
      </c>
      <c r="F33" s="6">
        <f>$C33*总表!F$4</f>
        <v>315</v>
      </c>
      <c r="G33" s="6">
        <f>$C33*总表!G$4</f>
        <v>315</v>
      </c>
      <c r="M33" s="6"/>
      <c r="N33" s="6"/>
      <c r="O33" s="6" t="s">
        <v>38</v>
      </c>
      <c r="P33" s="6" t="s">
        <v>1832</v>
      </c>
      <c r="Q33" s="6"/>
    </row>
    <row r="34" ht="20.1" customHeight="1" spans="1:17">
      <c r="A34" s="6">
        <v>33</v>
      </c>
      <c r="B34" s="6">
        <f t="shared" si="1"/>
        <v>5.375</v>
      </c>
      <c r="C34" s="6">
        <f t="shared" ref="C34" si="36">C33+0.25</f>
        <v>10.75</v>
      </c>
      <c r="D34" s="6">
        <f>$B34*总表!D$4</f>
        <v>5643.75</v>
      </c>
      <c r="E34" s="6">
        <f>$C34*总表!E$4</f>
        <v>1075</v>
      </c>
      <c r="F34" s="6">
        <f>$C34*总表!F$4</f>
        <v>322.5</v>
      </c>
      <c r="G34" s="6">
        <f>$C34*总表!G$4</f>
        <v>322.5</v>
      </c>
      <c r="M34" s="6"/>
      <c r="N34" s="6"/>
      <c r="O34" s="6" t="s">
        <v>1655</v>
      </c>
      <c r="P34" s="6" t="s">
        <v>1833</v>
      </c>
      <c r="Q34" s="6"/>
    </row>
    <row r="35" ht="20.1" customHeight="1" spans="1:17">
      <c r="A35" s="6">
        <v>34</v>
      </c>
      <c r="B35" s="6">
        <f t="shared" si="1"/>
        <v>5.5</v>
      </c>
      <c r="C35" s="6">
        <f t="shared" ref="C35" si="37">C34+0.25</f>
        <v>11</v>
      </c>
      <c r="D35" s="6">
        <f>$B35*总表!D$4</f>
        <v>5775</v>
      </c>
      <c r="E35" s="6">
        <f>$C35*总表!E$4</f>
        <v>1100</v>
      </c>
      <c r="F35" s="6">
        <f>$C35*总表!F$4</f>
        <v>330</v>
      </c>
      <c r="G35" s="6">
        <f>$C35*总表!G$4</f>
        <v>330</v>
      </c>
      <c r="M35" s="6"/>
      <c r="N35" s="6" t="s">
        <v>1834</v>
      </c>
      <c r="O35" s="6" t="s">
        <v>290</v>
      </c>
      <c r="P35" s="6" t="s">
        <v>1835</v>
      </c>
      <c r="Q35" s="6"/>
    </row>
    <row r="36" ht="20.1" customHeight="1" spans="1:17">
      <c r="A36" s="6">
        <v>35</v>
      </c>
      <c r="B36" s="6">
        <f t="shared" si="1"/>
        <v>5.625</v>
      </c>
      <c r="C36" s="6">
        <f t="shared" ref="C36" si="38">C35+0.25</f>
        <v>11.25</v>
      </c>
      <c r="D36" s="6">
        <f>$B36*总表!D$4</f>
        <v>5906.25</v>
      </c>
      <c r="E36" s="6">
        <f>$C36*总表!E$4</f>
        <v>1125</v>
      </c>
      <c r="F36" s="6">
        <f>$C36*总表!F$4</f>
        <v>337.5</v>
      </c>
      <c r="G36" s="6">
        <f>$C36*总表!G$4</f>
        <v>337.5</v>
      </c>
      <c r="M36" s="6"/>
      <c r="N36" s="6"/>
      <c r="O36" s="6"/>
      <c r="P36" s="6"/>
      <c r="Q36" s="6"/>
    </row>
    <row r="37" ht="20.1" customHeight="1" spans="1:14">
      <c r="A37" s="6">
        <v>36</v>
      </c>
      <c r="B37" s="6">
        <f t="shared" si="1"/>
        <v>5.75</v>
      </c>
      <c r="C37" s="6">
        <f t="shared" ref="C37" si="39">C36+0.25</f>
        <v>11.5</v>
      </c>
      <c r="D37" s="6">
        <f>$B37*总表!D$4</f>
        <v>6037.5</v>
      </c>
      <c r="E37" s="6">
        <f>$C37*总表!E$4</f>
        <v>1150</v>
      </c>
      <c r="F37" s="6">
        <f>$C37*总表!F$4</f>
        <v>345</v>
      </c>
      <c r="G37" s="6">
        <f>$C37*总表!G$4</f>
        <v>345</v>
      </c>
      <c r="N37" s="6"/>
    </row>
    <row r="38" ht="20.1" customHeight="1" spans="1:14">
      <c r="A38" s="6">
        <v>37</v>
      </c>
      <c r="B38" s="6">
        <f t="shared" si="1"/>
        <v>5.875</v>
      </c>
      <c r="C38" s="6">
        <f t="shared" ref="C38" si="40">C37+0.25</f>
        <v>11.75</v>
      </c>
      <c r="D38" s="6">
        <f>$B38*总表!D$4</f>
        <v>6168.75</v>
      </c>
      <c r="E38" s="6">
        <f>$C38*总表!E$4</f>
        <v>1175</v>
      </c>
      <c r="F38" s="6">
        <f>$C38*总表!F$4</f>
        <v>352.5</v>
      </c>
      <c r="G38" s="6">
        <f>$C38*总表!G$4</f>
        <v>352.5</v>
      </c>
      <c r="N38" s="6"/>
    </row>
    <row r="39" ht="20.1" customHeight="1" spans="1:14">
      <c r="A39" s="6">
        <v>38</v>
      </c>
      <c r="B39" s="6">
        <f t="shared" si="1"/>
        <v>6</v>
      </c>
      <c r="C39" s="6">
        <f t="shared" ref="C39" si="41">C38+0.25</f>
        <v>12</v>
      </c>
      <c r="D39" s="6">
        <f>$B39*总表!D$4</f>
        <v>6300</v>
      </c>
      <c r="E39" s="6">
        <f>$C39*总表!E$4</f>
        <v>1200</v>
      </c>
      <c r="F39" s="6">
        <f>$C39*总表!F$4</f>
        <v>360</v>
      </c>
      <c r="G39" s="6">
        <f>$C39*总表!G$4</f>
        <v>360</v>
      </c>
      <c r="N39" s="6"/>
    </row>
    <row r="40" ht="20.1" customHeight="1" spans="1:14">
      <c r="A40" s="6">
        <v>39</v>
      </c>
      <c r="B40" s="6">
        <f t="shared" si="1"/>
        <v>6.125</v>
      </c>
      <c r="C40" s="6">
        <f t="shared" ref="C40" si="42">C39+0.25</f>
        <v>12.25</v>
      </c>
      <c r="D40" s="6">
        <f>$B40*总表!D$4</f>
        <v>6431.25</v>
      </c>
      <c r="E40" s="6">
        <f>$C40*总表!E$4</f>
        <v>1225</v>
      </c>
      <c r="F40" s="6">
        <f>$C40*总表!F$4</f>
        <v>367.5</v>
      </c>
      <c r="G40" s="6">
        <f>$C40*总表!G$4</f>
        <v>367.5</v>
      </c>
      <c r="N40" s="6"/>
    </row>
    <row r="41" ht="20.1" customHeight="1" spans="1:14">
      <c r="A41" s="6">
        <v>40</v>
      </c>
      <c r="B41" s="6">
        <f t="shared" si="1"/>
        <v>6.25</v>
      </c>
      <c r="C41" s="6">
        <f t="shared" ref="C41" si="43">C40+0.25</f>
        <v>12.5</v>
      </c>
      <c r="D41" s="6">
        <f>$B41*总表!D$4</f>
        <v>6562.5</v>
      </c>
      <c r="E41" s="6">
        <f>$C41*总表!E$4</f>
        <v>1250</v>
      </c>
      <c r="F41" s="6">
        <f>$C41*总表!F$4</f>
        <v>375</v>
      </c>
      <c r="G41" s="6">
        <f>$C41*总表!G$4</f>
        <v>375</v>
      </c>
      <c r="N41" s="6"/>
    </row>
    <row r="42" ht="20.1" customHeight="1" spans="1:14">
      <c r="A42" s="6">
        <v>41</v>
      </c>
      <c r="B42" s="6">
        <f t="shared" si="1"/>
        <v>6.375</v>
      </c>
      <c r="C42" s="6">
        <f t="shared" ref="C42" si="44">C41+0.25</f>
        <v>12.75</v>
      </c>
      <c r="D42" s="6">
        <f>$B42*总表!D$4</f>
        <v>6693.75</v>
      </c>
      <c r="E42" s="6">
        <f>$C42*总表!E$4</f>
        <v>1275</v>
      </c>
      <c r="F42" s="6">
        <f>$C42*总表!F$4</f>
        <v>382.5</v>
      </c>
      <c r="G42" s="6">
        <f>$C42*总表!G$4</f>
        <v>382.5</v>
      </c>
      <c r="N42" s="6"/>
    </row>
    <row r="43" ht="20.1" customHeight="1" spans="1:14">
      <c r="A43" s="6">
        <v>42</v>
      </c>
      <c r="B43" s="6">
        <f t="shared" si="1"/>
        <v>6.5</v>
      </c>
      <c r="C43" s="6">
        <f t="shared" ref="C43" si="45">C42+0.25</f>
        <v>13</v>
      </c>
      <c r="D43" s="6">
        <f>$B43*总表!D$4</f>
        <v>6825</v>
      </c>
      <c r="E43" s="6">
        <f>$C43*总表!E$4</f>
        <v>1300</v>
      </c>
      <c r="F43" s="6">
        <f>$C43*总表!F$4</f>
        <v>390</v>
      </c>
      <c r="G43" s="6">
        <f>$C43*总表!G$4</f>
        <v>390</v>
      </c>
      <c r="N43" s="6"/>
    </row>
    <row r="44" ht="20.1" customHeight="1" spans="1:14">
      <c r="A44" s="6">
        <v>43</v>
      </c>
      <c r="B44" s="6">
        <f t="shared" si="1"/>
        <v>6.625</v>
      </c>
      <c r="C44" s="6">
        <f t="shared" ref="C44" si="46">C43+0.25</f>
        <v>13.25</v>
      </c>
      <c r="D44" s="6">
        <f>$B44*总表!D$4</f>
        <v>6956.25</v>
      </c>
      <c r="E44" s="6">
        <f>$C44*总表!E$4</f>
        <v>1325</v>
      </c>
      <c r="F44" s="6">
        <f>$C44*总表!F$4</f>
        <v>397.5</v>
      </c>
      <c r="G44" s="6">
        <f>$C44*总表!G$4</f>
        <v>397.5</v>
      </c>
      <c r="N44" s="6"/>
    </row>
    <row r="45" ht="20.1" customHeight="1" spans="1:14">
      <c r="A45" s="6">
        <v>44</v>
      </c>
      <c r="B45" s="6">
        <f t="shared" si="1"/>
        <v>6.75</v>
      </c>
      <c r="C45" s="6">
        <f t="shared" ref="C45" si="47">C44+0.25</f>
        <v>13.5</v>
      </c>
      <c r="D45" s="6">
        <f>$B45*总表!D$4</f>
        <v>7087.5</v>
      </c>
      <c r="E45" s="6">
        <f>$C45*总表!E$4</f>
        <v>1350</v>
      </c>
      <c r="F45" s="6">
        <f>$C45*总表!F$4</f>
        <v>405</v>
      </c>
      <c r="G45" s="6">
        <f>$C45*总表!G$4</f>
        <v>405</v>
      </c>
      <c r="N45" s="6"/>
    </row>
    <row r="46" ht="20.1" customHeight="1" spans="1:14">
      <c r="A46" s="6">
        <v>45</v>
      </c>
      <c r="B46" s="6">
        <f t="shared" si="1"/>
        <v>6.875</v>
      </c>
      <c r="C46" s="6">
        <f t="shared" ref="C46" si="48">C45+0.25</f>
        <v>13.75</v>
      </c>
      <c r="D46" s="6">
        <f>$B46*总表!D$4</f>
        <v>7218.75</v>
      </c>
      <c r="E46" s="6">
        <f>$C46*总表!E$4</f>
        <v>1375</v>
      </c>
      <c r="F46" s="6">
        <f>$C46*总表!F$4</f>
        <v>412.5</v>
      </c>
      <c r="G46" s="6">
        <f>$C46*总表!G$4</f>
        <v>412.5</v>
      </c>
      <c r="N46" s="6"/>
    </row>
    <row r="47" ht="20.1" customHeight="1" spans="1:14">
      <c r="A47" s="6">
        <v>46</v>
      </c>
      <c r="B47" s="6">
        <f t="shared" si="1"/>
        <v>7</v>
      </c>
      <c r="C47" s="6">
        <f t="shared" ref="C47" si="49">C46+0.25</f>
        <v>14</v>
      </c>
      <c r="D47" s="6">
        <f>$B47*总表!D$4</f>
        <v>7350</v>
      </c>
      <c r="E47" s="6">
        <f>$C47*总表!E$4</f>
        <v>1400</v>
      </c>
      <c r="F47" s="6">
        <f>$C47*总表!F$4</f>
        <v>420</v>
      </c>
      <c r="G47" s="6">
        <f>$C47*总表!G$4</f>
        <v>420</v>
      </c>
      <c r="N47" s="6"/>
    </row>
    <row r="48" ht="20.1" customHeight="1" spans="1:14">
      <c r="A48" s="6">
        <v>47</v>
      </c>
      <c r="B48" s="6">
        <f t="shared" si="1"/>
        <v>7.125</v>
      </c>
      <c r="C48" s="6">
        <f t="shared" ref="C48" si="50">C47+0.25</f>
        <v>14.25</v>
      </c>
      <c r="D48" s="6">
        <f>$B48*总表!D$4</f>
        <v>7481.25</v>
      </c>
      <c r="E48" s="6">
        <f>$C48*总表!E$4</f>
        <v>1425</v>
      </c>
      <c r="F48" s="6">
        <f>$C48*总表!F$4</f>
        <v>427.5</v>
      </c>
      <c r="G48" s="6">
        <f>$C48*总表!G$4</f>
        <v>427.5</v>
      </c>
      <c r="N48" s="6"/>
    </row>
    <row r="49" ht="20.1" customHeight="1" spans="1:14">
      <c r="A49" s="6">
        <v>48</v>
      </c>
      <c r="B49" s="6">
        <f t="shared" si="1"/>
        <v>7.25</v>
      </c>
      <c r="C49" s="6">
        <f t="shared" ref="C49" si="51">C48+0.25</f>
        <v>14.5</v>
      </c>
      <c r="D49" s="6">
        <f>$B49*总表!D$4</f>
        <v>7612.5</v>
      </c>
      <c r="E49" s="6">
        <f>$C49*总表!E$4</f>
        <v>1450</v>
      </c>
      <c r="F49" s="6">
        <f>$C49*总表!F$4</f>
        <v>435</v>
      </c>
      <c r="G49" s="6">
        <f>$C49*总表!G$4</f>
        <v>435</v>
      </c>
      <c r="N49" s="6"/>
    </row>
    <row r="50" ht="20.1" customHeight="1" spans="1:14">
      <c r="A50" s="6">
        <v>49</v>
      </c>
      <c r="B50" s="6">
        <f t="shared" si="1"/>
        <v>7.375</v>
      </c>
      <c r="C50" s="6">
        <f t="shared" ref="C50" si="52">C49+0.25</f>
        <v>14.75</v>
      </c>
      <c r="D50" s="6">
        <f>$B50*总表!D$4</f>
        <v>7743.75</v>
      </c>
      <c r="E50" s="6">
        <f>$C50*总表!E$4</f>
        <v>1475</v>
      </c>
      <c r="F50" s="6">
        <f>$C50*总表!F$4</f>
        <v>442.5</v>
      </c>
      <c r="G50" s="6">
        <f>$C50*总表!G$4</f>
        <v>442.5</v>
      </c>
      <c r="N50" s="6"/>
    </row>
    <row r="51" ht="20.1" customHeight="1" spans="1:14">
      <c r="A51" s="6">
        <v>50</v>
      </c>
      <c r="B51" s="6">
        <f t="shared" si="1"/>
        <v>7.5</v>
      </c>
      <c r="C51" s="6">
        <f t="shared" ref="C51" si="53">C50+0.25</f>
        <v>15</v>
      </c>
      <c r="D51" s="6">
        <f>$B51*总表!D$4</f>
        <v>7875</v>
      </c>
      <c r="E51" s="6">
        <f>$C51*总表!E$4</f>
        <v>1500</v>
      </c>
      <c r="F51" s="6">
        <f>$C51*总表!F$4</f>
        <v>450</v>
      </c>
      <c r="G51" s="6">
        <f>$C51*总表!G$4</f>
        <v>450</v>
      </c>
      <c r="N51" s="6"/>
    </row>
    <row r="52" ht="20.1" customHeight="1" spans="1:14">
      <c r="A52" s="6">
        <v>51</v>
      </c>
      <c r="B52" s="6">
        <f t="shared" si="1"/>
        <v>7.625</v>
      </c>
      <c r="C52" s="6">
        <f t="shared" ref="C52" si="54">C51+0.25</f>
        <v>15.25</v>
      </c>
      <c r="D52" s="6">
        <f>$B52*总表!D$4</f>
        <v>8006.25</v>
      </c>
      <c r="E52" s="6">
        <f>$C52*总表!E$4</f>
        <v>1525</v>
      </c>
      <c r="F52" s="6">
        <f>$C52*总表!F$4</f>
        <v>457.5</v>
      </c>
      <c r="G52" s="6">
        <f>$C52*总表!G$4</f>
        <v>457.5</v>
      </c>
      <c r="N52" s="6"/>
    </row>
    <row r="53" ht="20.1" customHeight="1" spans="1:14">
      <c r="A53" s="6">
        <v>52</v>
      </c>
      <c r="B53" s="6">
        <f t="shared" si="1"/>
        <v>7.75</v>
      </c>
      <c r="C53" s="6">
        <f t="shared" ref="C53" si="55">C52+0.25</f>
        <v>15.5</v>
      </c>
      <c r="D53" s="6">
        <f>$B53*总表!D$4</f>
        <v>8137.5</v>
      </c>
      <c r="E53" s="6">
        <f>$C53*总表!E$4</f>
        <v>1550</v>
      </c>
      <c r="F53" s="6">
        <f>$C53*总表!F$4</f>
        <v>465</v>
      </c>
      <c r="G53" s="6">
        <f>$C53*总表!G$4</f>
        <v>465</v>
      </c>
      <c r="N53" s="6"/>
    </row>
    <row r="54" ht="20.1" customHeight="1" spans="1:14">
      <c r="A54" s="6">
        <v>53</v>
      </c>
      <c r="B54" s="6">
        <f t="shared" si="1"/>
        <v>7.875</v>
      </c>
      <c r="C54" s="6">
        <f t="shared" ref="C54" si="56">C53+0.25</f>
        <v>15.75</v>
      </c>
      <c r="D54" s="6">
        <f>$B54*总表!D$4</f>
        <v>8268.75</v>
      </c>
      <c r="E54" s="6">
        <f>$C54*总表!E$4</f>
        <v>1575</v>
      </c>
      <c r="F54" s="6">
        <f>$C54*总表!F$4</f>
        <v>472.5</v>
      </c>
      <c r="G54" s="6">
        <f>$C54*总表!G$4</f>
        <v>472.5</v>
      </c>
      <c r="N54" s="6"/>
    </row>
    <row r="55" ht="20.1" customHeight="1" spans="1:14">
      <c r="A55" s="6">
        <v>54</v>
      </c>
      <c r="B55" s="6">
        <f t="shared" si="1"/>
        <v>8</v>
      </c>
      <c r="C55" s="6">
        <f t="shared" ref="C55" si="57">C54+0.25</f>
        <v>16</v>
      </c>
      <c r="D55" s="6">
        <f>$B55*总表!D$4</f>
        <v>8400</v>
      </c>
      <c r="E55" s="6">
        <f>$C55*总表!E$4</f>
        <v>1600</v>
      </c>
      <c r="F55" s="6">
        <f>$C55*总表!F$4</f>
        <v>480</v>
      </c>
      <c r="G55" s="6">
        <f>$C55*总表!G$4</f>
        <v>480</v>
      </c>
      <c r="N55" s="6"/>
    </row>
    <row r="56" ht="20.1" customHeight="1" spans="1:14">
      <c r="A56" s="6">
        <v>55</v>
      </c>
      <c r="B56" s="6">
        <f t="shared" si="1"/>
        <v>8.125</v>
      </c>
      <c r="C56" s="6">
        <f t="shared" ref="C56" si="58">C55+0.25</f>
        <v>16.25</v>
      </c>
      <c r="D56" s="6">
        <f>$B56*总表!D$4</f>
        <v>8531.25</v>
      </c>
      <c r="E56" s="6">
        <f>$C56*总表!E$4</f>
        <v>1625</v>
      </c>
      <c r="F56" s="6">
        <f>$C56*总表!F$4</f>
        <v>487.5</v>
      </c>
      <c r="G56" s="6">
        <f>$C56*总表!G$4</f>
        <v>487.5</v>
      </c>
      <c r="N56" s="6"/>
    </row>
    <row r="57" ht="20.1" customHeight="1" spans="1:14">
      <c r="A57" s="6">
        <v>56</v>
      </c>
      <c r="B57" s="6">
        <f t="shared" si="1"/>
        <v>8.25</v>
      </c>
      <c r="C57" s="6">
        <f t="shared" ref="C57" si="59">C56+0.25</f>
        <v>16.5</v>
      </c>
      <c r="D57" s="6">
        <f>$B57*总表!D$4</f>
        <v>8662.5</v>
      </c>
      <c r="E57" s="6">
        <f>$C57*总表!E$4</f>
        <v>1650</v>
      </c>
      <c r="F57" s="6">
        <f>$C57*总表!F$4</f>
        <v>495</v>
      </c>
      <c r="G57" s="6">
        <f>$C57*总表!G$4</f>
        <v>495</v>
      </c>
      <c r="N57" s="6"/>
    </row>
    <row r="58" ht="20.1" customHeight="1" spans="1:14">
      <c r="A58" s="6">
        <v>57</v>
      </c>
      <c r="B58" s="6">
        <f t="shared" si="1"/>
        <v>8.375</v>
      </c>
      <c r="C58" s="6">
        <f t="shared" ref="C58" si="60">C57+0.25</f>
        <v>16.75</v>
      </c>
      <c r="D58" s="6">
        <f>$B58*总表!D$4</f>
        <v>8793.75</v>
      </c>
      <c r="E58" s="6">
        <f>$C58*总表!E$4</f>
        <v>1675</v>
      </c>
      <c r="F58" s="6">
        <f>$C58*总表!F$4</f>
        <v>502.5</v>
      </c>
      <c r="G58" s="6">
        <f>$C58*总表!G$4</f>
        <v>502.5</v>
      </c>
      <c r="N58" s="6"/>
    </row>
    <row r="59" ht="20.1" customHeight="1" spans="1:14">
      <c r="A59" s="6">
        <v>58</v>
      </c>
      <c r="B59" s="6">
        <f t="shared" si="1"/>
        <v>8.5</v>
      </c>
      <c r="C59" s="6">
        <f t="shared" ref="C59" si="61">C58+0.25</f>
        <v>17</v>
      </c>
      <c r="D59" s="6">
        <f>$B59*总表!D$4</f>
        <v>8925</v>
      </c>
      <c r="E59" s="6">
        <f>$C59*总表!E$4</f>
        <v>1700</v>
      </c>
      <c r="F59" s="6">
        <f>$C59*总表!F$4</f>
        <v>510</v>
      </c>
      <c r="G59" s="6">
        <f>$C59*总表!G$4</f>
        <v>510</v>
      </c>
      <c r="N59" s="6"/>
    </row>
    <row r="60" ht="20.1" customHeight="1" spans="1:14">
      <c r="A60" s="6">
        <v>59</v>
      </c>
      <c r="B60" s="6">
        <f t="shared" si="1"/>
        <v>8.625</v>
      </c>
      <c r="C60" s="6">
        <f t="shared" ref="C60" si="62">C59+0.25</f>
        <v>17.25</v>
      </c>
      <c r="D60" s="6">
        <f>$B60*总表!D$4</f>
        <v>9056.25</v>
      </c>
      <c r="E60" s="6">
        <f>$C60*总表!E$4</f>
        <v>1725</v>
      </c>
      <c r="F60" s="6">
        <f>$C60*总表!F$4</f>
        <v>517.5</v>
      </c>
      <c r="G60" s="6">
        <f>$C60*总表!G$4</f>
        <v>517.5</v>
      </c>
      <c r="N60" s="6"/>
    </row>
    <row r="61" ht="20.1" customHeight="1" spans="1:14">
      <c r="A61" s="6">
        <v>60</v>
      </c>
      <c r="B61" s="6">
        <f t="shared" si="1"/>
        <v>8.75</v>
      </c>
      <c r="C61" s="6">
        <f t="shared" ref="C61" si="63">C60+0.25</f>
        <v>17.5</v>
      </c>
      <c r="D61" s="6">
        <f>$B61*总表!D$4</f>
        <v>9187.5</v>
      </c>
      <c r="E61" s="6">
        <f>$C61*总表!E$4</f>
        <v>1750</v>
      </c>
      <c r="F61" s="6">
        <f>$C61*总表!F$4</f>
        <v>525</v>
      </c>
      <c r="G61" s="6">
        <f>$C61*总表!G$4</f>
        <v>525</v>
      </c>
      <c r="N61" s="6"/>
    </row>
    <row r="62" ht="20.1" customHeight="1" spans="1:14">
      <c r="A62" s="6">
        <v>61</v>
      </c>
      <c r="B62" s="6">
        <f t="shared" si="1"/>
        <v>8.875</v>
      </c>
      <c r="C62" s="6">
        <f t="shared" ref="C62" si="64">C61+0.25</f>
        <v>17.75</v>
      </c>
      <c r="D62" s="6">
        <f>$B62*总表!D$4</f>
        <v>9318.75</v>
      </c>
      <c r="E62" s="6">
        <f>$C62*总表!E$4</f>
        <v>1775</v>
      </c>
      <c r="F62" s="6">
        <f>$C62*总表!F$4</f>
        <v>532.5</v>
      </c>
      <c r="G62" s="6">
        <f>$C62*总表!G$4</f>
        <v>532.5</v>
      </c>
      <c r="N62" s="6"/>
    </row>
    <row r="63" ht="20.1" customHeight="1" spans="1:14">
      <c r="A63" s="6">
        <v>62</v>
      </c>
      <c r="B63" s="6">
        <f t="shared" si="1"/>
        <v>9</v>
      </c>
      <c r="C63" s="6">
        <f t="shared" ref="C63" si="65">C62+0.25</f>
        <v>18</v>
      </c>
      <c r="D63" s="6">
        <f>$B63*总表!D$4</f>
        <v>9450</v>
      </c>
      <c r="E63" s="6">
        <f>$C63*总表!E$4</f>
        <v>1800</v>
      </c>
      <c r="F63" s="6">
        <f>$C63*总表!F$4</f>
        <v>540</v>
      </c>
      <c r="G63" s="6">
        <f>$C63*总表!G$4</f>
        <v>540</v>
      </c>
      <c r="N63" s="6"/>
    </row>
    <row r="64" ht="20.1" customHeight="1" spans="1:14">
      <c r="A64" s="6">
        <v>63</v>
      </c>
      <c r="B64" s="6">
        <f t="shared" si="1"/>
        <v>9.125</v>
      </c>
      <c r="C64" s="6">
        <f t="shared" ref="C64" si="66">C63+0.25</f>
        <v>18.25</v>
      </c>
      <c r="D64" s="6">
        <f>$B64*总表!D$4</f>
        <v>9581.25</v>
      </c>
      <c r="E64" s="6">
        <f>$C64*总表!E$4</f>
        <v>1825</v>
      </c>
      <c r="F64" s="6">
        <f>$C64*总表!F$4</f>
        <v>547.5</v>
      </c>
      <c r="G64" s="6">
        <f>$C64*总表!G$4</f>
        <v>547.5</v>
      </c>
      <c r="N64" s="6"/>
    </row>
    <row r="65" ht="20.1" customHeight="1" spans="1:14">
      <c r="A65" s="6">
        <v>64</v>
      </c>
      <c r="B65" s="6">
        <f t="shared" si="1"/>
        <v>9.25</v>
      </c>
      <c r="C65" s="6">
        <f t="shared" ref="C65" si="67">C64+0.25</f>
        <v>18.5</v>
      </c>
      <c r="D65" s="6">
        <f>$B65*总表!D$4</f>
        <v>9712.5</v>
      </c>
      <c r="E65" s="6">
        <f>$C65*总表!E$4</f>
        <v>1850</v>
      </c>
      <c r="F65" s="6">
        <f>$C65*总表!F$4</f>
        <v>555</v>
      </c>
      <c r="G65" s="6">
        <f>$C65*总表!G$4</f>
        <v>555</v>
      </c>
      <c r="N65" s="6"/>
    </row>
    <row r="66" ht="20.1" customHeight="1" spans="1:14">
      <c r="A66" s="6">
        <v>65</v>
      </c>
      <c r="B66" s="6">
        <f t="shared" si="1"/>
        <v>9.375</v>
      </c>
      <c r="C66" s="6">
        <f t="shared" ref="C66" si="68">C65+0.25</f>
        <v>18.75</v>
      </c>
      <c r="D66" s="6">
        <f>$B66*总表!D$4</f>
        <v>9843.75</v>
      </c>
      <c r="E66" s="6">
        <f>$C66*总表!E$4</f>
        <v>1875</v>
      </c>
      <c r="F66" s="6">
        <f>$C66*总表!F$4</f>
        <v>562.5</v>
      </c>
      <c r="G66" s="6">
        <f>$C66*总表!G$4</f>
        <v>562.5</v>
      </c>
      <c r="N66" s="6"/>
    </row>
    <row r="67" ht="20.1" customHeight="1" spans="1:14">
      <c r="A67" s="6">
        <v>66</v>
      </c>
      <c r="B67" s="6">
        <f t="shared" si="1"/>
        <v>9.5</v>
      </c>
      <c r="C67" s="6">
        <f t="shared" ref="C67" si="69">C66+0.25</f>
        <v>19</v>
      </c>
      <c r="D67" s="6">
        <f>$B67*总表!D$4</f>
        <v>9975</v>
      </c>
      <c r="E67" s="6">
        <f>$C67*总表!E$4</f>
        <v>1900</v>
      </c>
      <c r="F67" s="6">
        <f>$C67*总表!F$4</f>
        <v>570</v>
      </c>
      <c r="G67" s="6">
        <f>$C67*总表!G$4</f>
        <v>570</v>
      </c>
      <c r="N67" s="6"/>
    </row>
    <row r="68" ht="20.1" customHeight="1" spans="1:14">
      <c r="A68" s="6">
        <v>67</v>
      </c>
      <c r="B68" s="6">
        <f t="shared" ref="B68:B71" si="70">B67+0.125</f>
        <v>9.625</v>
      </c>
      <c r="C68" s="6">
        <f t="shared" ref="C68" si="71">C67+0.25</f>
        <v>19.25</v>
      </c>
      <c r="D68" s="6">
        <f>$B68*总表!D$4</f>
        <v>10106.25</v>
      </c>
      <c r="E68" s="6">
        <f>$C68*总表!E$4</f>
        <v>1925</v>
      </c>
      <c r="F68" s="6">
        <f>$C68*总表!F$4</f>
        <v>577.5</v>
      </c>
      <c r="G68" s="6">
        <f>$C68*总表!G$4</f>
        <v>577.5</v>
      </c>
      <c r="N68" s="6"/>
    </row>
    <row r="69" ht="20.1" customHeight="1" spans="1:14">
      <c r="A69" s="6">
        <v>68</v>
      </c>
      <c r="B69" s="6">
        <f t="shared" si="70"/>
        <v>9.75</v>
      </c>
      <c r="C69" s="6">
        <f t="shared" ref="C69" si="72">C68+0.25</f>
        <v>19.5</v>
      </c>
      <c r="D69" s="6">
        <f>$B69*总表!D$4</f>
        <v>10237.5</v>
      </c>
      <c r="E69" s="6">
        <f>$C69*总表!E$4</f>
        <v>1950</v>
      </c>
      <c r="F69" s="6">
        <f>$C69*总表!F$4</f>
        <v>585</v>
      </c>
      <c r="G69" s="6">
        <f>$C69*总表!G$4</f>
        <v>585</v>
      </c>
      <c r="N69" s="6"/>
    </row>
    <row r="70" ht="20.1" customHeight="1" spans="1:14">
      <c r="A70" s="6">
        <v>69</v>
      </c>
      <c r="B70" s="6">
        <f t="shared" si="70"/>
        <v>9.875</v>
      </c>
      <c r="C70" s="6">
        <f t="shared" ref="C70" si="73">C69+0.25</f>
        <v>19.75</v>
      </c>
      <c r="D70" s="6">
        <f>$B70*总表!D$4</f>
        <v>10368.75</v>
      </c>
      <c r="E70" s="6">
        <f>$C70*总表!E$4</f>
        <v>1975</v>
      </c>
      <c r="F70" s="6">
        <f>$C70*总表!F$4</f>
        <v>592.5</v>
      </c>
      <c r="G70" s="6">
        <f>$C70*总表!G$4</f>
        <v>592.5</v>
      </c>
      <c r="N70" s="6"/>
    </row>
    <row r="71" ht="20.1" customHeight="1" spans="1:14">
      <c r="A71" s="6">
        <v>70</v>
      </c>
      <c r="B71" s="6">
        <f t="shared" si="70"/>
        <v>10</v>
      </c>
      <c r="C71" s="6">
        <f t="shared" ref="C71" si="74">C70+0.25</f>
        <v>20</v>
      </c>
      <c r="D71" s="6">
        <f>$B71*总表!D$4</f>
        <v>10500</v>
      </c>
      <c r="E71" s="6">
        <f>$C71*总表!E$4</f>
        <v>2000</v>
      </c>
      <c r="F71" s="6">
        <f>$C71*总表!F$4</f>
        <v>600</v>
      </c>
      <c r="G71" s="6">
        <f>$C71*总表!G$4</f>
        <v>600</v>
      </c>
      <c r="N71" s="6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5"/>
  </cols>
  <sheetData>
    <row r="1" s="4" customFormat="1" ht="20.1" customHeight="1" spans="1:22">
      <c r="A1" s="6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  <c r="L1" s="9" t="s">
        <v>1836</v>
      </c>
      <c r="M1" s="9" t="s">
        <v>491</v>
      </c>
      <c r="N1" s="9" t="s">
        <v>2</v>
      </c>
      <c r="O1" s="9" t="s">
        <v>3</v>
      </c>
      <c r="P1" s="9" t="s">
        <v>28</v>
      </c>
      <c r="Q1" s="9" t="s">
        <v>29</v>
      </c>
      <c r="S1" s="9" t="s">
        <v>1837</v>
      </c>
      <c r="T1" s="9" t="s">
        <v>25</v>
      </c>
      <c r="U1" s="9" t="s">
        <v>26</v>
      </c>
      <c r="V1" s="9" t="s">
        <v>1838</v>
      </c>
    </row>
    <row r="2" s="4" customFormat="1" ht="20.1" customHeight="1" spans="1:27">
      <c r="A2" s="6">
        <v>1</v>
      </c>
      <c r="B2" s="6">
        <v>4.2</v>
      </c>
      <c r="C2" s="6">
        <v>4.2</v>
      </c>
      <c r="D2" s="6">
        <f>$B2*总表!D$4</f>
        <v>4410</v>
      </c>
      <c r="E2" s="6">
        <f>$C2*总表!E$4</f>
        <v>420</v>
      </c>
      <c r="F2" s="6">
        <f>$C2*总表!F$4</f>
        <v>126</v>
      </c>
      <c r="G2" s="6">
        <f>$C2*总表!G$4</f>
        <v>126</v>
      </c>
      <c r="L2" s="6">
        <v>1</v>
      </c>
      <c r="M2" s="6">
        <v>2</v>
      </c>
      <c r="N2" s="6">
        <f>LOOKUP($M2,$A:$A,D:D)</f>
        <v>4987.5</v>
      </c>
      <c r="O2" s="6">
        <f t="shared" ref="O2:Q2" si="0">LOOKUP($M2,$A:$A,E:E)</f>
        <v>475</v>
      </c>
      <c r="P2" s="6">
        <f t="shared" si="0"/>
        <v>142.5</v>
      </c>
      <c r="Q2" s="6">
        <f t="shared" si="0"/>
        <v>142.5</v>
      </c>
      <c r="S2" s="6">
        <v>1</v>
      </c>
      <c r="T2" s="6">
        <v>3</v>
      </c>
      <c r="U2" s="6">
        <v>1</v>
      </c>
      <c r="V2" s="6">
        <v>1</v>
      </c>
      <c r="X2" s="6">
        <f>ROUND(LOOKUP($T2,$A:$A,D:D)*U2,0)</f>
        <v>5565</v>
      </c>
      <c r="Y2" s="6">
        <f>ROUND(LOOKUP($T2,$A:$A,E:E)*V2,0)</f>
        <v>530</v>
      </c>
      <c r="Z2" s="6">
        <f>ROUND(LOOKUP($T2,$A:$A,F:F),0)</f>
        <v>159</v>
      </c>
      <c r="AA2" s="6">
        <f>ROUND(LOOKUP($T2,$A:$A,G:G),0)</f>
        <v>159</v>
      </c>
    </row>
    <row r="3" s="4" customFormat="1" ht="20.1" customHeight="1" spans="1:27">
      <c r="A3" s="6">
        <v>2</v>
      </c>
      <c r="B3" s="6">
        <f>B2+0.55</f>
        <v>4.75</v>
      </c>
      <c r="C3" s="6">
        <f>C2+0.55</f>
        <v>4.75</v>
      </c>
      <c r="D3" s="6">
        <f>$B3*总表!D$4</f>
        <v>4987.5</v>
      </c>
      <c r="E3" s="6">
        <f>$C3*总表!E$4</f>
        <v>475</v>
      </c>
      <c r="F3" s="6">
        <f>$C3*总表!F$4</f>
        <v>142.5</v>
      </c>
      <c r="G3" s="6">
        <f>$C3*总表!G$4</f>
        <v>142.5</v>
      </c>
      <c r="L3" s="6">
        <v>2</v>
      </c>
      <c r="M3" s="6">
        <v>4</v>
      </c>
      <c r="N3" s="6">
        <f t="shared" ref="N3:N31" si="1">LOOKUP($M3,$A:$A,D:D)</f>
        <v>6142.5</v>
      </c>
      <c r="O3" s="6">
        <f t="shared" ref="O3:O31" si="2">LOOKUP($M3,$A:$A,E:E)</f>
        <v>585</v>
      </c>
      <c r="P3" s="6">
        <f t="shared" ref="P3:P31" si="3">LOOKUP($M3,$A:$A,F:F)</f>
        <v>175.5</v>
      </c>
      <c r="Q3" s="6">
        <f t="shared" ref="Q3:Q31" si="4">LOOKUP($M3,$A:$A,G:G)</f>
        <v>175.5</v>
      </c>
      <c r="S3" s="6">
        <v>1</v>
      </c>
      <c r="T3" s="6">
        <v>5</v>
      </c>
      <c r="U3" s="6">
        <v>1</v>
      </c>
      <c r="V3" s="6">
        <v>1</v>
      </c>
      <c r="X3" s="6">
        <f t="shared" ref="X3:X66" si="5">ROUND(LOOKUP($T3,$A:$A,D:D)*U3,0)</f>
        <v>6720</v>
      </c>
      <c r="Y3" s="6">
        <f t="shared" ref="Y3:Y66" si="6">ROUND(LOOKUP($T3,$A:$A,E:E)*V3,0)</f>
        <v>640</v>
      </c>
      <c r="Z3" s="6">
        <f t="shared" ref="Z3:Z66" si="7">ROUND(LOOKUP($T3,$A:$A,F:F),0)</f>
        <v>192</v>
      </c>
      <c r="AA3" s="6">
        <f t="shared" ref="AA3:AA66" si="8">ROUND(LOOKUP($T3,$A:$A,G:G),0)</f>
        <v>192</v>
      </c>
    </row>
    <row r="4" s="4" customFormat="1" ht="20.1" customHeight="1" spans="1:27">
      <c r="A4" s="6">
        <v>3</v>
      </c>
      <c r="B4" s="6">
        <f t="shared" ref="B4:B67" si="9">B3+0.55</f>
        <v>5.3</v>
      </c>
      <c r="C4" s="6">
        <f t="shared" ref="C4:C67" si="10">C3+0.55</f>
        <v>5.3</v>
      </c>
      <c r="D4" s="6">
        <f>$B4*总表!D$4</f>
        <v>5565</v>
      </c>
      <c r="E4" s="6">
        <f>$C4*总表!E$4</f>
        <v>530</v>
      </c>
      <c r="F4" s="6">
        <f>$C4*总表!F$4</f>
        <v>159</v>
      </c>
      <c r="G4" s="6">
        <f>$C4*总表!G$4</f>
        <v>159</v>
      </c>
      <c r="L4" s="6">
        <v>3</v>
      </c>
      <c r="M4" s="6">
        <v>6</v>
      </c>
      <c r="N4" s="6">
        <f t="shared" si="1"/>
        <v>7297.5</v>
      </c>
      <c r="O4" s="6">
        <f t="shared" si="2"/>
        <v>695</v>
      </c>
      <c r="P4" s="6">
        <f t="shared" si="3"/>
        <v>208.5</v>
      </c>
      <c r="Q4" s="6">
        <f t="shared" si="4"/>
        <v>208.5</v>
      </c>
      <c r="S4" s="6">
        <v>1</v>
      </c>
      <c r="T4" s="6">
        <v>5</v>
      </c>
      <c r="U4" s="6">
        <v>1</v>
      </c>
      <c r="V4" s="6">
        <v>1</v>
      </c>
      <c r="X4" s="6">
        <f t="shared" si="5"/>
        <v>6720</v>
      </c>
      <c r="Y4" s="6">
        <f t="shared" si="6"/>
        <v>640</v>
      </c>
      <c r="Z4" s="6">
        <f t="shared" si="7"/>
        <v>192</v>
      </c>
      <c r="AA4" s="6">
        <f t="shared" si="8"/>
        <v>192</v>
      </c>
    </row>
    <row r="5" s="4" customFormat="1" ht="20.1" customHeight="1" spans="1:27">
      <c r="A5" s="6">
        <v>4</v>
      </c>
      <c r="B5" s="6">
        <f t="shared" si="9"/>
        <v>5.85</v>
      </c>
      <c r="C5" s="6">
        <f t="shared" si="10"/>
        <v>5.85</v>
      </c>
      <c r="D5" s="6">
        <f>$B5*总表!D$4</f>
        <v>6142.5</v>
      </c>
      <c r="E5" s="6">
        <f>$C5*总表!E$4</f>
        <v>585</v>
      </c>
      <c r="F5" s="6">
        <f>$C5*总表!F$4</f>
        <v>175.5</v>
      </c>
      <c r="G5" s="6">
        <f>$C5*总表!G$4</f>
        <v>175.5</v>
      </c>
      <c r="L5" s="6">
        <v>4</v>
      </c>
      <c r="M5" s="6">
        <v>8</v>
      </c>
      <c r="N5" s="6">
        <f t="shared" si="1"/>
        <v>8452.5</v>
      </c>
      <c r="O5" s="6">
        <f t="shared" si="2"/>
        <v>805</v>
      </c>
      <c r="P5" s="6">
        <f t="shared" si="3"/>
        <v>241.5</v>
      </c>
      <c r="Q5" s="6">
        <f t="shared" si="4"/>
        <v>241.5</v>
      </c>
      <c r="S5" s="6">
        <v>1</v>
      </c>
      <c r="T5" s="6">
        <v>5</v>
      </c>
      <c r="U5" s="6">
        <v>1</v>
      </c>
      <c r="V5" s="6">
        <v>1</v>
      </c>
      <c r="X5" s="6">
        <f t="shared" si="5"/>
        <v>6720</v>
      </c>
      <c r="Y5" s="6">
        <f t="shared" si="6"/>
        <v>640</v>
      </c>
      <c r="Z5" s="6">
        <f t="shared" si="7"/>
        <v>192</v>
      </c>
      <c r="AA5" s="6">
        <f t="shared" si="8"/>
        <v>192</v>
      </c>
    </row>
    <row r="6" s="4" customFormat="1" ht="20.1" customHeight="1" spans="1:27">
      <c r="A6" s="6">
        <v>5</v>
      </c>
      <c r="B6" s="6">
        <f t="shared" si="9"/>
        <v>6.4</v>
      </c>
      <c r="C6" s="6">
        <f t="shared" si="10"/>
        <v>6.4</v>
      </c>
      <c r="D6" s="6">
        <f>$B6*总表!D$4</f>
        <v>6720</v>
      </c>
      <c r="E6" s="6">
        <f>$C6*总表!E$4</f>
        <v>640</v>
      </c>
      <c r="F6" s="6">
        <f>$C6*总表!F$4</f>
        <v>192</v>
      </c>
      <c r="G6" s="6">
        <f>$C6*总表!G$4</f>
        <v>192</v>
      </c>
      <c r="L6" s="6">
        <v>5</v>
      </c>
      <c r="M6" s="6">
        <v>10</v>
      </c>
      <c r="N6" s="6">
        <f t="shared" si="1"/>
        <v>9607.5</v>
      </c>
      <c r="O6" s="6">
        <f t="shared" si="2"/>
        <v>915</v>
      </c>
      <c r="P6" s="6">
        <f t="shared" si="3"/>
        <v>274.5</v>
      </c>
      <c r="Q6" s="6">
        <f t="shared" si="4"/>
        <v>274.5</v>
      </c>
      <c r="S6" s="6">
        <v>3</v>
      </c>
      <c r="T6" s="6">
        <v>5</v>
      </c>
      <c r="U6" s="6">
        <v>2.5</v>
      </c>
      <c r="V6" s="6">
        <v>1.3</v>
      </c>
      <c r="X6" s="6">
        <f t="shared" si="5"/>
        <v>16800</v>
      </c>
      <c r="Y6" s="6">
        <f t="shared" si="6"/>
        <v>832</v>
      </c>
      <c r="Z6" s="6">
        <f t="shared" si="7"/>
        <v>192</v>
      </c>
      <c r="AA6" s="6">
        <f t="shared" si="8"/>
        <v>192</v>
      </c>
    </row>
    <row r="7" s="4" customFormat="1" ht="20.1" customHeight="1" spans="1:27">
      <c r="A7" s="6">
        <v>6</v>
      </c>
      <c r="B7" s="6">
        <f t="shared" si="9"/>
        <v>6.95</v>
      </c>
      <c r="C7" s="6">
        <f t="shared" si="10"/>
        <v>6.95</v>
      </c>
      <c r="D7" s="6">
        <f>$B7*总表!D$4</f>
        <v>7297.5</v>
      </c>
      <c r="E7" s="6">
        <f>$C7*总表!E$4</f>
        <v>695</v>
      </c>
      <c r="F7" s="6">
        <f>$C7*总表!F$4</f>
        <v>208.5</v>
      </c>
      <c r="G7" s="6">
        <f>$C7*总表!G$4</f>
        <v>208.5</v>
      </c>
      <c r="L7" s="6">
        <v>6</v>
      </c>
      <c r="M7" s="6">
        <v>12</v>
      </c>
      <c r="N7" s="6">
        <f t="shared" si="1"/>
        <v>10762.5</v>
      </c>
      <c r="O7" s="6">
        <f t="shared" si="2"/>
        <v>1025</v>
      </c>
      <c r="P7" s="6">
        <f t="shared" si="3"/>
        <v>307.5</v>
      </c>
      <c r="Q7" s="6">
        <f t="shared" si="4"/>
        <v>307.5</v>
      </c>
      <c r="S7" s="6">
        <v>1</v>
      </c>
      <c r="T7" s="6">
        <v>8</v>
      </c>
      <c r="U7" s="6">
        <v>1</v>
      </c>
      <c r="V7" s="6">
        <v>1</v>
      </c>
      <c r="X7" s="6">
        <f t="shared" si="5"/>
        <v>8453</v>
      </c>
      <c r="Y7" s="6">
        <f t="shared" si="6"/>
        <v>805</v>
      </c>
      <c r="Z7" s="6">
        <f t="shared" si="7"/>
        <v>242</v>
      </c>
      <c r="AA7" s="6">
        <f t="shared" si="8"/>
        <v>242</v>
      </c>
    </row>
    <row r="8" s="4" customFormat="1" ht="20.1" customHeight="1" spans="1:27">
      <c r="A8" s="6">
        <v>7</v>
      </c>
      <c r="B8" s="6">
        <f t="shared" si="9"/>
        <v>7.5</v>
      </c>
      <c r="C8" s="6">
        <f t="shared" si="10"/>
        <v>7.5</v>
      </c>
      <c r="D8" s="6">
        <f>$B8*总表!D$4</f>
        <v>7875</v>
      </c>
      <c r="E8" s="6">
        <f>$C8*总表!E$4</f>
        <v>750</v>
      </c>
      <c r="F8" s="6">
        <f>$C8*总表!F$4</f>
        <v>225</v>
      </c>
      <c r="G8" s="6">
        <f>$C8*总表!G$4</f>
        <v>225</v>
      </c>
      <c r="L8" s="6">
        <v>7</v>
      </c>
      <c r="M8" s="6">
        <v>14</v>
      </c>
      <c r="N8" s="6">
        <f t="shared" si="1"/>
        <v>11917.5</v>
      </c>
      <c r="O8" s="6">
        <f t="shared" si="2"/>
        <v>1135</v>
      </c>
      <c r="P8" s="6">
        <f t="shared" si="3"/>
        <v>340.5</v>
      </c>
      <c r="Q8" s="6">
        <f t="shared" si="4"/>
        <v>340.5</v>
      </c>
      <c r="S8" s="6">
        <v>1</v>
      </c>
      <c r="T8" s="6">
        <v>8</v>
      </c>
      <c r="U8" s="6">
        <v>1</v>
      </c>
      <c r="V8" s="6">
        <v>1</v>
      </c>
      <c r="X8" s="6">
        <f t="shared" si="5"/>
        <v>8453</v>
      </c>
      <c r="Y8" s="6">
        <f t="shared" si="6"/>
        <v>805</v>
      </c>
      <c r="Z8" s="6">
        <f t="shared" si="7"/>
        <v>242</v>
      </c>
      <c r="AA8" s="6">
        <f t="shared" si="8"/>
        <v>242</v>
      </c>
    </row>
    <row r="9" s="4" customFormat="1" ht="20.1" customHeight="1" spans="1:27">
      <c r="A9" s="6">
        <v>8</v>
      </c>
      <c r="B9" s="6">
        <f t="shared" si="9"/>
        <v>8.05</v>
      </c>
      <c r="C9" s="6">
        <f t="shared" si="10"/>
        <v>8.05</v>
      </c>
      <c r="D9" s="6">
        <f>$B9*总表!D$4</f>
        <v>8452.5</v>
      </c>
      <c r="E9" s="6">
        <f>$C9*总表!E$4</f>
        <v>805</v>
      </c>
      <c r="F9" s="6">
        <f>$C9*总表!F$4</f>
        <v>241.5</v>
      </c>
      <c r="G9" s="6">
        <f>$C9*总表!G$4</f>
        <v>241.5</v>
      </c>
      <c r="L9" s="6">
        <v>8</v>
      </c>
      <c r="M9" s="6">
        <v>16</v>
      </c>
      <c r="N9" s="6">
        <f t="shared" si="1"/>
        <v>13072.5</v>
      </c>
      <c r="O9" s="6">
        <f t="shared" si="2"/>
        <v>1245</v>
      </c>
      <c r="P9" s="6">
        <f t="shared" si="3"/>
        <v>373.5</v>
      </c>
      <c r="Q9" s="6">
        <f t="shared" si="4"/>
        <v>373.5</v>
      </c>
      <c r="S9" s="6">
        <v>3</v>
      </c>
      <c r="T9" s="6">
        <v>8</v>
      </c>
      <c r="U9" s="6">
        <v>2.5</v>
      </c>
      <c r="V9" s="6">
        <v>1.3</v>
      </c>
      <c r="X9" s="6">
        <f t="shared" si="5"/>
        <v>21131</v>
      </c>
      <c r="Y9" s="6">
        <f t="shared" si="6"/>
        <v>1047</v>
      </c>
      <c r="Z9" s="6">
        <f t="shared" si="7"/>
        <v>242</v>
      </c>
      <c r="AA9" s="6">
        <f t="shared" si="8"/>
        <v>242</v>
      </c>
    </row>
    <row r="10" s="4" customFormat="1" ht="20.1" customHeight="1" spans="1:27">
      <c r="A10" s="6">
        <v>9</v>
      </c>
      <c r="B10" s="6">
        <f t="shared" si="9"/>
        <v>8.6</v>
      </c>
      <c r="C10" s="6">
        <f t="shared" si="10"/>
        <v>8.6</v>
      </c>
      <c r="D10" s="6">
        <f>$B10*总表!D$4</f>
        <v>9030</v>
      </c>
      <c r="E10" s="6">
        <f>$C10*总表!E$4</f>
        <v>860</v>
      </c>
      <c r="F10" s="6">
        <f>$C10*总表!F$4</f>
        <v>258</v>
      </c>
      <c r="G10" s="6">
        <f>$C10*总表!G$4</f>
        <v>258</v>
      </c>
      <c r="L10" s="6">
        <v>9</v>
      </c>
      <c r="M10" s="6">
        <v>18</v>
      </c>
      <c r="N10" s="6">
        <f t="shared" si="1"/>
        <v>14227.5</v>
      </c>
      <c r="O10" s="6">
        <f t="shared" si="2"/>
        <v>1355</v>
      </c>
      <c r="P10" s="6">
        <f t="shared" si="3"/>
        <v>406.5</v>
      </c>
      <c r="Q10" s="6">
        <f t="shared" si="4"/>
        <v>406.5</v>
      </c>
      <c r="S10" s="6">
        <v>1</v>
      </c>
      <c r="T10" s="6">
        <v>10</v>
      </c>
      <c r="U10" s="6">
        <v>1</v>
      </c>
      <c r="V10" s="6">
        <v>1</v>
      </c>
      <c r="X10" s="6">
        <f t="shared" si="5"/>
        <v>9608</v>
      </c>
      <c r="Y10" s="6">
        <f t="shared" si="6"/>
        <v>915</v>
      </c>
      <c r="Z10" s="6">
        <f t="shared" si="7"/>
        <v>275</v>
      </c>
      <c r="AA10" s="6">
        <f t="shared" si="8"/>
        <v>275</v>
      </c>
    </row>
    <row r="11" s="4" customFormat="1" ht="20.1" customHeight="1" spans="1:27">
      <c r="A11" s="6">
        <v>10</v>
      </c>
      <c r="B11" s="6">
        <f t="shared" si="9"/>
        <v>9.15</v>
      </c>
      <c r="C11" s="6">
        <f t="shared" si="10"/>
        <v>9.15</v>
      </c>
      <c r="D11" s="6">
        <f>$B11*总表!D$4</f>
        <v>9607.5</v>
      </c>
      <c r="E11" s="6">
        <f>$C11*总表!E$4</f>
        <v>915</v>
      </c>
      <c r="F11" s="6">
        <f>$C11*总表!F$4</f>
        <v>274.5</v>
      </c>
      <c r="G11" s="6">
        <f>$C11*总表!G$4</f>
        <v>274.5</v>
      </c>
      <c r="L11" s="6">
        <v>10</v>
      </c>
      <c r="M11" s="6">
        <v>20</v>
      </c>
      <c r="N11" s="6">
        <f t="shared" si="1"/>
        <v>15382.5</v>
      </c>
      <c r="O11" s="6">
        <f t="shared" si="2"/>
        <v>1465</v>
      </c>
      <c r="P11" s="6">
        <f t="shared" si="3"/>
        <v>439.5</v>
      </c>
      <c r="Q11" s="6">
        <f t="shared" si="4"/>
        <v>439.5</v>
      </c>
      <c r="S11" s="6">
        <v>1</v>
      </c>
      <c r="T11" s="6">
        <v>10</v>
      </c>
      <c r="U11" s="6">
        <v>1</v>
      </c>
      <c r="V11" s="6">
        <v>1</v>
      </c>
      <c r="X11" s="6">
        <f t="shared" si="5"/>
        <v>9608</v>
      </c>
      <c r="Y11" s="6">
        <f t="shared" si="6"/>
        <v>915</v>
      </c>
      <c r="Z11" s="6">
        <f t="shared" si="7"/>
        <v>275</v>
      </c>
      <c r="AA11" s="6">
        <f t="shared" si="8"/>
        <v>275</v>
      </c>
    </row>
    <row r="12" s="4" customFormat="1" ht="20.1" customHeight="1" spans="1:27">
      <c r="A12" s="6">
        <v>11</v>
      </c>
      <c r="B12" s="6">
        <f t="shared" si="9"/>
        <v>9.7</v>
      </c>
      <c r="C12" s="6">
        <f t="shared" si="10"/>
        <v>9.7</v>
      </c>
      <c r="D12" s="6">
        <f>$B12*总表!D$4</f>
        <v>10185</v>
      </c>
      <c r="E12" s="6">
        <f>$C12*总表!E$4</f>
        <v>970</v>
      </c>
      <c r="F12" s="6">
        <f>$C12*总表!F$4</f>
        <v>291</v>
      </c>
      <c r="G12" s="6">
        <f>$C12*总表!G$4</f>
        <v>291</v>
      </c>
      <c r="L12" s="6">
        <v>11</v>
      </c>
      <c r="M12" s="6">
        <v>22</v>
      </c>
      <c r="N12" s="6">
        <f t="shared" si="1"/>
        <v>16537.5</v>
      </c>
      <c r="O12" s="6">
        <f t="shared" si="2"/>
        <v>1575</v>
      </c>
      <c r="P12" s="6">
        <f t="shared" si="3"/>
        <v>472.5</v>
      </c>
      <c r="Q12" s="6">
        <f t="shared" si="4"/>
        <v>472.5</v>
      </c>
      <c r="S12" s="6">
        <v>3</v>
      </c>
      <c r="T12" s="6">
        <v>10</v>
      </c>
      <c r="U12" s="6">
        <v>2.5</v>
      </c>
      <c r="V12" s="6">
        <v>1.3</v>
      </c>
      <c r="X12" s="6">
        <f t="shared" si="5"/>
        <v>24019</v>
      </c>
      <c r="Y12" s="6">
        <f t="shared" si="6"/>
        <v>1190</v>
      </c>
      <c r="Z12" s="6">
        <f t="shared" si="7"/>
        <v>275</v>
      </c>
      <c r="AA12" s="6">
        <f t="shared" si="8"/>
        <v>275</v>
      </c>
    </row>
    <row r="13" s="4" customFormat="1" ht="20.1" customHeight="1" spans="1:27">
      <c r="A13" s="6">
        <v>12</v>
      </c>
      <c r="B13" s="6">
        <f t="shared" si="9"/>
        <v>10.25</v>
      </c>
      <c r="C13" s="6">
        <f t="shared" si="10"/>
        <v>10.25</v>
      </c>
      <c r="D13" s="6">
        <f>$B13*总表!D$4</f>
        <v>10762.5</v>
      </c>
      <c r="E13" s="6">
        <f>$C13*总表!E$4</f>
        <v>1025</v>
      </c>
      <c r="F13" s="6">
        <f>$C13*总表!F$4</f>
        <v>307.5</v>
      </c>
      <c r="G13" s="6">
        <f>$C13*总表!G$4</f>
        <v>307.5</v>
      </c>
      <c r="L13" s="6">
        <v>12</v>
      </c>
      <c r="M13" s="6">
        <v>24</v>
      </c>
      <c r="N13" s="6">
        <f t="shared" si="1"/>
        <v>17692.5</v>
      </c>
      <c r="O13" s="6">
        <f t="shared" si="2"/>
        <v>1685</v>
      </c>
      <c r="P13" s="6">
        <f t="shared" si="3"/>
        <v>505.5</v>
      </c>
      <c r="Q13" s="6">
        <f t="shared" si="4"/>
        <v>505.5</v>
      </c>
      <c r="S13" s="6">
        <v>1</v>
      </c>
      <c r="T13" s="6">
        <v>12</v>
      </c>
      <c r="U13" s="6">
        <v>1</v>
      </c>
      <c r="V13" s="6">
        <v>1</v>
      </c>
      <c r="X13" s="6">
        <f t="shared" si="5"/>
        <v>10763</v>
      </c>
      <c r="Y13" s="6">
        <f t="shared" si="6"/>
        <v>1025</v>
      </c>
      <c r="Z13" s="6">
        <f t="shared" si="7"/>
        <v>308</v>
      </c>
      <c r="AA13" s="6">
        <f t="shared" si="8"/>
        <v>308</v>
      </c>
    </row>
    <row r="14" s="4" customFormat="1" ht="20.1" customHeight="1" spans="1:27">
      <c r="A14" s="6">
        <v>13</v>
      </c>
      <c r="B14" s="6">
        <f t="shared" si="9"/>
        <v>10.8</v>
      </c>
      <c r="C14" s="6">
        <f t="shared" si="10"/>
        <v>10.8</v>
      </c>
      <c r="D14" s="6">
        <f>$B14*总表!D$4</f>
        <v>11340</v>
      </c>
      <c r="E14" s="6">
        <f>$C14*总表!E$4</f>
        <v>1080</v>
      </c>
      <c r="F14" s="6">
        <f>$C14*总表!F$4</f>
        <v>324</v>
      </c>
      <c r="G14" s="6">
        <f>$C14*总表!G$4</f>
        <v>324</v>
      </c>
      <c r="L14" s="6">
        <v>13</v>
      </c>
      <c r="M14" s="6">
        <v>26</v>
      </c>
      <c r="N14" s="6">
        <f t="shared" si="1"/>
        <v>18847.5</v>
      </c>
      <c r="O14" s="6">
        <f t="shared" si="2"/>
        <v>1795</v>
      </c>
      <c r="P14" s="6">
        <f t="shared" si="3"/>
        <v>538.5</v>
      </c>
      <c r="Q14" s="6">
        <f t="shared" si="4"/>
        <v>538.5</v>
      </c>
      <c r="S14" s="6">
        <v>1</v>
      </c>
      <c r="T14" s="6">
        <v>12</v>
      </c>
      <c r="U14" s="6">
        <v>1</v>
      </c>
      <c r="V14" s="6">
        <v>1</v>
      </c>
      <c r="X14" s="6">
        <f t="shared" si="5"/>
        <v>10763</v>
      </c>
      <c r="Y14" s="6">
        <f t="shared" si="6"/>
        <v>1025</v>
      </c>
      <c r="Z14" s="6">
        <f t="shared" si="7"/>
        <v>308</v>
      </c>
      <c r="AA14" s="6">
        <f t="shared" si="8"/>
        <v>308</v>
      </c>
    </row>
    <row r="15" s="4" customFormat="1" ht="20.1" customHeight="1" spans="1:27">
      <c r="A15" s="6">
        <v>14</v>
      </c>
      <c r="B15" s="6">
        <f t="shared" si="9"/>
        <v>11.35</v>
      </c>
      <c r="C15" s="6">
        <f t="shared" si="10"/>
        <v>11.35</v>
      </c>
      <c r="D15" s="6">
        <f>$B15*总表!D$4</f>
        <v>11917.5</v>
      </c>
      <c r="E15" s="6">
        <f>$C15*总表!E$4</f>
        <v>1135</v>
      </c>
      <c r="F15" s="6">
        <f>$C15*总表!F$4</f>
        <v>340.5</v>
      </c>
      <c r="G15" s="6">
        <f>$C15*总表!G$4</f>
        <v>340.5</v>
      </c>
      <c r="L15" s="6">
        <v>14</v>
      </c>
      <c r="M15" s="6">
        <v>28</v>
      </c>
      <c r="N15" s="6">
        <f t="shared" si="1"/>
        <v>20002.5</v>
      </c>
      <c r="O15" s="6">
        <f t="shared" si="2"/>
        <v>1905</v>
      </c>
      <c r="P15" s="6">
        <f t="shared" si="3"/>
        <v>571.5</v>
      </c>
      <c r="Q15" s="6">
        <f t="shared" si="4"/>
        <v>571.5</v>
      </c>
      <c r="S15" s="6">
        <v>3</v>
      </c>
      <c r="T15" s="6">
        <v>12</v>
      </c>
      <c r="U15" s="6">
        <v>2.5</v>
      </c>
      <c r="V15" s="6">
        <v>1.3</v>
      </c>
      <c r="X15" s="6">
        <f t="shared" si="5"/>
        <v>26906</v>
      </c>
      <c r="Y15" s="6">
        <f t="shared" si="6"/>
        <v>1333</v>
      </c>
      <c r="Z15" s="6">
        <f t="shared" si="7"/>
        <v>308</v>
      </c>
      <c r="AA15" s="6">
        <f t="shared" si="8"/>
        <v>308</v>
      </c>
    </row>
    <row r="16" s="4" customFormat="1" ht="20.1" customHeight="1" spans="1:27">
      <c r="A16" s="6">
        <v>15</v>
      </c>
      <c r="B16" s="6">
        <f t="shared" si="9"/>
        <v>11.9</v>
      </c>
      <c r="C16" s="6">
        <f t="shared" si="10"/>
        <v>11.9</v>
      </c>
      <c r="D16" s="6">
        <f>$B16*总表!D$4</f>
        <v>12495</v>
      </c>
      <c r="E16" s="6">
        <f>$C16*总表!E$4</f>
        <v>1190</v>
      </c>
      <c r="F16" s="6">
        <f>$C16*总表!F$4</f>
        <v>357</v>
      </c>
      <c r="G16" s="6">
        <f>$C16*总表!G$4</f>
        <v>357</v>
      </c>
      <c r="L16" s="6">
        <v>15</v>
      </c>
      <c r="M16" s="6">
        <v>30</v>
      </c>
      <c r="N16" s="6">
        <f t="shared" si="1"/>
        <v>21157.5</v>
      </c>
      <c r="O16" s="6">
        <f t="shared" si="2"/>
        <v>2015</v>
      </c>
      <c r="P16" s="6">
        <f t="shared" si="3"/>
        <v>604.5</v>
      </c>
      <c r="Q16" s="6">
        <f t="shared" si="4"/>
        <v>604.5</v>
      </c>
      <c r="S16" s="6">
        <v>1</v>
      </c>
      <c r="T16" s="6">
        <v>15</v>
      </c>
      <c r="U16" s="6">
        <v>1</v>
      </c>
      <c r="V16" s="6">
        <v>1</v>
      </c>
      <c r="X16" s="6">
        <f t="shared" si="5"/>
        <v>12495</v>
      </c>
      <c r="Y16" s="6">
        <f t="shared" si="6"/>
        <v>1190</v>
      </c>
      <c r="Z16" s="6">
        <f t="shared" si="7"/>
        <v>357</v>
      </c>
      <c r="AA16" s="6">
        <f t="shared" si="8"/>
        <v>357</v>
      </c>
    </row>
    <row r="17" s="4" customFormat="1" ht="20.1" customHeight="1" spans="1:27">
      <c r="A17" s="6">
        <v>16</v>
      </c>
      <c r="B17" s="6">
        <f t="shared" si="9"/>
        <v>12.45</v>
      </c>
      <c r="C17" s="6">
        <f t="shared" si="10"/>
        <v>12.45</v>
      </c>
      <c r="D17" s="6">
        <f>$B17*总表!D$4</f>
        <v>13072.5</v>
      </c>
      <c r="E17" s="6">
        <f>$C17*总表!E$4</f>
        <v>1245</v>
      </c>
      <c r="F17" s="6">
        <f>$C17*总表!F$4</f>
        <v>373.5</v>
      </c>
      <c r="G17" s="6">
        <f>$C17*总表!G$4</f>
        <v>373.5</v>
      </c>
      <c r="L17" s="6">
        <v>16</v>
      </c>
      <c r="M17" s="6">
        <v>32</v>
      </c>
      <c r="N17" s="6">
        <f t="shared" si="1"/>
        <v>22312.5</v>
      </c>
      <c r="O17" s="6">
        <f t="shared" si="2"/>
        <v>2125</v>
      </c>
      <c r="P17" s="6">
        <f t="shared" si="3"/>
        <v>637.5</v>
      </c>
      <c r="Q17" s="6">
        <f t="shared" si="4"/>
        <v>637.5</v>
      </c>
      <c r="S17" s="6">
        <v>1</v>
      </c>
      <c r="T17" s="6">
        <v>15</v>
      </c>
      <c r="U17" s="6">
        <v>1</v>
      </c>
      <c r="V17" s="6">
        <v>1</v>
      </c>
      <c r="X17" s="6">
        <f t="shared" si="5"/>
        <v>12495</v>
      </c>
      <c r="Y17" s="6">
        <f t="shared" si="6"/>
        <v>1190</v>
      </c>
      <c r="Z17" s="6">
        <f t="shared" si="7"/>
        <v>357</v>
      </c>
      <c r="AA17" s="6">
        <f t="shared" si="8"/>
        <v>357</v>
      </c>
    </row>
    <row r="18" s="4" customFormat="1" ht="20.1" customHeight="1" spans="1:27">
      <c r="A18" s="6">
        <v>17</v>
      </c>
      <c r="B18" s="6">
        <f t="shared" si="9"/>
        <v>13</v>
      </c>
      <c r="C18" s="6">
        <f t="shared" si="10"/>
        <v>13</v>
      </c>
      <c r="D18" s="6">
        <f>$B18*总表!D$4</f>
        <v>13650</v>
      </c>
      <c r="E18" s="6">
        <f>$C18*总表!E$4</f>
        <v>1300</v>
      </c>
      <c r="F18" s="6">
        <f>$C18*总表!F$4</f>
        <v>390</v>
      </c>
      <c r="G18" s="6">
        <f>$C18*总表!G$4</f>
        <v>390</v>
      </c>
      <c r="L18" s="6">
        <v>17</v>
      </c>
      <c r="M18" s="6">
        <v>34</v>
      </c>
      <c r="N18" s="6">
        <f t="shared" si="1"/>
        <v>23467.5</v>
      </c>
      <c r="O18" s="6">
        <f t="shared" si="2"/>
        <v>2235</v>
      </c>
      <c r="P18" s="6">
        <f t="shared" si="3"/>
        <v>670.5</v>
      </c>
      <c r="Q18" s="6">
        <f t="shared" si="4"/>
        <v>670.5</v>
      </c>
      <c r="S18" s="6">
        <v>3</v>
      </c>
      <c r="T18" s="6">
        <v>15</v>
      </c>
      <c r="U18" s="6">
        <v>2.5</v>
      </c>
      <c r="V18" s="6">
        <v>1.3</v>
      </c>
      <c r="X18" s="6">
        <f t="shared" si="5"/>
        <v>31238</v>
      </c>
      <c r="Y18" s="6">
        <f t="shared" si="6"/>
        <v>1547</v>
      </c>
      <c r="Z18" s="6">
        <f t="shared" si="7"/>
        <v>357</v>
      </c>
      <c r="AA18" s="6">
        <f t="shared" si="8"/>
        <v>357</v>
      </c>
    </row>
    <row r="19" s="4" customFormat="1" ht="20.1" customHeight="1" spans="1:27">
      <c r="A19" s="6">
        <v>18</v>
      </c>
      <c r="B19" s="6">
        <f t="shared" si="9"/>
        <v>13.55</v>
      </c>
      <c r="C19" s="6">
        <f t="shared" si="10"/>
        <v>13.55</v>
      </c>
      <c r="D19" s="6">
        <f>$B19*总表!D$4</f>
        <v>14227.5</v>
      </c>
      <c r="E19" s="6">
        <f>$C19*总表!E$4</f>
        <v>1355</v>
      </c>
      <c r="F19" s="6">
        <f>$C19*总表!F$4</f>
        <v>406.5</v>
      </c>
      <c r="G19" s="6">
        <f>$C19*总表!G$4</f>
        <v>406.5</v>
      </c>
      <c r="L19" s="6">
        <v>18</v>
      </c>
      <c r="M19" s="6">
        <v>36</v>
      </c>
      <c r="N19" s="6">
        <f t="shared" si="1"/>
        <v>24622.5</v>
      </c>
      <c r="O19" s="6">
        <f t="shared" si="2"/>
        <v>2345</v>
      </c>
      <c r="P19" s="6">
        <f t="shared" si="3"/>
        <v>703.5</v>
      </c>
      <c r="Q19" s="6">
        <f t="shared" si="4"/>
        <v>703.5</v>
      </c>
      <c r="S19" s="6">
        <v>1</v>
      </c>
      <c r="T19" s="6">
        <v>18</v>
      </c>
      <c r="U19" s="6">
        <v>1</v>
      </c>
      <c r="V19" s="6">
        <v>1</v>
      </c>
      <c r="X19" s="6">
        <f t="shared" si="5"/>
        <v>14228</v>
      </c>
      <c r="Y19" s="6">
        <f t="shared" si="6"/>
        <v>1355</v>
      </c>
      <c r="Z19" s="6">
        <f t="shared" si="7"/>
        <v>407</v>
      </c>
      <c r="AA19" s="6">
        <f t="shared" si="8"/>
        <v>407</v>
      </c>
    </row>
    <row r="20" s="4" customFormat="1" ht="20.1" customHeight="1" spans="1:27">
      <c r="A20" s="6">
        <v>19</v>
      </c>
      <c r="B20" s="6">
        <f t="shared" si="9"/>
        <v>14.1</v>
      </c>
      <c r="C20" s="6">
        <f t="shared" si="10"/>
        <v>14.1</v>
      </c>
      <c r="D20" s="6">
        <f>$B20*总表!D$4</f>
        <v>14805</v>
      </c>
      <c r="E20" s="6">
        <f>$C20*总表!E$4</f>
        <v>1410</v>
      </c>
      <c r="F20" s="6">
        <f>$C20*总表!F$4</f>
        <v>423</v>
      </c>
      <c r="G20" s="6">
        <f>$C20*总表!G$4</f>
        <v>423</v>
      </c>
      <c r="L20" s="6">
        <v>19</v>
      </c>
      <c r="M20" s="6">
        <v>38</v>
      </c>
      <c r="N20" s="6">
        <f t="shared" si="1"/>
        <v>25777.5</v>
      </c>
      <c r="O20" s="6">
        <f t="shared" si="2"/>
        <v>2455</v>
      </c>
      <c r="P20" s="6">
        <f t="shared" si="3"/>
        <v>736.500000000001</v>
      </c>
      <c r="Q20" s="6">
        <f t="shared" si="4"/>
        <v>736.500000000001</v>
      </c>
      <c r="S20" s="6">
        <v>1</v>
      </c>
      <c r="T20" s="6">
        <v>18</v>
      </c>
      <c r="U20" s="6">
        <v>1</v>
      </c>
      <c r="V20" s="6">
        <v>1</v>
      </c>
      <c r="X20" s="6">
        <f t="shared" si="5"/>
        <v>14228</v>
      </c>
      <c r="Y20" s="6">
        <f t="shared" si="6"/>
        <v>1355</v>
      </c>
      <c r="Z20" s="6">
        <f t="shared" si="7"/>
        <v>407</v>
      </c>
      <c r="AA20" s="6">
        <f t="shared" si="8"/>
        <v>407</v>
      </c>
    </row>
    <row r="21" s="4" customFormat="1" ht="20.1" customHeight="1" spans="1:27">
      <c r="A21" s="6">
        <v>20</v>
      </c>
      <c r="B21" s="6">
        <f t="shared" si="9"/>
        <v>14.65</v>
      </c>
      <c r="C21" s="6">
        <f t="shared" si="10"/>
        <v>14.65</v>
      </c>
      <c r="D21" s="6">
        <f>$B21*总表!D$4</f>
        <v>15382.5</v>
      </c>
      <c r="E21" s="6">
        <f>$C21*总表!E$4</f>
        <v>1465</v>
      </c>
      <c r="F21" s="6">
        <f>$C21*总表!F$4</f>
        <v>439.5</v>
      </c>
      <c r="G21" s="6">
        <f>$C21*总表!G$4</f>
        <v>439.5</v>
      </c>
      <c r="L21" s="6">
        <v>20</v>
      </c>
      <c r="M21" s="6">
        <v>40</v>
      </c>
      <c r="N21" s="6">
        <f t="shared" si="1"/>
        <v>26932.5</v>
      </c>
      <c r="O21" s="6">
        <f t="shared" si="2"/>
        <v>2565</v>
      </c>
      <c r="P21" s="6">
        <f t="shared" si="3"/>
        <v>769.500000000001</v>
      </c>
      <c r="Q21" s="6">
        <f t="shared" si="4"/>
        <v>769.500000000001</v>
      </c>
      <c r="S21" s="6">
        <v>3</v>
      </c>
      <c r="T21" s="6">
        <v>18</v>
      </c>
      <c r="U21" s="6">
        <v>2.5</v>
      </c>
      <c r="V21" s="6">
        <v>1.3</v>
      </c>
      <c r="X21" s="6">
        <f t="shared" si="5"/>
        <v>35569</v>
      </c>
      <c r="Y21" s="6">
        <f t="shared" si="6"/>
        <v>1762</v>
      </c>
      <c r="Z21" s="6">
        <f t="shared" si="7"/>
        <v>407</v>
      </c>
      <c r="AA21" s="6">
        <f t="shared" si="8"/>
        <v>407</v>
      </c>
    </row>
    <row r="22" s="4" customFormat="1" ht="20.1" customHeight="1" spans="1:27">
      <c r="A22" s="6">
        <v>21</v>
      </c>
      <c r="B22" s="6">
        <f t="shared" si="9"/>
        <v>15.2</v>
      </c>
      <c r="C22" s="6">
        <f t="shared" si="10"/>
        <v>15.2</v>
      </c>
      <c r="D22" s="6">
        <f>$B22*总表!D$4</f>
        <v>15960</v>
      </c>
      <c r="E22" s="6">
        <f>$C22*总表!E$4</f>
        <v>1520</v>
      </c>
      <c r="F22" s="6">
        <f>$C22*总表!F$4</f>
        <v>456</v>
      </c>
      <c r="G22" s="6">
        <f>$C22*总表!G$4</f>
        <v>456</v>
      </c>
      <c r="L22" s="6">
        <v>21</v>
      </c>
      <c r="M22" s="6">
        <v>41</v>
      </c>
      <c r="N22" s="6">
        <f t="shared" si="1"/>
        <v>27510</v>
      </c>
      <c r="O22" s="6">
        <f t="shared" si="2"/>
        <v>2620</v>
      </c>
      <c r="P22" s="6">
        <f t="shared" si="3"/>
        <v>786.000000000001</v>
      </c>
      <c r="Q22" s="6">
        <f t="shared" si="4"/>
        <v>786.000000000001</v>
      </c>
      <c r="S22" s="6">
        <v>1</v>
      </c>
      <c r="T22" s="6">
        <v>20</v>
      </c>
      <c r="U22" s="6">
        <v>1</v>
      </c>
      <c r="V22" s="6">
        <v>1</v>
      </c>
      <c r="X22" s="6">
        <f t="shared" si="5"/>
        <v>15383</v>
      </c>
      <c r="Y22" s="6">
        <f t="shared" si="6"/>
        <v>1465</v>
      </c>
      <c r="Z22" s="6">
        <f t="shared" si="7"/>
        <v>440</v>
      </c>
      <c r="AA22" s="6">
        <f t="shared" si="8"/>
        <v>440</v>
      </c>
    </row>
    <row r="23" s="4" customFormat="1" ht="20.1" customHeight="1" spans="1:27">
      <c r="A23" s="6">
        <v>22</v>
      </c>
      <c r="B23" s="6">
        <f t="shared" si="9"/>
        <v>15.75</v>
      </c>
      <c r="C23" s="6">
        <f t="shared" si="10"/>
        <v>15.75</v>
      </c>
      <c r="D23" s="6">
        <f>$B23*总表!D$4</f>
        <v>16537.5</v>
      </c>
      <c r="E23" s="6">
        <f>$C23*总表!E$4</f>
        <v>1575</v>
      </c>
      <c r="F23" s="6">
        <f>$C23*总表!F$4</f>
        <v>472.5</v>
      </c>
      <c r="G23" s="6">
        <f>$C23*总表!G$4</f>
        <v>472.5</v>
      </c>
      <c r="L23" s="6">
        <v>22</v>
      </c>
      <c r="M23" s="6">
        <v>42</v>
      </c>
      <c r="N23" s="6">
        <f t="shared" si="1"/>
        <v>28087.5</v>
      </c>
      <c r="O23" s="6">
        <f t="shared" si="2"/>
        <v>2675</v>
      </c>
      <c r="P23" s="6">
        <f t="shared" si="3"/>
        <v>802.500000000001</v>
      </c>
      <c r="Q23" s="6">
        <f t="shared" si="4"/>
        <v>802.500000000001</v>
      </c>
      <c r="S23" s="6">
        <v>1</v>
      </c>
      <c r="T23" s="6">
        <v>20</v>
      </c>
      <c r="U23" s="6">
        <v>1</v>
      </c>
      <c r="V23" s="6">
        <v>1</v>
      </c>
      <c r="X23" s="6">
        <f t="shared" si="5"/>
        <v>15383</v>
      </c>
      <c r="Y23" s="6">
        <f t="shared" si="6"/>
        <v>1465</v>
      </c>
      <c r="Z23" s="6">
        <f t="shared" si="7"/>
        <v>440</v>
      </c>
      <c r="AA23" s="6">
        <f t="shared" si="8"/>
        <v>440</v>
      </c>
    </row>
    <row r="24" s="4" customFormat="1" ht="20.1" customHeight="1" spans="1:27">
      <c r="A24" s="6">
        <v>23</v>
      </c>
      <c r="B24" s="6">
        <f t="shared" si="9"/>
        <v>16.3</v>
      </c>
      <c r="C24" s="6">
        <f t="shared" si="10"/>
        <v>16.3</v>
      </c>
      <c r="D24" s="6">
        <f>$B24*总表!D$4</f>
        <v>17115</v>
      </c>
      <c r="E24" s="6">
        <f>$C24*总表!E$4</f>
        <v>1630</v>
      </c>
      <c r="F24" s="6">
        <f>$C24*总表!F$4</f>
        <v>489</v>
      </c>
      <c r="G24" s="6">
        <f>$C24*总表!G$4</f>
        <v>489</v>
      </c>
      <c r="L24" s="6">
        <v>23</v>
      </c>
      <c r="M24" s="6">
        <v>43</v>
      </c>
      <c r="N24" s="6">
        <f t="shared" si="1"/>
        <v>28665</v>
      </c>
      <c r="O24" s="6">
        <f t="shared" si="2"/>
        <v>2730</v>
      </c>
      <c r="P24" s="6">
        <f t="shared" si="3"/>
        <v>819.000000000001</v>
      </c>
      <c r="Q24" s="6">
        <f t="shared" si="4"/>
        <v>819.000000000001</v>
      </c>
      <c r="S24" s="6">
        <v>3</v>
      </c>
      <c r="T24" s="6">
        <v>20</v>
      </c>
      <c r="U24" s="6">
        <v>2.5</v>
      </c>
      <c r="V24" s="6">
        <v>1.3</v>
      </c>
      <c r="X24" s="6">
        <f t="shared" si="5"/>
        <v>38456</v>
      </c>
      <c r="Y24" s="6">
        <f t="shared" si="6"/>
        <v>1905</v>
      </c>
      <c r="Z24" s="6">
        <f t="shared" si="7"/>
        <v>440</v>
      </c>
      <c r="AA24" s="6">
        <f t="shared" si="8"/>
        <v>440</v>
      </c>
    </row>
    <row r="25" s="4" customFormat="1" ht="20.1" customHeight="1" spans="1:27">
      <c r="A25" s="6">
        <v>24</v>
      </c>
      <c r="B25" s="6">
        <f t="shared" si="9"/>
        <v>16.85</v>
      </c>
      <c r="C25" s="6">
        <f t="shared" si="10"/>
        <v>16.85</v>
      </c>
      <c r="D25" s="6">
        <f>$B25*总表!D$4</f>
        <v>17692.5</v>
      </c>
      <c r="E25" s="6">
        <f>$C25*总表!E$4</f>
        <v>1685</v>
      </c>
      <c r="F25" s="6">
        <f>$C25*总表!F$4</f>
        <v>505.5</v>
      </c>
      <c r="G25" s="6">
        <f>$C25*总表!G$4</f>
        <v>505.5</v>
      </c>
      <c r="L25" s="6">
        <v>24</v>
      </c>
      <c r="M25" s="6">
        <v>44</v>
      </c>
      <c r="N25" s="6">
        <f t="shared" si="1"/>
        <v>29242.5</v>
      </c>
      <c r="O25" s="6">
        <f t="shared" si="2"/>
        <v>2785</v>
      </c>
      <c r="P25" s="6">
        <f t="shared" si="3"/>
        <v>835.500000000001</v>
      </c>
      <c r="Q25" s="6">
        <f t="shared" si="4"/>
        <v>835.500000000001</v>
      </c>
      <c r="S25" s="6">
        <v>1</v>
      </c>
      <c r="T25" s="6">
        <v>22</v>
      </c>
      <c r="U25" s="6">
        <v>1</v>
      </c>
      <c r="V25" s="6">
        <v>1</v>
      </c>
      <c r="X25" s="6">
        <f t="shared" si="5"/>
        <v>16538</v>
      </c>
      <c r="Y25" s="6">
        <f t="shared" si="6"/>
        <v>1575</v>
      </c>
      <c r="Z25" s="6">
        <f t="shared" si="7"/>
        <v>473</v>
      </c>
      <c r="AA25" s="6">
        <f t="shared" si="8"/>
        <v>473</v>
      </c>
    </row>
    <row r="26" s="4" customFormat="1" ht="20.1" customHeight="1" spans="1:27">
      <c r="A26" s="6">
        <v>25</v>
      </c>
      <c r="B26" s="6">
        <f t="shared" si="9"/>
        <v>17.4</v>
      </c>
      <c r="C26" s="6">
        <f t="shared" si="10"/>
        <v>17.4</v>
      </c>
      <c r="D26" s="6">
        <f>$B26*总表!D$4</f>
        <v>18270</v>
      </c>
      <c r="E26" s="6">
        <f>$C26*总表!E$4</f>
        <v>1740</v>
      </c>
      <c r="F26" s="6">
        <f>$C26*总表!F$4</f>
        <v>522</v>
      </c>
      <c r="G26" s="6">
        <f>$C26*总表!G$4</f>
        <v>522</v>
      </c>
      <c r="L26" s="6">
        <v>25</v>
      </c>
      <c r="M26" s="6">
        <v>45</v>
      </c>
      <c r="N26" s="6">
        <f t="shared" si="1"/>
        <v>29820</v>
      </c>
      <c r="O26" s="6">
        <f t="shared" si="2"/>
        <v>2840</v>
      </c>
      <c r="P26" s="6">
        <f t="shared" si="3"/>
        <v>852.000000000001</v>
      </c>
      <c r="Q26" s="6">
        <f t="shared" si="4"/>
        <v>852.000000000001</v>
      </c>
      <c r="S26" s="6">
        <v>1</v>
      </c>
      <c r="T26" s="6">
        <v>22</v>
      </c>
      <c r="U26" s="6">
        <v>1</v>
      </c>
      <c r="V26" s="6">
        <v>1</v>
      </c>
      <c r="X26" s="6">
        <f t="shared" si="5"/>
        <v>16538</v>
      </c>
      <c r="Y26" s="6">
        <f t="shared" si="6"/>
        <v>1575</v>
      </c>
      <c r="Z26" s="6">
        <f t="shared" si="7"/>
        <v>473</v>
      </c>
      <c r="AA26" s="6">
        <f t="shared" si="8"/>
        <v>473</v>
      </c>
    </row>
    <row r="27" s="4" customFormat="1" ht="20.1" customHeight="1" spans="1:27">
      <c r="A27" s="6">
        <v>26</v>
      </c>
      <c r="B27" s="6">
        <f t="shared" si="9"/>
        <v>17.95</v>
      </c>
      <c r="C27" s="6">
        <f t="shared" si="10"/>
        <v>17.95</v>
      </c>
      <c r="D27" s="6">
        <f>$B27*总表!D$4</f>
        <v>18847.5</v>
      </c>
      <c r="E27" s="6">
        <f>$C27*总表!E$4</f>
        <v>1795</v>
      </c>
      <c r="F27" s="6">
        <f>$C27*总表!F$4</f>
        <v>538.5</v>
      </c>
      <c r="G27" s="6">
        <f>$C27*总表!G$4</f>
        <v>538.5</v>
      </c>
      <c r="L27" s="6">
        <v>26</v>
      </c>
      <c r="M27" s="6">
        <v>46</v>
      </c>
      <c r="N27" s="6">
        <f t="shared" si="1"/>
        <v>30397.5</v>
      </c>
      <c r="O27" s="6">
        <f t="shared" si="2"/>
        <v>2895</v>
      </c>
      <c r="P27" s="6">
        <f t="shared" si="3"/>
        <v>868.500000000001</v>
      </c>
      <c r="Q27" s="6">
        <f t="shared" si="4"/>
        <v>868.500000000001</v>
      </c>
      <c r="S27" s="6">
        <v>3</v>
      </c>
      <c r="T27" s="6">
        <v>22</v>
      </c>
      <c r="U27" s="6">
        <v>2.5</v>
      </c>
      <c r="V27" s="6">
        <v>1.3</v>
      </c>
      <c r="X27" s="6">
        <f t="shared" si="5"/>
        <v>41344</v>
      </c>
      <c r="Y27" s="6">
        <f t="shared" si="6"/>
        <v>2048</v>
      </c>
      <c r="Z27" s="6">
        <f t="shared" si="7"/>
        <v>473</v>
      </c>
      <c r="AA27" s="6">
        <f t="shared" si="8"/>
        <v>473</v>
      </c>
    </row>
    <row r="28" s="4" customFormat="1" ht="20.1" customHeight="1" spans="1:27">
      <c r="A28" s="6">
        <v>27</v>
      </c>
      <c r="B28" s="6">
        <f t="shared" si="9"/>
        <v>18.5</v>
      </c>
      <c r="C28" s="6">
        <f t="shared" si="10"/>
        <v>18.5</v>
      </c>
      <c r="D28" s="6">
        <f>$B28*总表!D$4</f>
        <v>19425</v>
      </c>
      <c r="E28" s="6">
        <f>$C28*总表!E$4</f>
        <v>1850</v>
      </c>
      <c r="F28" s="6">
        <f>$C28*总表!F$4</f>
        <v>555</v>
      </c>
      <c r="G28" s="6">
        <f>$C28*总表!G$4</f>
        <v>555</v>
      </c>
      <c r="L28" s="6">
        <v>27</v>
      </c>
      <c r="M28" s="6">
        <v>47</v>
      </c>
      <c r="N28" s="6">
        <f t="shared" si="1"/>
        <v>30975</v>
      </c>
      <c r="O28" s="6">
        <f t="shared" si="2"/>
        <v>2950</v>
      </c>
      <c r="P28" s="6">
        <f t="shared" si="3"/>
        <v>885.000000000001</v>
      </c>
      <c r="Q28" s="6">
        <f t="shared" si="4"/>
        <v>885.000000000001</v>
      </c>
      <c r="S28" s="6">
        <v>1</v>
      </c>
      <c r="T28" s="6">
        <v>25</v>
      </c>
      <c r="U28" s="6">
        <v>1</v>
      </c>
      <c r="V28" s="6">
        <v>1</v>
      </c>
      <c r="X28" s="6">
        <f t="shared" si="5"/>
        <v>18270</v>
      </c>
      <c r="Y28" s="6">
        <f t="shared" si="6"/>
        <v>1740</v>
      </c>
      <c r="Z28" s="6">
        <f t="shared" si="7"/>
        <v>522</v>
      </c>
      <c r="AA28" s="6">
        <f t="shared" si="8"/>
        <v>522</v>
      </c>
    </row>
    <row r="29" s="4" customFormat="1" ht="20.1" customHeight="1" spans="1:27">
      <c r="A29" s="6">
        <v>28</v>
      </c>
      <c r="B29" s="6">
        <f t="shared" si="9"/>
        <v>19.05</v>
      </c>
      <c r="C29" s="6">
        <f t="shared" si="10"/>
        <v>19.05</v>
      </c>
      <c r="D29" s="6">
        <f>$B29*总表!D$4</f>
        <v>20002.5</v>
      </c>
      <c r="E29" s="6">
        <f>$C29*总表!E$4</f>
        <v>1905</v>
      </c>
      <c r="F29" s="6">
        <f>$C29*总表!F$4</f>
        <v>571.5</v>
      </c>
      <c r="G29" s="6">
        <f>$C29*总表!G$4</f>
        <v>571.5</v>
      </c>
      <c r="L29" s="6">
        <v>28</v>
      </c>
      <c r="M29" s="6">
        <v>48</v>
      </c>
      <c r="N29" s="6">
        <f t="shared" si="1"/>
        <v>31552.5</v>
      </c>
      <c r="O29" s="6">
        <f t="shared" si="2"/>
        <v>3005</v>
      </c>
      <c r="P29" s="6">
        <f t="shared" si="3"/>
        <v>901.500000000001</v>
      </c>
      <c r="Q29" s="6">
        <f t="shared" si="4"/>
        <v>901.500000000001</v>
      </c>
      <c r="S29" s="6">
        <v>1</v>
      </c>
      <c r="T29" s="6">
        <v>25</v>
      </c>
      <c r="U29" s="6">
        <v>1</v>
      </c>
      <c r="V29" s="6">
        <v>1</v>
      </c>
      <c r="X29" s="6">
        <f t="shared" si="5"/>
        <v>18270</v>
      </c>
      <c r="Y29" s="6">
        <f t="shared" si="6"/>
        <v>1740</v>
      </c>
      <c r="Z29" s="6">
        <f t="shared" si="7"/>
        <v>522</v>
      </c>
      <c r="AA29" s="6">
        <f t="shared" si="8"/>
        <v>522</v>
      </c>
    </row>
    <row r="30" s="4" customFormat="1" ht="20.1" customHeight="1" spans="1:27">
      <c r="A30" s="6">
        <v>29</v>
      </c>
      <c r="B30" s="6">
        <f t="shared" si="9"/>
        <v>19.6</v>
      </c>
      <c r="C30" s="6">
        <f t="shared" si="10"/>
        <v>19.6</v>
      </c>
      <c r="D30" s="6">
        <f>$B30*总表!D$4</f>
        <v>20580</v>
      </c>
      <c r="E30" s="6">
        <f>$C30*总表!E$4</f>
        <v>1960</v>
      </c>
      <c r="F30" s="6">
        <f>$C30*总表!F$4</f>
        <v>588</v>
      </c>
      <c r="G30" s="6">
        <f>$C30*总表!G$4</f>
        <v>588</v>
      </c>
      <c r="L30" s="6">
        <v>29</v>
      </c>
      <c r="M30" s="6">
        <v>49</v>
      </c>
      <c r="N30" s="6">
        <f t="shared" si="1"/>
        <v>32130</v>
      </c>
      <c r="O30" s="6">
        <f t="shared" si="2"/>
        <v>3060</v>
      </c>
      <c r="P30" s="6">
        <f t="shared" si="3"/>
        <v>918.000000000001</v>
      </c>
      <c r="Q30" s="6">
        <f t="shared" si="4"/>
        <v>918.000000000001</v>
      </c>
      <c r="S30" s="6">
        <v>3</v>
      </c>
      <c r="T30" s="6">
        <v>25</v>
      </c>
      <c r="U30" s="6">
        <v>2.5</v>
      </c>
      <c r="V30" s="6">
        <v>1.3</v>
      </c>
      <c r="X30" s="6">
        <f t="shared" si="5"/>
        <v>45675</v>
      </c>
      <c r="Y30" s="6">
        <f t="shared" si="6"/>
        <v>2262</v>
      </c>
      <c r="Z30" s="6">
        <f t="shared" si="7"/>
        <v>522</v>
      </c>
      <c r="AA30" s="6">
        <f t="shared" si="8"/>
        <v>522</v>
      </c>
    </row>
    <row r="31" s="4" customFormat="1" ht="20.1" customHeight="1" spans="1:27">
      <c r="A31" s="6">
        <v>30</v>
      </c>
      <c r="B31" s="6">
        <f t="shared" si="9"/>
        <v>20.15</v>
      </c>
      <c r="C31" s="6">
        <f t="shared" si="10"/>
        <v>20.15</v>
      </c>
      <c r="D31" s="6">
        <f>$B31*总表!D$4</f>
        <v>21157.5</v>
      </c>
      <c r="E31" s="6">
        <f>$C31*总表!E$4</f>
        <v>2015</v>
      </c>
      <c r="F31" s="6">
        <f>$C31*总表!F$4</f>
        <v>604.5</v>
      </c>
      <c r="G31" s="6">
        <f>$C31*总表!G$4</f>
        <v>604.5</v>
      </c>
      <c r="L31" s="6">
        <v>30</v>
      </c>
      <c r="M31" s="6">
        <v>50</v>
      </c>
      <c r="N31" s="6">
        <f t="shared" si="1"/>
        <v>32707.5</v>
      </c>
      <c r="O31" s="6">
        <f t="shared" si="2"/>
        <v>3115</v>
      </c>
      <c r="P31" s="6">
        <f t="shared" si="3"/>
        <v>934.500000000001</v>
      </c>
      <c r="Q31" s="6">
        <f t="shared" si="4"/>
        <v>934.500000000001</v>
      </c>
      <c r="S31" s="6">
        <v>1</v>
      </c>
      <c r="T31" s="6">
        <v>27</v>
      </c>
      <c r="U31" s="6">
        <v>1</v>
      </c>
      <c r="V31" s="6">
        <v>1</v>
      </c>
      <c r="X31" s="6">
        <f t="shared" si="5"/>
        <v>19425</v>
      </c>
      <c r="Y31" s="6">
        <f t="shared" si="6"/>
        <v>1850</v>
      </c>
      <c r="Z31" s="6">
        <f t="shared" si="7"/>
        <v>555</v>
      </c>
      <c r="AA31" s="6">
        <f t="shared" si="8"/>
        <v>555</v>
      </c>
    </row>
    <row r="32" s="4" customFormat="1" ht="20.1" customHeight="1" spans="1:27">
      <c r="A32" s="6">
        <v>31</v>
      </c>
      <c r="B32" s="6">
        <f t="shared" si="9"/>
        <v>20.7</v>
      </c>
      <c r="C32" s="6">
        <f t="shared" si="10"/>
        <v>20.7</v>
      </c>
      <c r="D32" s="6">
        <f>$B32*总表!D$4</f>
        <v>21735</v>
      </c>
      <c r="E32" s="6">
        <f>$C32*总表!E$4</f>
        <v>2070</v>
      </c>
      <c r="F32" s="6">
        <f>$C32*总表!F$4</f>
        <v>621</v>
      </c>
      <c r="G32" s="6">
        <f>$C32*总表!G$4</f>
        <v>621</v>
      </c>
      <c r="L32" s="6">
        <v>31</v>
      </c>
      <c r="M32" s="6">
        <v>51</v>
      </c>
      <c r="N32" s="6">
        <f t="shared" ref="N32:N51" si="11">LOOKUP($M32,$A:$A,D:D)</f>
        <v>33285</v>
      </c>
      <c r="O32" s="6">
        <f t="shared" ref="O32:O51" si="12">LOOKUP($M32,$A:$A,E:E)</f>
        <v>3170</v>
      </c>
      <c r="P32" s="6">
        <f t="shared" ref="P32:P51" si="13">LOOKUP($M32,$A:$A,F:F)</f>
        <v>951.000000000001</v>
      </c>
      <c r="Q32" s="6">
        <f t="shared" ref="Q32:Q51" si="14">LOOKUP($M32,$A:$A,G:G)</f>
        <v>951.000000000001</v>
      </c>
      <c r="S32" s="6">
        <v>1</v>
      </c>
      <c r="T32" s="6">
        <v>27</v>
      </c>
      <c r="U32" s="6">
        <v>1</v>
      </c>
      <c r="V32" s="6">
        <v>1</v>
      </c>
      <c r="X32" s="6">
        <f t="shared" si="5"/>
        <v>19425</v>
      </c>
      <c r="Y32" s="6">
        <f t="shared" si="6"/>
        <v>1850</v>
      </c>
      <c r="Z32" s="6">
        <f t="shared" si="7"/>
        <v>555</v>
      </c>
      <c r="AA32" s="6">
        <f t="shared" si="8"/>
        <v>555</v>
      </c>
    </row>
    <row r="33" s="4" customFormat="1" ht="20.1" customHeight="1" spans="1:27">
      <c r="A33" s="6">
        <v>32</v>
      </c>
      <c r="B33" s="6">
        <f t="shared" si="9"/>
        <v>21.25</v>
      </c>
      <c r="C33" s="6">
        <f t="shared" si="10"/>
        <v>21.25</v>
      </c>
      <c r="D33" s="6">
        <f>$B33*总表!D$4</f>
        <v>22312.5</v>
      </c>
      <c r="E33" s="6">
        <f>$C33*总表!E$4</f>
        <v>2125</v>
      </c>
      <c r="F33" s="6">
        <f>$C33*总表!F$4</f>
        <v>637.5</v>
      </c>
      <c r="G33" s="6">
        <f>$C33*总表!G$4</f>
        <v>637.5</v>
      </c>
      <c r="L33" s="6">
        <v>32</v>
      </c>
      <c r="M33" s="6">
        <v>52</v>
      </c>
      <c r="N33" s="6">
        <f t="shared" si="11"/>
        <v>33862.5</v>
      </c>
      <c r="O33" s="6">
        <f t="shared" si="12"/>
        <v>3225</v>
      </c>
      <c r="P33" s="6">
        <f t="shared" si="13"/>
        <v>967.500000000001</v>
      </c>
      <c r="Q33" s="6">
        <f t="shared" si="14"/>
        <v>967.500000000001</v>
      </c>
      <c r="S33" s="6">
        <v>3</v>
      </c>
      <c r="T33" s="6">
        <v>27</v>
      </c>
      <c r="U33" s="6">
        <v>2.5</v>
      </c>
      <c r="V33" s="6">
        <v>1.3</v>
      </c>
      <c r="X33" s="6">
        <f t="shared" si="5"/>
        <v>48563</v>
      </c>
      <c r="Y33" s="6">
        <f t="shared" si="6"/>
        <v>2405</v>
      </c>
      <c r="Z33" s="6">
        <f t="shared" si="7"/>
        <v>555</v>
      </c>
      <c r="AA33" s="6">
        <f t="shared" si="8"/>
        <v>555</v>
      </c>
    </row>
    <row r="34" s="4" customFormat="1" ht="20.1" customHeight="1" spans="1:27">
      <c r="A34" s="6">
        <v>33</v>
      </c>
      <c r="B34" s="6">
        <f t="shared" si="9"/>
        <v>21.8</v>
      </c>
      <c r="C34" s="6">
        <f t="shared" si="10"/>
        <v>21.8</v>
      </c>
      <c r="D34" s="6">
        <f>$B34*总表!D$4</f>
        <v>22890</v>
      </c>
      <c r="E34" s="6">
        <f>$C34*总表!E$4</f>
        <v>2180</v>
      </c>
      <c r="F34" s="6">
        <f>$C34*总表!F$4</f>
        <v>654</v>
      </c>
      <c r="G34" s="6">
        <f>$C34*总表!G$4</f>
        <v>654</v>
      </c>
      <c r="L34" s="6">
        <v>33</v>
      </c>
      <c r="M34" s="6">
        <v>53</v>
      </c>
      <c r="N34" s="6">
        <f t="shared" si="11"/>
        <v>34440</v>
      </c>
      <c r="O34" s="6">
        <f t="shared" si="12"/>
        <v>3280</v>
      </c>
      <c r="P34" s="6">
        <f t="shared" si="13"/>
        <v>984.000000000001</v>
      </c>
      <c r="Q34" s="6">
        <f t="shared" si="14"/>
        <v>984.000000000001</v>
      </c>
      <c r="S34" s="6">
        <v>1</v>
      </c>
      <c r="T34" s="6">
        <v>29</v>
      </c>
      <c r="U34" s="6">
        <v>1</v>
      </c>
      <c r="V34" s="6">
        <v>1</v>
      </c>
      <c r="X34" s="6">
        <f t="shared" si="5"/>
        <v>20580</v>
      </c>
      <c r="Y34" s="6">
        <f t="shared" si="6"/>
        <v>1960</v>
      </c>
      <c r="Z34" s="6">
        <f t="shared" si="7"/>
        <v>588</v>
      </c>
      <c r="AA34" s="6">
        <f t="shared" si="8"/>
        <v>588</v>
      </c>
    </row>
    <row r="35" s="4" customFormat="1" ht="20.1" customHeight="1" spans="1:27">
      <c r="A35" s="6">
        <v>34</v>
      </c>
      <c r="B35" s="6">
        <f t="shared" si="9"/>
        <v>22.35</v>
      </c>
      <c r="C35" s="6">
        <f t="shared" si="10"/>
        <v>22.35</v>
      </c>
      <c r="D35" s="6">
        <f>$B35*总表!D$4</f>
        <v>23467.5</v>
      </c>
      <c r="E35" s="6">
        <f>$C35*总表!E$4</f>
        <v>2235</v>
      </c>
      <c r="F35" s="6">
        <f>$C35*总表!F$4</f>
        <v>670.5</v>
      </c>
      <c r="G35" s="6">
        <f>$C35*总表!G$4</f>
        <v>670.5</v>
      </c>
      <c r="L35" s="6">
        <v>34</v>
      </c>
      <c r="M35" s="6">
        <v>54</v>
      </c>
      <c r="N35" s="6">
        <f t="shared" si="11"/>
        <v>35017.5</v>
      </c>
      <c r="O35" s="6">
        <f t="shared" si="12"/>
        <v>3335</v>
      </c>
      <c r="P35" s="6">
        <f t="shared" si="13"/>
        <v>1000.5</v>
      </c>
      <c r="Q35" s="6">
        <f t="shared" si="14"/>
        <v>1000.5</v>
      </c>
      <c r="S35" s="6">
        <v>1</v>
      </c>
      <c r="T35" s="6">
        <v>29</v>
      </c>
      <c r="U35" s="6">
        <v>1</v>
      </c>
      <c r="V35" s="6">
        <v>1</v>
      </c>
      <c r="X35" s="6">
        <f t="shared" si="5"/>
        <v>20580</v>
      </c>
      <c r="Y35" s="6">
        <f t="shared" si="6"/>
        <v>1960</v>
      </c>
      <c r="Z35" s="6">
        <f t="shared" si="7"/>
        <v>588</v>
      </c>
      <c r="AA35" s="6">
        <f t="shared" si="8"/>
        <v>588</v>
      </c>
    </row>
    <row r="36" s="4" customFormat="1" ht="20.1" customHeight="1" spans="1:27">
      <c r="A36" s="6">
        <v>35</v>
      </c>
      <c r="B36" s="6">
        <f t="shared" si="9"/>
        <v>22.9</v>
      </c>
      <c r="C36" s="6">
        <f t="shared" si="10"/>
        <v>22.9</v>
      </c>
      <c r="D36" s="6">
        <f>$B36*总表!D$4</f>
        <v>24045</v>
      </c>
      <c r="E36" s="6">
        <f>$C36*总表!E$4</f>
        <v>2290</v>
      </c>
      <c r="F36" s="6">
        <f>$C36*总表!F$4</f>
        <v>687</v>
      </c>
      <c r="G36" s="6">
        <f>$C36*总表!G$4</f>
        <v>687</v>
      </c>
      <c r="L36" s="6">
        <v>35</v>
      </c>
      <c r="M36" s="6">
        <v>55</v>
      </c>
      <c r="N36" s="6">
        <f t="shared" si="11"/>
        <v>35595</v>
      </c>
      <c r="O36" s="6">
        <f t="shared" si="12"/>
        <v>3390</v>
      </c>
      <c r="P36" s="6">
        <f t="shared" si="13"/>
        <v>1017</v>
      </c>
      <c r="Q36" s="6">
        <f t="shared" si="14"/>
        <v>1017</v>
      </c>
      <c r="S36" s="6">
        <v>3</v>
      </c>
      <c r="T36" s="6">
        <v>29</v>
      </c>
      <c r="U36" s="6">
        <v>2.5</v>
      </c>
      <c r="V36" s="6">
        <v>1.3</v>
      </c>
      <c r="X36" s="6">
        <f t="shared" si="5"/>
        <v>51450</v>
      </c>
      <c r="Y36" s="6">
        <f t="shared" si="6"/>
        <v>2548</v>
      </c>
      <c r="Z36" s="6">
        <f t="shared" si="7"/>
        <v>588</v>
      </c>
      <c r="AA36" s="6">
        <f t="shared" si="8"/>
        <v>588</v>
      </c>
    </row>
    <row r="37" s="4" customFormat="1" ht="20.1" customHeight="1" spans="1:27">
      <c r="A37" s="6">
        <v>36</v>
      </c>
      <c r="B37" s="6">
        <f t="shared" si="9"/>
        <v>23.45</v>
      </c>
      <c r="C37" s="6">
        <f t="shared" si="10"/>
        <v>23.45</v>
      </c>
      <c r="D37" s="6">
        <f>$B37*总表!D$4</f>
        <v>24622.5</v>
      </c>
      <c r="E37" s="6">
        <f>$C37*总表!E$4</f>
        <v>2345</v>
      </c>
      <c r="F37" s="6">
        <f>$C37*总表!F$4</f>
        <v>703.5</v>
      </c>
      <c r="G37" s="6">
        <f>$C37*总表!G$4</f>
        <v>703.5</v>
      </c>
      <c r="L37" s="6">
        <v>36</v>
      </c>
      <c r="M37" s="6">
        <v>56</v>
      </c>
      <c r="N37" s="6">
        <f t="shared" si="11"/>
        <v>36172.5</v>
      </c>
      <c r="O37" s="6">
        <f t="shared" si="12"/>
        <v>3445</v>
      </c>
      <c r="P37" s="6">
        <f t="shared" si="13"/>
        <v>1033.5</v>
      </c>
      <c r="Q37" s="6">
        <f t="shared" si="14"/>
        <v>1033.5</v>
      </c>
      <c r="S37" s="6">
        <v>1</v>
      </c>
      <c r="T37" s="6">
        <v>30</v>
      </c>
      <c r="U37" s="6">
        <v>1</v>
      </c>
      <c r="V37" s="6">
        <v>1</v>
      </c>
      <c r="X37" s="6">
        <f t="shared" si="5"/>
        <v>21158</v>
      </c>
      <c r="Y37" s="6">
        <f t="shared" si="6"/>
        <v>2015</v>
      </c>
      <c r="Z37" s="6">
        <f t="shared" si="7"/>
        <v>605</v>
      </c>
      <c r="AA37" s="6">
        <f t="shared" si="8"/>
        <v>605</v>
      </c>
    </row>
    <row r="38" s="4" customFormat="1" ht="20.1" customHeight="1" spans="1:27">
      <c r="A38" s="6">
        <v>37</v>
      </c>
      <c r="B38" s="6">
        <f t="shared" si="9"/>
        <v>24</v>
      </c>
      <c r="C38" s="6">
        <f t="shared" si="10"/>
        <v>24</v>
      </c>
      <c r="D38" s="6">
        <f>$B38*总表!D$4</f>
        <v>25200</v>
      </c>
      <c r="E38" s="6">
        <f>$C38*总表!E$4</f>
        <v>2400</v>
      </c>
      <c r="F38" s="6">
        <f>$C38*总表!F$4</f>
        <v>720.000000000001</v>
      </c>
      <c r="G38" s="6">
        <f>$C38*总表!G$4</f>
        <v>720.000000000001</v>
      </c>
      <c r="L38" s="6">
        <v>37</v>
      </c>
      <c r="M38" s="6">
        <v>57</v>
      </c>
      <c r="N38" s="6">
        <f t="shared" si="11"/>
        <v>36750</v>
      </c>
      <c r="O38" s="6">
        <f t="shared" si="12"/>
        <v>3500</v>
      </c>
      <c r="P38" s="6">
        <f t="shared" si="13"/>
        <v>1050</v>
      </c>
      <c r="Q38" s="6">
        <f t="shared" si="14"/>
        <v>1050</v>
      </c>
      <c r="S38" s="6">
        <v>1</v>
      </c>
      <c r="T38" s="6">
        <v>30</v>
      </c>
      <c r="U38" s="6">
        <v>1</v>
      </c>
      <c r="V38" s="6">
        <v>1</v>
      </c>
      <c r="X38" s="6">
        <f t="shared" si="5"/>
        <v>21158</v>
      </c>
      <c r="Y38" s="6">
        <f t="shared" si="6"/>
        <v>2015</v>
      </c>
      <c r="Z38" s="6">
        <f t="shared" si="7"/>
        <v>605</v>
      </c>
      <c r="AA38" s="6">
        <f t="shared" si="8"/>
        <v>605</v>
      </c>
    </row>
    <row r="39" s="4" customFormat="1" ht="20.1" customHeight="1" spans="1:27">
      <c r="A39" s="6">
        <v>38</v>
      </c>
      <c r="B39" s="6">
        <f t="shared" si="9"/>
        <v>24.55</v>
      </c>
      <c r="C39" s="6">
        <f t="shared" si="10"/>
        <v>24.55</v>
      </c>
      <c r="D39" s="6">
        <f>$B39*总表!D$4</f>
        <v>25777.5</v>
      </c>
      <c r="E39" s="6">
        <f>$C39*总表!E$4</f>
        <v>2455</v>
      </c>
      <c r="F39" s="6">
        <f>$C39*总表!F$4</f>
        <v>736.500000000001</v>
      </c>
      <c r="G39" s="6">
        <f>$C39*总表!G$4</f>
        <v>736.500000000001</v>
      </c>
      <c r="L39" s="6">
        <v>38</v>
      </c>
      <c r="M39" s="6">
        <v>58</v>
      </c>
      <c r="N39" s="6">
        <f t="shared" si="11"/>
        <v>37327.5</v>
      </c>
      <c r="O39" s="6">
        <f t="shared" si="12"/>
        <v>3555</v>
      </c>
      <c r="P39" s="6">
        <f t="shared" si="13"/>
        <v>1066.5</v>
      </c>
      <c r="Q39" s="6">
        <f t="shared" si="14"/>
        <v>1066.5</v>
      </c>
      <c r="S39" s="6">
        <v>3</v>
      </c>
      <c r="T39" s="6">
        <v>30</v>
      </c>
      <c r="U39" s="6">
        <v>2.5</v>
      </c>
      <c r="V39" s="6">
        <v>1.3</v>
      </c>
      <c r="X39" s="6">
        <f t="shared" si="5"/>
        <v>52894</v>
      </c>
      <c r="Y39" s="6">
        <f t="shared" si="6"/>
        <v>2620</v>
      </c>
      <c r="Z39" s="6">
        <f t="shared" si="7"/>
        <v>605</v>
      </c>
      <c r="AA39" s="6">
        <f t="shared" si="8"/>
        <v>605</v>
      </c>
    </row>
    <row r="40" s="4" customFormat="1" ht="20.1" customHeight="1" spans="1:27">
      <c r="A40" s="6">
        <v>39</v>
      </c>
      <c r="B40" s="6">
        <f t="shared" si="9"/>
        <v>25.1</v>
      </c>
      <c r="C40" s="6">
        <f t="shared" si="10"/>
        <v>25.1</v>
      </c>
      <c r="D40" s="6">
        <f>$B40*总表!D$4</f>
        <v>26355</v>
      </c>
      <c r="E40" s="6">
        <f>$C40*总表!E$4</f>
        <v>2510</v>
      </c>
      <c r="F40" s="6">
        <f>$C40*总表!F$4</f>
        <v>753.000000000001</v>
      </c>
      <c r="G40" s="6">
        <f>$C40*总表!G$4</f>
        <v>753.000000000001</v>
      </c>
      <c r="L40" s="6">
        <v>39</v>
      </c>
      <c r="M40" s="6">
        <v>59</v>
      </c>
      <c r="N40" s="6">
        <f t="shared" si="11"/>
        <v>37905</v>
      </c>
      <c r="O40" s="6">
        <f t="shared" si="12"/>
        <v>3610</v>
      </c>
      <c r="P40" s="6">
        <f t="shared" si="13"/>
        <v>1083</v>
      </c>
      <c r="Q40" s="6">
        <f t="shared" si="14"/>
        <v>1083</v>
      </c>
      <c r="S40" s="6">
        <v>1</v>
      </c>
      <c r="T40" s="6">
        <v>31</v>
      </c>
      <c r="U40" s="6">
        <v>1</v>
      </c>
      <c r="V40" s="6">
        <v>1</v>
      </c>
      <c r="X40" s="6">
        <f t="shared" si="5"/>
        <v>21735</v>
      </c>
      <c r="Y40" s="6">
        <f t="shared" si="6"/>
        <v>2070</v>
      </c>
      <c r="Z40" s="6">
        <f t="shared" si="7"/>
        <v>621</v>
      </c>
      <c r="AA40" s="6">
        <f t="shared" si="8"/>
        <v>621</v>
      </c>
    </row>
    <row r="41" s="4" customFormat="1" ht="20.1" customHeight="1" spans="1:27">
      <c r="A41" s="6">
        <v>40</v>
      </c>
      <c r="B41" s="6">
        <f t="shared" si="9"/>
        <v>25.65</v>
      </c>
      <c r="C41" s="6">
        <f t="shared" si="10"/>
        <v>25.65</v>
      </c>
      <c r="D41" s="6">
        <f>$B41*总表!D$4</f>
        <v>26932.5</v>
      </c>
      <c r="E41" s="6">
        <f>$C41*总表!E$4</f>
        <v>2565</v>
      </c>
      <c r="F41" s="6">
        <f>$C41*总表!F$4</f>
        <v>769.500000000001</v>
      </c>
      <c r="G41" s="6">
        <f>$C41*总表!G$4</f>
        <v>769.500000000001</v>
      </c>
      <c r="L41" s="6">
        <v>40</v>
      </c>
      <c r="M41" s="6">
        <v>60</v>
      </c>
      <c r="N41" s="6">
        <f t="shared" si="11"/>
        <v>38482.5</v>
      </c>
      <c r="O41" s="6">
        <f t="shared" si="12"/>
        <v>3665</v>
      </c>
      <c r="P41" s="6">
        <f t="shared" si="13"/>
        <v>1099.5</v>
      </c>
      <c r="Q41" s="6">
        <f t="shared" si="14"/>
        <v>1099.5</v>
      </c>
      <c r="S41" s="6">
        <v>1</v>
      </c>
      <c r="T41" s="6">
        <v>31</v>
      </c>
      <c r="U41" s="6">
        <v>1</v>
      </c>
      <c r="V41" s="6">
        <v>1</v>
      </c>
      <c r="X41" s="6">
        <f t="shared" si="5"/>
        <v>21735</v>
      </c>
      <c r="Y41" s="6">
        <f t="shared" si="6"/>
        <v>2070</v>
      </c>
      <c r="Z41" s="6">
        <f t="shared" si="7"/>
        <v>621</v>
      </c>
      <c r="AA41" s="6">
        <f t="shared" si="8"/>
        <v>621</v>
      </c>
    </row>
    <row r="42" s="4" customFormat="1" ht="20.1" customHeight="1" spans="1:27">
      <c r="A42" s="6">
        <v>41</v>
      </c>
      <c r="B42" s="6">
        <f t="shared" si="9"/>
        <v>26.2</v>
      </c>
      <c r="C42" s="6">
        <f t="shared" si="10"/>
        <v>26.2</v>
      </c>
      <c r="D42" s="6">
        <f>$B42*总表!D$4</f>
        <v>27510</v>
      </c>
      <c r="E42" s="6">
        <f>$C42*总表!E$4</f>
        <v>2620</v>
      </c>
      <c r="F42" s="6">
        <f>$C42*总表!F$4</f>
        <v>786.000000000001</v>
      </c>
      <c r="G42" s="6">
        <f>$C42*总表!G$4</f>
        <v>786.000000000001</v>
      </c>
      <c r="L42" s="6">
        <v>41</v>
      </c>
      <c r="M42" s="6">
        <v>61</v>
      </c>
      <c r="N42" s="6">
        <f t="shared" si="11"/>
        <v>39060</v>
      </c>
      <c r="O42" s="6">
        <f t="shared" si="12"/>
        <v>3720</v>
      </c>
      <c r="P42" s="6">
        <f t="shared" si="13"/>
        <v>1116</v>
      </c>
      <c r="Q42" s="6">
        <f t="shared" si="14"/>
        <v>1116</v>
      </c>
      <c r="S42" s="6">
        <v>3</v>
      </c>
      <c r="T42" s="6">
        <v>31</v>
      </c>
      <c r="U42" s="6">
        <v>2.5</v>
      </c>
      <c r="V42" s="6">
        <v>1.3</v>
      </c>
      <c r="X42" s="6">
        <f t="shared" si="5"/>
        <v>54338</v>
      </c>
      <c r="Y42" s="6">
        <f t="shared" si="6"/>
        <v>2691</v>
      </c>
      <c r="Z42" s="6">
        <f t="shared" si="7"/>
        <v>621</v>
      </c>
      <c r="AA42" s="6">
        <f t="shared" si="8"/>
        <v>621</v>
      </c>
    </row>
    <row r="43" s="4" customFormat="1" ht="20.1" customHeight="1" spans="1:27">
      <c r="A43" s="6">
        <v>42</v>
      </c>
      <c r="B43" s="6">
        <f t="shared" si="9"/>
        <v>26.75</v>
      </c>
      <c r="C43" s="6">
        <f t="shared" si="10"/>
        <v>26.75</v>
      </c>
      <c r="D43" s="6">
        <f>$B43*总表!D$4</f>
        <v>28087.5</v>
      </c>
      <c r="E43" s="6">
        <f>$C43*总表!E$4</f>
        <v>2675</v>
      </c>
      <c r="F43" s="6">
        <f>$C43*总表!F$4</f>
        <v>802.500000000001</v>
      </c>
      <c r="G43" s="6">
        <f>$C43*总表!G$4</f>
        <v>802.500000000001</v>
      </c>
      <c r="L43" s="6">
        <v>42</v>
      </c>
      <c r="M43" s="6">
        <v>62</v>
      </c>
      <c r="N43" s="6">
        <f t="shared" si="11"/>
        <v>39637.5</v>
      </c>
      <c r="O43" s="6">
        <f t="shared" si="12"/>
        <v>3775</v>
      </c>
      <c r="P43" s="6">
        <f t="shared" si="13"/>
        <v>1132.5</v>
      </c>
      <c r="Q43" s="6">
        <f t="shared" si="14"/>
        <v>1132.5</v>
      </c>
      <c r="S43" s="6">
        <v>1</v>
      </c>
      <c r="T43" s="6">
        <v>32</v>
      </c>
      <c r="U43" s="6">
        <v>1</v>
      </c>
      <c r="V43" s="6">
        <v>1</v>
      </c>
      <c r="X43" s="6">
        <f t="shared" si="5"/>
        <v>22313</v>
      </c>
      <c r="Y43" s="6">
        <f t="shared" si="6"/>
        <v>2125</v>
      </c>
      <c r="Z43" s="6">
        <f t="shared" si="7"/>
        <v>638</v>
      </c>
      <c r="AA43" s="6">
        <f t="shared" si="8"/>
        <v>638</v>
      </c>
    </row>
    <row r="44" s="4" customFormat="1" ht="20.1" customHeight="1" spans="1:27">
      <c r="A44" s="6">
        <v>43</v>
      </c>
      <c r="B44" s="6">
        <f t="shared" si="9"/>
        <v>27.3</v>
      </c>
      <c r="C44" s="6">
        <f t="shared" si="10"/>
        <v>27.3</v>
      </c>
      <c r="D44" s="6">
        <f>$B44*总表!D$4</f>
        <v>28665</v>
      </c>
      <c r="E44" s="6">
        <f>$C44*总表!E$4</f>
        <v>2730</v>
      </c>
      <c r="F44" s="6">
        <f>$C44*总表!F$4</f>
        <v>819.000000000001</v>
      </c>
      <c r="G44" s="6">
        <f>$C44*总表!G$4</f>
        <v>819.000000000001</v>
      </c>
      <c r="L44" s="6">
        <v>43</v>
      </c>
      <c r="M44" s="6">
        <v>63</v>
      </c>
      <c r="N44" s="6">
        <f t="shared" si="11"/>
        <v>40215</v>
      </c>
      <c r="O44" s="6">
        <f t="shared" si="12"/>
        <v>3830</v>
      </c>
      <c r="P44" s="6">
        <f t="shared" si="13"/>
        <v>1149</v>
      </c>
      <c r="Q44" s="6">
        <f t="shared" si="14"/>
        <v>1149</v>
      </c>
      <c r="S44" s="6">
        <v>1</v>
      </c>
      <c r="T44" s="6">
        <v>32</v>
      </c>
      <c r="U44" s="6">
        <v>1</v>
      </c>
      <c r="V44" s="6">
        <v>1</v>
      </c>
      <c r="X44" s="6">
        <f t="shared" si="5"/>
        <v>22313</v>
      </c>
      <c r="Y44" s="6">
        <f t="shared" si="6"/>
        <v>2125</v>
      </c>
      <c r="Z44" s="6">
        <f t="shared" si="7"/>
        <v>638</v>
      </c>
      <c r="AA44" s="6">
        <f t="shared" si="8"/>
        <v>638</v>
      </c>
    </row>
    <row r="45" s="4" customFormat="1" ht="20.1" customHeight="1" spans="1:27">
      <c r="A45" s="6">
        <v>44</v>
      </c>
      <c r="B45" s="6">
        <f t="shared" si="9"/>
        <v>27.85</v>
      </c>
      <c r="C45" s="6">
        <f t="shared" si="10"/>
        <v>27.85</v>
      </c>
      <c r="D45" s="6">
        <f>$B45*总表!D$4</f>
        <v>29242.5</v>
      </c>
      <c r="E45" s="6">
        <f>$C45*总表!E$4</f>
        <v>2785</v>
      </c>
      <c r="F45" s="6">
        <f>$C45*总表!F$4</f>
        <v>835.500000000001</v>
      </c>
      <c r="G45" s="6">
        <f>$C45*总表!G$4</f>
        <v>835.500000000001</v>
      </c>
      <c r="L45" s="6">
        <v>44</v>
      </c>
      <c r="M45" s="6">
        <v>64</v>
      </c>
      <c r="N45" s="6">
        <f t="shared" si="11"/>
        <v>40792.5</v>
      </c>
      <c r="O45" s="6">
        <f t="shared" si="12"/>
        <v>3885</v>
      </c>
      <c r="P45" s="6">
        <f t="shared" si="13"/>
        <v>1165.5</v>
      </c>
      <c r="Q45" s="6">
        <f t="shared" si="14"/>
        <v>1165.5</v>
      </c>
      <c r="S45" s="6">
        <v>3</v>
      </c>
      <c r="T45" s="6">
        <v>32</v>
      </c>
      <c r="U45" s="6">
        <v>2.5</v>
      </c>
      <c r="V45" s="6">
        <v>1.3</v>
      </c>
      <c r="X45" s="6">
        <f t="shared" si="5"/>
        <v>55781</v>
      </c>
      <c r="Y45" s="6">
        <f t="shared" si="6"/>
        <v>2763</v>
      </c>
      <c r="Z45" s="6">
        <f t="shared" si="7"/>
        <v>638</v>
      </c>
      <c r="AA45" s="6">
        <f t="shared" si="8"/>
        <v>638</v>
      </c>
    </row>
    <row r="46" s="4" customFormat="1" ht="20.1" customHeight="1" spans="1:27">
      <c r="A46" s="6">
        <v>45</v>
      </c>
      <c r="B46" s="6">
        <f t="shared" si="9"/>
        <v>28.4</v>
      </c>
      <c r="C46" s="6">
        <f t="shared" si="10"/>
        <v>28.4</v>
      </c>
      <c r="D46" s="6">
        <f>$B46*总表!D$4</f>
        <v>29820</v>
      </c>
      <c r="E46" s="6">
        <f>$C46*总表!E$4</f>
        <v>2840</v>
      </c>
      <c r="F46" s="6">
        <f>$C46*总表!F$4</f>
        <v>852.000000000001</v>
      </c>
      <c r="G46" s="6">
        <f>$C46*总表!G$4</f>
        <v>852.000000000001</v>
      </c>
      <c r="L46" s="6">
        <v>45</v>
      </c>
      <c r="M46" s="6">
        <v>65</v>
      </c>
      <c r="N46" s="6">
        <f t="shared" si="11"/>
        <v>41370</v>
      </c>
      <c r="O46" s="6">
        <f t="shared" si="12"/>
        <v>3940</v>
      </c>
      <c r="P46" s="6">
        <f t="shared" si="13"/>
        <v>1182</v>
      </c>
      <c r="Q46" s="6">
        <f t="shared" si="14"/>
        <v>1182</v>
      </c>
      <c r="S46" s="6">
        <v>1</v>
      </c>
      <c r="T46" s="6">
        <v>33</v>
      </c>
      <c r="U46" s="6">
        <v>1</v>
      </c>
      <c r="V46" s="6">
        <v>1</v>
      </c>
      <c r="X46" s="6">
        <f t="shared" si="5"/>
        <v>22890</v>
      </c>
      <c r="Y46" s="6">
        <f t="shared" si="6"/>
        <v>2180</v>
      </c>
      <c r="Z46" s="6">
        <f t="shared" si="7"/>
        <v>654</v>
      </c>
      <c r="AA46" s="6">
        <f t="shared" si="8"/>
        <v>654</v>
      </c>
    </row>
    <row r="47" s="4" customFormat="1" ht="20.1" customHeight="1" spans="1:27">
      <c r="A47" s="6">
        <v>46</v>
      </c>
      <c r="B47" s="6">
        <f t="shared" si="9"/>
        <v>28.95</v>
      </c>
      <c r="C47" s="6">
        <f t="shared" si="10"/>
        <v>28.95</v>
      </c>
      <c r="D47" s="6">
        <f>$B47*总表!D$4</f>
        <v>30397.5</v>
      </c>
      <c r="E47" s="6">
        <f>$C47*总表!E$4</f>
        <v>2895</v>
      </c>
      <c r="F47" s="6">
        <f>$C47*总表!F$4</f>
        <v>868.500000000001</v>
      </c>
      <c r="G47" s="6">
        <f>$C47*总表!G$4</f>
        <v>868.500000000001</v>
      </c>
      <c r="L47" s="6">
        <v>46</v>
      </c>
      <c r="M47" s="6">
        <v>66</v>
      </c>
      <c r="N47" s="6">
        <f t="shared" si="11"/>
        <v>41947.5</v>
      </c>
      <c r="O47" s="6">
        <f t="shared" si="12"/>
        <v>3995</v>
      </c>
      <c r="P47" s="6">
        <f t="shared" si="13"/>
        <v>1198.5</v>
      </c>
      <c r="Q47" s="6">
        <f t="shared" si="14"/>
        <v>1198.5</v>
      </c>
      <c r="S47" s="6">
        <v>1</v>
      </c>
      <c r="T47" s="6">
        <v>33</v>
      </c>
      <c r="U47" s="6">
        <v>1</v>
      </c>
      <c r="V47" s="6">
        <v>1</v>
      </c>
      <c r="X47" s="6">
        <f t="shared" si="5"/>
        <v>22890</v>
      </c>
      <c r="Y47" s="6">
        <f t="shared" si="6"/>
        <v>2180</v>
      </c>
      <c r="Z47" s="6">
        <f t="shared" si="7"/>
        <v>654</v>
      </c>
      <c r="AA47" s="6">
        <f t="shared" si="8"/>
        <v>654</v>
      </c>
    </row>
    <row r="48" s="4" customFormat="1" ht="20.1" customHeight="1" spans="1:27">
      <c r="A48" s="6">
        <v>47</v>
      </c>
      <c r="B48" s="6">
        <f t="shared" si="9"/>
        <v>29.5</v>
      </c>
      <c r="C48" s="6">
        <f t="shared" si="10"/>
        <v>29.5</v>
      </c>
      <c r="D48" s="6">
        <f>$B48*总表!D$4</f>
        <v>30975</v>
      </c>
      <c r="E48" s="6">
        <f>$C48*总表!E$4</f>
        <v>2950</v>
      </c>
      <c r="F48" s="6">
        <f>$C48*总表!F$4</f>
        <v>885.000000000001</v>
      </c>
      <c r="G48" s="6">
        <f>$C48*总表!G$4</f>
        <v>885.000000000001</v>
      </c>
      <c r="L48" s="6">
        <v>47</v>
      </c>
      <c r="M48" s="6">
        <v>67</v>
      </c>
      <c r="N48" s="6">
        <f t="shared" si="11"/>
        <v>42525</v>
      </c>
      <c r="O48" s="6">
        <f t="shared" si="12"/>
        <v>4050</v>
      </c>
      <c r="P48" s="6">
        <f t="shared" si="13"/>
        <v>1215</v>
      </c>
      <c r="Q48" s="6">
        <f t="shared" si="14"/>
        <v>1215</v>
      </c>
      <c r="S48" s="6">
        <v>3</v>
      </c>
      <c r="T48" s="6">
        <v>33</v>
      </c>
      <c r="U48" s="6">
        <v>2.5</v>
      </c>
      <c r="V48" s="6">
        <v>1.3</v>
      </c>
      <c r="X48" s="6">
        <f t="shared" si="5"/>
        <v>57225</v>
      </c>
      <c r="Y48" s="6">
        <f t="shared" si="6"/>
        <v>2834</v>
      </c>
      <c r="Z48" s="6">
        <f t="shared" si="7"/>
        <v>654</v>
      </c>
      <c r="AA48" s="6">
        <f t="shared" si="8"/>
        <v>654</v>
      </c>
    </row>
    <row r="49" s="4" customFormat="1" ht="20.1" customHeight="1" spans="1:27">
      <c r="A49" s="6">
        <v>48</v>
      </c>
      <c r="B49" s="6">
        <f t="shared" si="9"/>
        <v>30.05</v>
      </c>
      <c r="C49" s="6">
        <f t="shared" si="10"/>
        <v>30.05</v>
      </c>
      <c r="D49" s="6">
        <f>$B49*总表!D$4</f>
        <v>31552.5</v>
      </c>
      <c r="E49" s="6">
        <f>$C49*总表!E$4</f>
        <v>3005</v>
      </c>
      <c r="F49" s="6">
        <f>$C49*总表!F$4</f>
        <v>901.500000000001</v>
      </c>
      <c r="G49" s="6">
        <f>$C49*总表!G$4</f>
        <v>901.500000000001</v>
      </c>
      <c r="L49" s="6">
        <v>48</v>
      </c>
      <c r="M49" s="6">
        <v>68</v>
      </c>
      <c r="N49" s="6">
        <f t="shared" si="11"/>
        <v>43102.5</v>
      </c>
      <c r="O49" s="6">
        <f t="shared" si="12"/>
        <v>4105</v>
      </c>
      <c r="P49" s="6">
        <f t="shared" si="13"/>
        <v>1231.5</v>
      </c>
      <c r="Q49" s="6">
        <f t="shared" si="14"/>
        <v>1231.5</v>
      </c>
      <c r="S49" s="6">
        <v>1</v>
      </c>
      <c r="T49" s="6">
        <v>35</v>
      </c>
      <c r="U49" s="6">
        <v>1</v>
      </c>
      <c r="V49" s="6">
        <v>1</v>
      </c>
      <c r="X49" s="6">
        <f t="shared" si="5"/>
        <v>24045</v>
      </c>
      <c r="Y49" s="6">
        <f t="shared" si="6"/>
        <v>2290</v>
      </c>
      <c r="Z49" s="6">
        <f t="shared" si="7"/>
        <v>687</v>
      </c>
      <c r="AA49" s="6">
        <f t="shared" si="8"/>
        <v>687</v>
      </c>
    </row>
    <row r="50" s="4" customFormat="1" ht="20.1" customHeight="1" spans="1:27">
      <c r="A50" s="6">
        <v>49</v>
      </c>
      <c r="B50" s="6">
        <f t="shared" si="9"/>
        <v>30.6</v>
      </c>
      <c r="C50" s="6">
        <f t="shared" si="10"/>
        <v>30.6</v>
      </c>
      <c r="D50" s="6">
        <f>$B50*总表!D$4</f>
        <v>32130</v>
      </c>
      <c r="E50" s="6">
        <f>$C50*总表!E$4</f>
        <v>3060</v>
      </c>
      <c r="F50" s="6">
        <f>$C50*总表!F$4</f>
        <v>918.000000000001</v>
      </c>
      <c r="G50" s="6">
        <f>$C50*总表!G$4</f>
        <v>918.000000000001</v>
      </c>
      <c r="L50" s="6">
        <v>49</v>
      </c>
      <c r="M50" s="6">
        <v>69</v>
      </c>
      <c r="N50" s="6">
        <f t="shared" si="11"/>
        <v>43680</v>
      </c>
      <c r="O50" s="6">
        <f t="shared" si="12"/>
        <v>4160</v>
      </c>
      <c r="P50" s="6">
        <f t="shared" si="13"/>
        <v>1248</v>
      </c>
      <c r="Q50" s="6">
        <f t="shared" si="14"/>
        <v>1248</v>
      </c>
      <c r="S50" s="6">
        <v>1</v>
      </c>
      <c r="T50" s="6">
        <v>35</v>
      </c>
      <c r="U50" s="6">
        <v>1</v>
      </c>
      <c r="V50" s="6">
        <v>1</v>
      </c>
      <c r="X50" s="6">
        <f t="shared" si="5"/>
        <v>24045</v>
      </c>
      <c r="Y50" s="6">
        <f t="shared" si="6"/>
        <v>2290</v>
      </c>
      <c r="Z50" s="6">
        <f t="shared" si="7"/>
        <v>687</v>
      </c>
      <c r="AA50" s="6">
        <f t="shared" si="8"/>
        <v>687</v>
      </c>
    </row>
    <row r="51" s="4" customFormat="1" ht="20.1" customHeight="1" spans="1:27">
      <c r="A51" s="6">
        <v>50</v>
      </c>
      <c r="B51" s="6">
        <f t="shared" si="9"/>
        <v>31.15</v>
      </c>
      <c r="C51" s="6">
        <f t="shared" si="10"/>
        <v>31.15</v>
      </c>
      <c r="D51" s="6">
        <f>$B51*总表!D$4</f>
        <v>32707.5</v>
      </c>
      <c r="E51" s="6">
        <f>$C51*总表!E$4</f>
        <v>3115</v>
      </c>
      <c r="F51" s="6">
        <f>$C51*总表!F$4</f>
        <v>934.500000000001</v>
      </c>
      <c r="G51" s="6">
        <f>$C51*总表!G$4</f>
        <v>934.500000000001</v>
      </c>
      <c r="L51" s="6">
        <v>50</v>
      </c>
      <c r="M51" s="6">
        <v>70</v>
      </c>
      <c r="N51" s="6">
        <f t="shared" si="11"/>
        <v>44257.5</v>
      </c>
      <c r="O51" s="6">
        <f t="shared" si="12"/>
        <v>4215</v>
      </c>
      <c r="P51" s="6">
        <f t="shared" si="13"/>
        <v>1264.5</v>
      </c>
      <c r="Q51" s="6">
        <f t="shared" si="14"/>
        <v>1264.5</v>
      </c>
      <c r="S51" s="6">
        <v>3</v>
      </c>
      <c r="T51" s="6">
        <v>35</v>
      </c>
      <c r="U51" s="6">
        <v>2.5</v>
      </c>
      <c r="V51" s="6">
        <v>1.3</v>
      </c>
      <c r="X51" s="6">
        <f t="shared" si="5"/>
        <v>60113</v>
      </c>
      <c r="Y51" s="6">
        <f t="shared" si="6"/>
        <v>2977</v>
      </c>
      <c r="Z51" s="6">
        <f t="shared" si="7"/>
        <v>687</v>
      </c>
      <c r="AA51" s="6">
        <f t="shared" si="8"/>
        <v>687</v>
      </c>
    </row>
    <row r="52" s="4" customFormat="1" ht="20.1" customHeight="1" spans="1:27">
      <c r="A52" s="6">
        <v>51</v>
      </c>
      <c r="B52" s="6">
        <f t="shared" si="9"/>
        <v>31.7</v>
      </c>
      <c r="C52" s="6">
        <f t="shared" si="10"/>
        <v>31.7</v>
      </c>
      <c r="D52" s="6">
        <f>$B52*总表!D$4</f>
        <v>33285</v>
      </c>
      <c r="E52" s="6">
        <f>$C52*总表!E$4</f>
        <v>3170</v>
      </c>
      <c r="F52" s="6">
        <f>$C52*总表!F$4</f>
        <v>951.000000000001</v>
      </c>
      <c r="G52" s="6">
        <f>$C52*总表!G$4</f>
        <v>951.000000000001</v>
      </c>
      <c r="S52" s="6">
        <v>1</v>
      </c>
      <c r="T52" s="6">
        <v>37</v>
      </c>
      <c r="U52" s="6">
        <v>1</v>
      </c>
      <c r="V52" s="6">
        <v>1</v>
      </c>
      <c r="X52" s="6">
        <f t="shared" si="5"/>
        <v>25200</v>
      </c>
      <c r="Y52" s="6">
        <f t="shared" si="6"/>
        <v>2400</v>
      </c>
      <c r="Z52" s="6">
        <f t="shared" si="7"/>
        <v>720</v>
      </c>
      <c r="AA52" s="6">
        <f t="shared" si="8"/>
        <v>720</v>
      </c>
    </row>
    <row r="53" s="4" customFormat="1" ht="20.1" customHeight="1" spans="1:27">
      <c r="A53" s="6">
        <v>52</v>
      </c>
      <c r="B53" s="6">
        <f t="shared" si="9"/>
        <v>32.25</v>
      </c>
      <c r="C53" s="6">
        <f t="shared" si="10"/>
        <v>32.25</v>
      </c>
      <c r="D53" s="6">
        <f>$B53*总表!D$4</f>
        <v>33862.5</v>
      </c>
      <c r="E53" s="6">
        <f>$C53*总表!E$4</f>
        <v>3225</v>
      </c>
      <c r="F53" s="6">
        <f>$C53*总表!F$4</f>
        <v>967.500000000001</v>
      </c>
      <c r="G53" s="6">
        <f>$C53*总表!G$4</f>
        <v>967.500000000001</v>
      </c>
      <c r="S53" s="6">
        <v>1</v>
      </c>
      <c r="T53" s="6">
        <v>37</v>
      </c>
      <c r="U53" s="6">
        <v>1</v>
      </c>
      <c r="V53" s="6">
        <v>1</v>
      </c>
      <c r="X53" s="6">
        <f t="shared" si="5"/>
        <v>25200</v>
      </c>
      <c r="Y53" s="6">
        <f t="shared" si="6"/>
        <v>2400</v>
      </c>
      <c r="Z53" s="6">
        <f t="shared" si="7"/>
        <v>720</v>
      </c>
      <c r="AA53" s="6">
        <f t="shared" si="8"/>
        <v>720</v>
      </c>
    </row>
    <row r="54" s="4" customFormat="1" ht="20.1" customHeight="1" spans="1:27">
      <c r="A54" s="6">
        <v>53</v>
      </c>
      <c r="B54" s="6">
        <f t="shared" si="9"/>
        <v>32.8</v>
      </c>
      <c r="C54" s="6">
        <f t="shared" si="10"/>
        <v>32.8</v>
      </c>
      <c r="D54" s="6">
        <f>$B54*总表!D$4</f>
        <v>34440</v>
      </c>
      <c r="E54" s="6">
        <f>$C54*总表!E$4</f>
        <v>3280</v>
      </c>
      <c r="F54" s="6">
        <f>$C54*总表!F$4</f>
        <v>984.000000000001</v>
      </c>
      <c r="G54" s="6">
        <f>$C54*总表!G$4</f>
        <v>984.000000000001</v>
      </c>
      <c r="S54" s="6">
        <v>3</v>
      </c>
      <c r="T54" s="6">
        <v>37</v>
      </c>
      <c r="U54" s="6">
        <v>2.5</v>
      </c>
      <c r="V54" s="6">
        <v>1.3</v>
      </c>
      <c r="X54" s="6">
        <f t="shared" si="5"/>
        <v>63000</v>
      </c>
      <c r="Y54" s="6">
        <f t="shared" si="6"/>
        <v>3120</v>
      </c>
      <c r="Z54" s="6">
        <f t="shared" si="7"/>
        <v>720</v>
      </c>
      <c r="AA54" s="6">
        <f t="shared" si="8"/>
        <v>720</v>
      </c>
    </row>
    <row r="55" s="4" customFormat="1" ht="20.1" customHeight="1" spans="1:27">
      <c r="A55" s="6">
        <v>54</v>
      </c>
      <c r="B55" s="6">
        <f t="shared" si="9"/>
        <v>33.35</v>
      </c>
      <c r="C55" s="6">
        <f t="shared" si="10"/>
        <v>33.35</v>
      </c>
      <c r="D55" s="6">
        <f>$B55*总表!D$4</f>
        <v>35017.5</v>
      </c>
      <c r="E55" s="6">
        <f>$C55*总表!E$4</f>
        <v>3335</v>
      </c>
      <c r="F55" s="6">
        <f>$C55*总表!F$4</f>
        <v>1000.5</v>
      </c>
      <c r="G55" s="6">
        <f>$C55*总表!G$4</f>
        <v>1000.5</v>
      </c>
      <c r="S55" s="6">
        <v>1</v>
      </c>
      <c r="T55" s="6">
        <v>39</v>
      </c>
      <c r="U55" s="6">
        <v>1</v>
      </c>
      <c r="V55" s="6">
        <v>1</v>
      </c>
      <c r="X55" s="6">
        <f t="shared" si="5"/>
        <v>26355</v>
      </c>
      <c r="Y55" s="6">
        <f t="shared" si="6"/>
        <v>2510</v>
      </c>
      <c r="Z55" s="6">
        <f t="shared" si="7"/>
        <v>753</v>
      </c>
      <c r="AA55" s="6">
        <f t="shared" si="8"/>
        <v>753</v>
      </c>
    </row>
    <row r="56" s="4" customFormat="1" ht="20.1" customHeight="1" spans="1:27">
      <c r="A56" s="6">
        <v>55</v>
      </c>
      <c r="B56" s="6">
        <f t="shared" si="9"/>
        <v>33.9</v>
      </c>
      <c r="C56" s="6">
        <f t="shared" si="10"/>
        <v>33.9</v>
      </c>
      <c r="D56" s="6">
        <f>$B56*总表!D$4</f>
        <v>35595</v>
      </c>
      <c r="E56" s="6">
        <f>$C56*总表!E$4</f>
        <v>3390</v>
      </c>
      <c r="F56" s="6">
        <f>$C56*总表!F$4</f>
        <v>1017</v>
      </c>
      <c r="G56" s="6">
        <f>$C56*总表!G$4</f>
        <v>1017</v>
      </c>
      <c r="S56" s="6">
        <v>1</v>
      </c>
      <c r="T56" s="6">
        <v>39</v>
      </c>
      <c r="U56" s="6">
        <v>1</v>
      </c>
      <c r="V56" s="6">
        <v>1</v>
      </c>
      <c r="X56" s="6">
        <f t="shared" si="5"/>
        <v>26355</v>
      </c>
      <c r="Y56" s="6">
        <f t="shared" si="6"/>
        <v>2510</v>
      </c>
      <c r="Z56" s="6">
        <f t="shared" si="7"/>
        <v>753</v>
      </c>
      <c r="AA56" s="6">
        <f t="shared" si="8"/>
        <v>753</v>
      </c>
    </row>
    <row r="57" s="4" customFormat="1" ht="20.1" customHeight="1" spans="1:27">
      <c r="A57" s="6">
        <v>56</v>
      </c>
      <c r="B57" s="6">
        <f t="shared" si="9"/>
        <v>34.45</v>
      </c>
      <c r="C57" s="6">
        <f t="shared" si="10"/>
        <v>34.45</v>
      </c>
      <c r="D57" s="6">
        <f>$B57*总表!D$4</f>
        <v>36172.5</v>
      </c>
      <c r="E57" s="6">
        <f>$C57*总表!E$4</f>
        <v>3445</v>
      </c>
      <c r="F57" s="6">
        <f>$C57*总表!F$4</f>
        <v>1033.5</v>
      </c>
      <c r="G57" s="6">
        <f>$C57*总表!G$4</f>
        <v>1033.5</v>
      </c>
      <c r="S57" s="6">
        <v>3</v>
      </c>
      <c r="T57" s="6">
        <v>39</v>
      </c>
      <c r="U57" s="6">
        <v>2.5</v>
      </c>
      <c r="V57" s="6">
        <v>1.3</v>
      </c>
      <c r="X57" s="6">
        <f t="shared" si="5"/>
        <v>65888</v>
      </c>
      <c r="Y57" s="6">
        <f t="shared" si="6"/>
        <v>3263</v>
      </c>
      <c r="Z57" s="6">
        <f t="shared" si="7"/>
        <v>753</v>
      </c>
      <c r="AA57" s="6">
        <f t="shared" si="8"/>
        <v>753</v>
      </c>
    </row>
    <row r="58" s="4" customFormat="1" ht="20.1" customHeight="1" spans="1:27">
      <c r="A58" s="6">
        <v>57</v>
      </c>
      <c r="B58" s="6">
        <f t="shared" si="9"/>
        <v>35</v>
      </c>
      <c r="C58" s="6">
        <f t="shared" si="10"/>
        <v>35</v>
      </c>
      <c r="D58" s="6">
        <f>$B58*总表!D$4</f>
        <v>36750</v>
      </c>
      <c r="E58" s="6">
        <f>$C58*总表!E$4</f>
        <v>3500</v>
      </c>
      <c r="F58" s="6">
        <f>$C58*总表!F$4</f>
        <v>1050</v>
      </c>
      <c r="G58" s="6">
        <f>$C58*总表!G$4</f>
        <v>1050</v>
      </c>
      <c r="S58" s="6">
        <v>1</v>
      </c>
      <c r="T58" s="6">
        <v>40</v>
      </c>
      <c r="U58" s="6">
        <v>1</v>
      </c>
      <c r="V58" s="6">
        <v>1</v>
      </c>
      <c r="X58" s="6">
        <f t="shared" si="5"/>
        <v>26933</v>
      </c>
      <c r="Y58" s="6">
        <f t="shared" si="6"/>
        <v>2565</v>
      </c>
      <c r="Z58" s="6">
        <f t="shared" si="7"/>
        <v>770</v>
      </c>
      <c r="AA58" s="6">
        <f t="shared" si="8"/>
        <v>770</v>
      </c>
    </row>
    <row r="59" s="4" customFormat="1" ht="20.1" customHeight="1" spans="1:27">
      <c r="A59" s="6">
        <v>58</v>
      </c>
      <c r="B59" s="6">
        <f t="shared" si="9"/>
        <v>35.55</v>
      </c>
      <c r="C59" s="6">
        <f t="shared" si="10"/>
        <v>35.55</v>
      </c>
      <c r="D59" s="6">
        <f>$B59*总表!D$4</f>
        <v>37327.5</v>
      </c>
      <c r="E59" s="6">
        <f>$C59*总表!E$4</f>
        <v>3555</v>
      </c>
      <c r="F59" s="6">
        <f>$C59*总表!F$4</f>
        <v>1066.5</v>
      </c>
      <c r="G59" s="6">
        <f>$C59*总表!G$4</f>
        <v>1066.5</v>
      </c>
      <c r="S59" s="6">
        <v>1</v>
      </c>
      <c r="T59" s="6">
        <v>40</v>
      </c>
      <c r="U59" s="6">
        <v>1</v>
      </c>
      <c r="V59" s="6">
        <v>1</v>
      </c>
      <c r="X59" s="6">
        <f t="shared" si="5"/>
        <v>26933</v>
      </c>
      <c r="Y59" s="6">
        <f t="shared" si="6"/>
        <v>2565</v>
      </c>
      <c r="Z59" s="6">
        <f t="shared" si="7"/>
        <v>770</v>
      </c>
      <c r="AA59" s="6">
        <f t="shared" si="8"/>
        <v>770</v>
      </c>
    </row>
    <row r="60" s="4" customFormat="1" ht="20.1" customHeight="1" spans="1:27">
      <c r="A60" s="6">
        <v>59</v>
      </c>
      <c r="B60" s="6">
        <f t="shared" si="9"/>
        <v>36.1</v>
      </c>
      <c r="C60" s="6">
        <f t="shared" si="10"/>
        <v>36.1</v>
      </c>
      <c r="D60" s="6">
        <f>$B60*总表!D$4</f>
        <v>37905</v>
      </c>
      <c r="E60" s="6">
        <f>$C60*总表!E$4</f>
        <v>3610</v>
      </c>
      <c r="F60" s="6">
        <f>$C60*总表!F$4</f>
        <v>1083</v>
      </c>
      <c r="G60" s="6">
        <f>$C60*总表!G$4</f>
        <v>1083</v>
      </c>
      <c r="S60" s="6">
        <v>3</v>
      </c>
      <c r="T60" s="6">
        <v>40</v>
      </c>
      <c r="U60" s="6">
        <v>2.5</v>
      </c>
      <c r="V60" s="6">
        <v>1.3</v>
      </c>
      <c r="X60" s="6">
        <f t="shared" si="5"/>
        <v>67331</v>
      </c>
      <c r="Y60" s="6">
        <f t="shared" si="6"/>
        <v>3335</v>
      </c>
      <c r="Z60" s="6">
        <f t="shared" si="7"/>
        <v>770</v>
      </c>
      <c r="AA60" s="6">
        <f t="shared" si="8"/>
        <v>770</v>
      </c>
    </row>
    <row r="61" s="4" customFormat="1" ht="20.1" customHeight="1" spans="1:27">
      <c r="A61" s="6">
        <v>60</v>
      </c>
      <c r="B61" s="6">
        <f t="shared" si="9"/>
        <v>36.65</v>
      </c>
      <c r="C61" s="6">
        <f t="shared" si="10"/>
        <v>36.65</v>
      </c>
      <c r="D61" s="6">
        <f>$B61*总表!D$4</f>
        <v>38482.5</v>
      </c>
      <c r="E61" s="6">
        <f>$C61*总表!E$4</f>
        <v>3665</v>
      </c>
      <c r="F61" s="6">
        <f>$C61*总表!F$4</f>
        <v>1099.5</v>
      </c>
      <c r="G61" s="6">
        <f>$C61*总表!G$4</f>
        <v>1099.5</v>
      </c>
      <c r="S61" s="6">
        <v>1</v>
      </c>
      <c r="T61" s="6">
        <v>41</v>
      </c>
      <c r="U61" s="6">
        <v>1</v>
      </c>
      <c r="V61" s="6">
        <v>1</v>
      </c>
      <c r="X61" s="6">
        <f t="shared" si="5"/>
        <v>27510</v>
      </c>
      <c r="Y61" s="6">
        <f t="shared" si="6"/>
        <v>2620</v>
      </c>
      <c r="Z61" s="6">
        <f t="shared" si="7"/>
        <v>786</v>
      </c>
      <c r="AA61" s="6">
        <f t="shared" si="8"/>
        <v>786</v>
      </c>
    </row>
    <row r="62" s="4" customFormat="1" ht="20.1" customHeight="1" spans="1:27">
      <c r="A62" s="6">
        <v>61</v>
      </c>
      <c r="B62" s="6">
        <f t="shared" si="9"/>
        <v>37.2</v>
      </c>
      <c r="C62" s="6">
        <f t="shared" si="10"/>
        <v>37.2</v>
      </c>
      <c r="D62" s="6">
        <f>$B62*总表!D$4</f>
        <v>39060</v>
      </c>
      <c r="E62" s="6">
        <f>$C62*总表!E$4</f>
        <v>3720</v>
      </c>
      <c r="F62" s="6">
        <f>$C62*总表!F$4</f>
        <v>1116</v>
      </c>
      <c r="G62" s="6">
        <f>$C62*总表!G$4</f>
        <v>1116</v>
      </c>
      <c r="S62" s="6">
        <v>1</v>
      </c>
      <c r="T62" s="6">
        <v>41</v>
      </c>
      <c r="U62" s="6">
        <v>1</v>
      </c>
      <c r="V62" s="6">
        <v>1</v>
      </c>
      <c r="X62" s="6">
        <f t="shared" si="5"/>
        <v>27510</v>
      </c>
      <c r="Y62" s="6">
        <f t="shared" si="6"/>
        <v>2620</v>
      </c>
      <c r="Z62" s="6">
        <f t="shared" si="7"/>
        <v>786</v>
      </c>
      <c r="AA62" s="6">
        <f t="shared" si="8"/>
        <v>786</v>
      </c>
    </row>
    <row r="63" s="4" customFormat="1" ht="20.1" customHeight="1" spans="1:27">
      <c r="A63" s="6">
        <v>62</v>
      </c>
      <c r="B63" s="6">
        <f t="shared" si="9"/>
        <v>37.75</v>
      </c>
      <c r="C63" s="6">
        <f t="shared" si="10"/>
        <v>37.75</v>
      </c>
      <c r="D63" s="6">
        <f>$B63*总表!D$4</f>
        <v>39637.5</v>
      </c>
      <c r="E63" s="6">
        <f>$C63*总表!E$4</f>
        <v>3775</v>
      </c>
      <c r="F63" s="6">
        <f>$C63*总表!F$4</f>
        <v>1132.5</v>
      </c>
      <c r="G63" s="6">
        <f>$C63*总表!G$4</f>
        <v>1132.5</v>
      </c>
      <c r="S63" s="6">
        <v>3</v>
      </c>
      <c r="T63" s="6">
        <v>41</v>
      </c>
      <c r="U63" s="6">
        <v>2.5</v>
      </c>
      <c r="V63" s="6">
        <v>1.3</v>
      </c>
      <c r="X63" s="6">
        <f t="shared" si="5"/>
        <v>68775</v>
      </c>
      <c r="Y63" s="6">
        <f t="shared" si="6"/>
        <v>3406</v>
      </c>
      <c r="Z63" s="6">
        <f t="shared" si="7"/>
        <v>786</v>
      </c>
      <c r="AA63" s="6">
        <f t="shared" si="8"/>
        <v>786</v>
      </c>
    </row>
    <row r="64" s="4" customFormat="1" ht="20.1" customHeight="1" spans="1:27">
      <c r="A64" s="6">
        <v>63</v>
      </c>
      <c r="B64" s="6">
        <f t="shared" si="9"/>
        <v>38.3</v>
      </c>
      <c r="C64" s="6">
        <f t="shared" si="10"/>
        <v>38.3</v>
      </c>
      <c r="D64" s="6">
        <f>$B64*总表!D$4</f>
        <v>40215</v>
      </c>
      <c r="E64" s="6">
        <f>$C64*总表!E$4</f>
        <v>3830</v>
      </c>
      <c r="F64" s="6">
        <f>$C64*总表!F$4</f>
        <v>1149</v>
      </c>
      <c r="G64" s="6">
        <f>$C64*总表!G$4</f>
        <v>1149</v>
      </c>
      <c r="S64" s="6">
        <v>1</v>
      </c>
      <c r="T64" s="6">
        <v>42</v>
      </c>
      <c r="U64" s="6">
        <v>1</v>
      </c>
      <c r="V64" s="6">
        <v>1</v>
      </c>
      <c r="X64" s="6">
        <f t="shared" si="5"/>
        <v>28088</v>
      </c>
      <c r="Y64" s="6">
        <f t="shared" si="6"/>
        <v>2675</v>
      </c>
      <c r="Z64" s="6">
        <f t="shared" si="7"/>
        <v>803</v>
      </c>
      <c r="AA64" s="6">
        <f t="shared" si="8"/>
        <v>803</v>
      </c>
    </row>
    <row r="65" s="4" customFormat="1" ht="20.1" customHeight="1" spans="1:27">
      <c r="A65" s="6">
        <v>64</v>
      </c>
      <c r="B65" s="6">
        <f t="shared" si="9"/>
        <v>38.85</v>
      </c>
      <c r="C65" s="6">
        <f t="shared" si="10"/>
        <v>38.85</v>
      </c>
      <c r="D65" s="6">
        <f>$B65*总表!D$4</f>
        <v>40792.5</v>
      </c>
      <c r="E65" s="6">
        <f>$C65*总表!E$4</f>
        <v>3885</v>
      </c>
      <c r="F65" s="6">
        <f>$C65*总表!F$4</f>
        <v>1165.5</v>
      </c>
      <c r="G65" s="6">
        <f>$C65*总表!G$4</f>
        <v>1165.5</v>
      </c>
      <c r="S65" s="6">
        <v>1</v>
      </c>
      <c r="T65" s="6">
        <v>42</v>
      </c>
      <c r="U65" s="6">
        <v>1</v>
      </c>
      <c r="V65" s="6">
        <v>1</v>
      </c>
      <c r="X65" s="6">
        <f t="shared" si="5"/>
        <v>28088</v>
      </c>
      <c r="Y65" s="6">
        <f t="shared" si="6"/>
        <v>2675</v>
      </c>
      <c r="Z65" s="6">
        <f t="shared" si="7"/>
        <v>803</v>
      </c>
      <c r="AA65" s="6">
        <f t="shared" si="8"/>
        <v>803</v>
      </c>
    </row>
    <row r="66" s="4" customFormat="1" ht="20.1" customHeight="1" spans="1:27">
      <c r="A66" s="6">
        <v>65</v>
      </c>
      <c r="B66" s="6">
        <f t="shared" si="9"/>
        <v>39.4</v>
      </c>
      <c r="C66" s="6">
        <f t="shared" si="10"/>
        <v>39.4</v>
      </c>
      <c r="D66" s="6">
        <f>$B66*总表!D$4</f>
        <v>41370</v>
      </c>
      <c r="E66" s="6">
        <f>$C66*总表!E$4</f>
        <v>3940</v>
      </c>
      <c r="F66" s="6">
        <f>$C66*总表!F$4</f>
        <v>1182</v>
      </c>
      <c r="G66" s="6">
        <f>$C66*总表!G$4</f>
        <v>1182</v>
      </c>
      <c r="S66" s="6">
        <v>3</v>
      </c>
      <c r="T66" s="6">
        <v>42</v>
      </c>
      <c r="U66" s="6">
        <v>2.5</v>
      </c>
      <c r="V66" s="6">
        <v>1.3</v>
      </c>
      <c r="X66" s="6">
        <f t="shared" si="5"/>
        <v>70219</v>
      </c>
      <c r="Y66" s="6">
        <f t="shared" si="6"/>
        <v>3478</v>
      </c>
      <c r="Z66" s="6">
        <f t="shared" si="7"/>
        <v>803</v>
      </c>
      <c r="AA66" s="6">
        <f t="shared" si="8"/>
        <v>803</v>
      </c>
    </row>
    <row r="67" s="4" customFormat="1" ht="20.1" customHeight="1" spans="1:27">
      <c r="A67" s="6">
        <v>66</v>
      </c>
      <c r="B67" s="6">
        <f t="shared" si="9"/>
        <v>39.95</v>
      </c>
      <c r="C67" s="6">
        <f t="shared" si="10"/>
        <v>39.95</v>
      </c>
      <c r="D67" s="6">
        <f>$B67*总表!D$4</f>
        <v>41947.5</v>
      </c>
      <c r="E67" s="6">
        <f>$C67*总表!E$4</f>
        <v>3995</v>
      </c>
      <c r="F67" s="6">
        <f>$C67*总表!F$4</f>
        <v>1198.5</v>
      </c>
      <c r="G67" s="6">
        <f>$C67*总表!G$4</f>
        <v>1198.5</v>
      </c>
      <c r="S67" s="6">
        <v>1</v>
      </c>
      <c r="T67" s="6">
        <v>43</v>
      </c>
      <c r="U67" s="6">
        <v>1</v>
      </c>
      <c r="V67" s="6">
        <v>1</v>
      </c>
      <c r="X67" s="6">
        <f t="shared" ref="X67:X102" si="15">ROUND(LOOKUP($T67,$A:$A,D:D)*U67,0)</f>
        <v>28665</v>
      </c>
      <c r="Y67" s="6">
        <f t="shared" ref="Y67:Y102" si="16">ROUND(LOOKUP($T67,$A:$A,E:E)*V67,0)</f>
        <v>2730</v>
      </c>
      <c r="Z67" s="6">
        <f t="shared" ref="Z67:Z102" si="17">ROUND(LOOKUP($T67,$A:$A,F:F),0)</f>
        <v>819</v>
      </c>
      <c r="AA67" s="6">
        <f t="shared" ref="AA67:AA102" si="18">ROUND(LOOKUP($T67,$A:$A,G:G),0)</f>
        <v>819</v>
      </c>
    </row>
    <row r="68" s="4" customFormat="1" ht="20.1" customHeight="1" spans="1:27">
      <c r="A68" s="6">
        <v>67</v>
      </c>
      <c r="B68" s="6">
        <f t="shared" ref="B68:B71" si="19">B67+0.55</f>
        <v>40.5</v>
      </c>
      <c r="C68" s="6">
        <f t="shared" ref="C68:C71" si="20">C67+0.55</f>
        <v>40.5</v>
      </c>
      <c r="D68" s="6">
        <f>$B68*总表!D$4</f>
        <v>42525</v>
      </c>
      <c r="E68" s="6">
        <f>$C68*总表!E$4</f>
        <v>4050</v>
      </c>
      <c r="F68" s="6">
        <f>$C68*总表!F$4</f>
        <v>1215</v>
      </c>
      <c r="G68" s="6">
        <f>$C68*总表!G$4</f>
        <v>1215</v>
      </c>
      <c r="S68" s="6">
        <v>1</v>
      </c>
      <c r="T68" s="6">
        <v>43</v>
      </c>
      <c r="U68" s="6">
        <v>1</v>
      </c>
      <c r="V68" s="6">
        <v>1</v>
      </c>
      <c r="X68" s="6">
        <f t="shared" si="15"/>
        <v>28665</v>
      </c>
      <c r="Y68" s="6">
        <f t="shared" si="16"/>
        <v>2730</v>
      </c>
      <c r="Z68" s="6">
        <f t="shared" si="17"/>
        <v>819</v>
      </c>
      <c r="AA68" s="6">
        <f t="shared" si="18"/>
        <v>819</v>
      </c>
    </row>
    <row r="69" s="4" customFormat="1" ht="20.1" customHeight="1" spans="1:27">
      <c r="A69" s="6">
        <v>68</v>
      </c>
      <c r="B69" s="6">
        <f t="shared" si="19"/>
        <v>41.05</v>
      </c>
      <c r="C69" s="6">
        <f t="shared" si="20"/>
        <v>41.05</v>
      </c>
      <c r="D69" s="6">
        <f>$B69*总表!D$4</f>
        <v>43102.5</v>
      </c>
      <c r="E69" s="6">
        <f>$C69*总表!E$4</f>
        <v>4105</v>
      </c>
      <c r="F69" s="6">
        <f>$C69*总表!F$4</f>
        <v>1231.5</v>
      </c>
      <c r="G69" s="6">
        <f>$C69*总表!G$4</f>
        <v>1231.5</v>
      </c>
      <c r="S69" s="6">
        <v>3</v>
      </c>
      <c r="T69" s="6">
        <v>43</v>
      </c>
      <c r="U69" s="6">
        <v>2.5</v>
      </c>
      <c r="V69" s="6">
        <v>1.3</v>
      </c>
      <c r="X69" s="6">
        <f t="shared" si="15"/>
        <v>71663</v>
      </c>
      <c r="Y69" s="6">
        <f t="shared" si="16"/>
        <v>3549</v>
      </c>
      <c r="Z69" s="6">
        <f t="shared" si="17"/>
        <v>819</v>
      </c>
      <c r="AA69" s="6">
        <f t="shared" si="18"/>
        <v>819</v>
      </c>
    </row>
    <row r="70" s="4" customFormat="1" ht="20.1" customHeight="1" spans="1:27">
      <c r="A70" s="6">
        <v>69</v>
      </c>
      <c r="B70" s="6">
        <f t="shared" si="19"/>
        <v>41.6</v>
      </c>
      <c r="C70" s="6">
        <f t="shared" si="20"/>
        <v>41.6</v>
      </c>
      <c r="D70" s="6">
        <f>$B70*总表!D$4</f>
        <v>43680</v>
      </c>
      <c r="E70" s="6">
        <f>$C70*总表!E$4</f>
        <v>4160</v>
      </c>
      <c r="F70" s="6">
        <f>$C70*总表!F$4</f>
        <v>1248</v>
      </c>
      <c r="G70" s="6">
        <f>$C70*总表!G$4</f>
        <v>1248</v>
      </c>
      <c r="S70" s="6">
        <v>1</v>
      </c>
      <c r="T70" s="6">
        <v>45</v>
      </c>
      <c r="U70" s="6">
        <v>1</v>
      </c>
      <c r="V70" s="6">
        <v>1</v>
      </c>
      <c r="X70" s="6">
        <f t="shared" si="15"/>
        <v>29820</v>
      </c>
      <c r="Y70" s="6">
        <f t="shared" si="16"/>
        <v>2840</v>
      </c>
      <c r="Z70" s="6">
        <f t="shared" si="17"/>
        <v>852</v>
      </c>
      <c r="AA70" s="6">
        <f t="shared" si="18"/>
        <v>852</v>
      </c>
    </row>
    <row r="71" s="4" customFormat="1" ht="20.1" customHeight="1" spans="1:27">
      <c r="A71" s="6">
        <v>70</v>
      </c>
      <c r="B71" s="6">
        <f t="shared" si="19"/>
        <v>42.15</v>
      </c>
      <c r="C71" s="6">
        <f t="shared" si="20"/>
        <v>42.15</v>
      </c>
      <c r="D71" s="6">
        <f>$B71*总表!D$4</f>
        <v>44257.5</v>
      </c>
      <c r="E71" s="6">
        <f>$C71*总表!E$4</f>
        <v>4215</v>
      </c>
      <c r="F71" s="6">
        <f>$C71*总表!F$4</f>
        <v>1264.5</v>
      </c>
      <c r="G71" s="6">
        <f>$C71*总表!G$4</f>
        <v>1264.5</v>
      </c>
      <c r="S71" s="6">
        <v>1</v>
      </c>
      <c r="T71" s="6">
        <v>45</v>
      </c>
      <c r="U71" s="6">
        <v>1</v>
      </c>
      <c r="V71" s="6">
        <v>1</v>
      </c>
      <c r="X71" s="6">
        <f t="shared" si="15"/>
        <v>29820</v>
      </c>
      <c r="Y71" s="6">
        <f t="shared" si="16"/>
        <v>2840</v>
      </c>
      <c r="Z71" s="6">
        <f t="shared" si="17"/>
        <v>852</v>
      </c>
      <c r="AA71" s="6">
        <f t="shared" si="18"/>
        <v>852</v>
      </c>
    </row>
    <row r="72" s="4" customFormat="1" ht="20.1" customHeight="1" spans="1:27">
      <c r="A72" s="6"/>
      <c r="B72" s="15"/>
      <c r="C72" s="15"/>
      <c r="D72" s="15"/>
      <c r="E72" s="15"/>
      <c r="F72" s="15"/>
      <c r="G72" s="15"/>
      <c r="S72" s="6">
        <v>3</v>
      </c>
      <c r="T72" s="6">
        <v>45</v>
      </c>
      <c r="U72" s="6">
        <v>2.5</v>
      </c>
      <c r="V72" s="6">
        <v>1.3</v>
      </c>
      <c r="X72" s="6">
        <f t="shared" si="15"/>
        <v>74550</v>
      </c>
      <c r="Y72" s="6">
        <f t="shared" si="16"/>
        <v>3692</v>
      </c>
      <c r="Z72" s="6">
        <f t="shared" si="17"/>
        <v>852</v>
      </c>
      <c r="AA72" s="6">
        <f t="shared" si="18"/>
        <v>852</v>
      </c>
    </row>
    <row r="73" s="4" customFormat="1" ht="20.1" customHeight="1" spans="1:27">
      <c r="A73" s="6"/>
      <c r="B73" s="15"/>
      <c r="C73" s="15"/>
      <c r="D73" s="15"/>
      <c r="E73" s="15"/>
      <c r="F73" s="15"/>
      <c r="G73" s="15"/>
      <c r="S73" s="6">
        <v>1</v>
      </c>
      <c r="T73" s="6">
        <v>47</v>
      </c>
      <c r="U73" s="6">
        <v>1</v>
      </c>
      <c r="V73" s="6">
        <v>1</v>
      </c>
      <c r="X73" s="6">
        <f t="shared" si="15"/>
        <v>30975</v>
      </c>
      <c r="Y73" s="6">
        <f t="shared" si="16"/>
        <v>2950</v>
      </c>
      <c r="Z73" s="6">
        <f t="shared" si="17"/>
        <v>885</v>
      </c>
      <c r="AA73" s="6">
        <f t="shared" si="18"/>
        <v>885</v>
      </c>
    </row>
    <row r="74" s="4" customFormat="1" ht="20.1" customHeight="1" spans="1:27">
      <c r="A74" s="6"/>
      <c r="B74" s="15"/>
      <c r="C74" s="15"/>
      <c r="D74" s="15"/>
      <c r="E74" s="15"/>
      <c r="F74" s="15"/>
      <c r="G74" s="15"/>
      <c r="S74" s="6">
        <v>1</v>
      </c>
      <c r="T74" s="6">
        <v>47</v>
      </c>
      <c r="U74" s="6">
        <v>1</v>
      </c>
      <c r="V74" s="6">
        <v>1</v>
      </c>
      <c r="X74" s="6">
        <f t="shared" si="15"/>
        <v>30975</v>
      </c>
      <c r="Y74" s="6">
        <f t="shared" si="16"/>
        <v>2950</v>
      </c>
      <c r="Z74" s="6">
        <f t="shared" si="17"/>
        <v>885</v>
      </c>
      <c r="AA74" s="6">
        <f t="shared" si="18"/>
        <v>885</v>
      </c>
    </row>
    <row r="75" s="4" customFormat="1" ht="20.1" customHeight="1" spans="1:27">
      <c r="A75" s="6"/>
      <c r="B75" s="15"/>
      <c r="C75" s="15"/>
      <c r="D75" s="15"/>
      <c r="E75" s="15"/>
      <c r="F75" s="15"/>
      <c r="G75" s="15"/>
      <c r="S75" s="6">
        <v>3</v>
      </c>
      <c r="T75" s="6">
        <v>47</v>
      </c>
      <c r="U75" s="6">
        <v>2.5</v>
      </c>
      <c r="V75" s="6">
        <v>1.3</v>
      </c>
      <c r="X75" s="6">
        <f t="shared" si="15"/>
        <v>77438</v>
      </c>
      <c r="Y75" s="6">
        <f t="shared" si="16"/>
        <v>3835</v>
      </c>
      <c r="Z75" s="6">
        <f t="shared" si="17"/>
        <v>885</v>
      </c>
      <c r="AA75" s="6">
        <f t="shared" si="18"/>
        <v>885</v>
      </c>
    </row>
    <row r="76" s="4" customFormat="1" ht="20.1" customHeight="1" spans="1:27">
      <c r="A76" s="6"/>
      <c r="B76" s="15"/>
      <c r="C76" s="15"/>
      <c r="D76" s="15"/>
      <c r="E76" s="15"/>
      <c r="F76" s="15"/>
      <c r="G76" s="15"/>
      <c r="S76" s="6">
        <v>1</v>
      </c>
      <c r="T76" s="6">
        <v>49</v>
      </c>
      <c r="U76" s="6">
        <v>1</v>
      </c>
      <c r="V76" s="6">
        <v>1</v>
      </c>
      <c r="X76" s="6">
        <f t="shared" si="15"/>
        <v>32130</v>
      </c>
      <c r="Y76" s="6">
        <f t="shared" si="16"/>
        <v>3060</v>
      </c>
      <c r="Z76" s="6">
        <f t="shared" si="17"/>
        <v>918</v>
      </c>
      <c r="AA76" s="6">
        <f t="shared" si="18"/>
        <v>918</v>
      </c>
    </row>
    <row r="77" s="4" customFormat="1" ht="20.1" customHeight="1" spans="1:27">
      <c r="A77" s="6"/>
      <c r="B77" s="15"/>
      <c r="C77" s="15"/>
      <c r="D77" s="15"/>
      <c r="E77" s="15"/>
      <c r="F77" s="15"/>
      <c r="G77" s="15"/>
      <c r="S77" s="6">
        <v>1</v>
      </c>
      <c r="T77" s="6">
        <v>49</v>
      </c>
      <c r="U77" s="6">
        <v>1</v>
      </c>
      <c r="V77" s="6">
        <v>1</v>
      </c>
      <c r="X77" s="6">
        <f t="shared" si="15"/>
        <v>32130</v>
      </c>
      <c r="Y77" s="6">
        <f t="shared" si="16"/>
        <v>3060</v>
      </c>
      <c r="Z77" s="6">
        <f t="shared" si="17"/>
        <v>918</v>
      </c>
      <c r="AA77" s="6">
        <f t="shared" si="18"/>
        <v>918</v>
      </c>
    </row>
    <row r="78" s="4" customFormat="1" ht="20.1" customHeight="1" spans="1:27">
      <c r="A78" s="6"/>
      <c r="B78" s="15"/>
      <c r="C78" s="15"/>
      <c r="D78" s="15"/>
      <c r="E78" s="15"/>
      <c r="F78" s="15"/>
      <c r="G78" s="15"/>
      <c r="S78" s="6">
        <v>3</v>
      </c>
      <c r="T78" s="6">
        <v>49</v>
      </c>
      <c r="U78" s="6">
        <v>2.5</v>
      </c>
      <c r="V78" s="6">
        <v>1.3</v>
      </c>
      <c r="X78" s="6">
        <f t="shared" si="15"/>
        <v>80325</v>
      </c>
      <c r="Y78" s="6">
        <f t="shared" si="16"/>
        <v>3978</v>
      </c>
      <c r="Z78" s="6">
        <f t="shared" si="17"/>
        <v>918</v>
      </c>
      <c r="AA78" s="6">
        <f t="shared" si="18"/>
        <v>918</v>
      </c>
    </row>
    <row r="79" s="4" customFormat="1" ht="20.1" customHeight="1" spans="1:27">
      <c r="A79" s="6"/>
      <c r="B79" s="15"/>
      <c r="C79" s="15"/>
      <c r="D79" s="15"/>
      <c r="E79" s="15"/>
      <c r="F79" s="15"/>
      <c r="G79" s="15"/>
      <c r="S79" s="6">
        <v>1</v>
      </c>
      <c r="T79" s="6">
        <v>50</v>
      </c>
      <c r="U79" s="6">
        <v>1</v>
      </c>
      <c r="V79" s="6">
        <v>1</v>
      </c>
      <c r="X79" s="6">
        <f t="shared" si="15"/>
        <v>32708</v>
      </c>
      <c r="Y79" s="6">
        <f t="shared" si="16"/>
        <v>3115</v>
      </c>
      <c r="Z79" s="6">
        <f t="shared" si="17"/>
        <v>935</v>
      </c>
      <c r="AA79" s="6">
        <f t="shared" si="18"/>
        <v>935</v>
      </c>
    </row>
    <row r="80" s="4" customFormat="1" ht="20.1" customHeight="1" spans="1:27">
      <c r="A80" s="6"/>
      <c r="B80" s="15"/>
      <c r="C80" s="15"/>
      <c r="D80" s="15"/>
      <c r="E80" s="15"/>
      <c r="F80" s="15"/>
      <c r="G80" s="15"/>
      <c r="S80" s="6">
        <v>1</v>
      </c>
      <c r="T80" s="6">
        <v>50</v>
      </c>
      <c r="U80" s="6">
        <v>1</v>
      </c>
      <c r="V80" s="6">
        <v>1</v>
      </c>
      <c r="X80" s="6">
        <f t="shared" si="15"/>
        <v>32708</v>
      </c>
      <c r="Y80" s="6">
        <f t="shared" si="16"/>
        <v>3115</v>
      </c>
      <c r="Z80" s="6">
        <f t="shared" si="17"/>
        <v>935</v>
      </c>
      <c r="AA80" s="6">
        <f t="shared" si="18"/>
        <v>935</v>
      </c>
    </row>
    <row r="81" s="4" customFormat="1" ht="20.1" customHeight="1" spans="1:27">
      <c r="A81" s="6"/>
      <c r="B81" s="15"/>
      <c r="C81" s="15"/>
      <c r="D81" s="15"/>
      <c r="E81" s="15"/>
      <c r="F81" s="15"/>
      <c r="G81" s="15"/>
      <c r="S81" s="6">
        <v>3</v>
      </c>
      <c r="T81" s="6">
        <v>50</v>
      </c>
      <c r="U81" s="6">
        <v>2.5</v>
      </c>
      <c r="V81" s="6">
        <v>1.3</v>
      </c>
      <c r="X81" s="6">
        <f t="shared" si="15"/>
        <v>81769</v>
      </c>
      <c r="Y81" s="6">
        <f t="shared" si="16"/>
        <v>4050</v>
      </c>
      <c r="Z81" s="6">
        <f t="shared" si="17"/>
        <v>935</v>
      </c>
      <c r="AA81" s="6">
        <f t="shared" si="18"/>
        <v>935</v>
      </c>
    </row>
    <row r="82" s="4" customFormat="1" ht="20.1" customHeight="1" spans="1:27">
      <c r="A82" s="6"/>
      <c r="B82" s="15"/>
      <c r="C82" s="15"/>
      <c r="D82" s="15"/>
      <c r="E82" s="15"/>
      <c r="F82" s="15"/>
      <c r="G82" s="15"/>
      <c r="S82" s="6">
        <v>1</v>
      </c>
      <c r="T82" s="6">
        <v>51</v>
      </c>
      <c r="U82" s="6">
        <v>1</v>
      </c>
      <c r="V82" s="6">
        <v>1</v>
      </c>
      <c r="X82" s="6">
        <f t="shared" si="15"/>
        <v>33285</v>
      </c>
      <c r="Y82" s="6">
        <f t="shared" si="16"/>
        <v>3170</v>
      </c>
      <c r="Z82" s="6">
        <f t="shared" si="17"/>
        <v>951</v>
      </c>
      <c r="AA82" s="6">
        <f t="shared" si="18"/>
        <v>951</v>
      </c>
    </row>
    <row r="83" s="4" customFormat="1" ht="20.1" customHeight="1" spans="1:27">
      <c r="A83" s="6"/>
      <c r="B83" s="15"/>
      <c r="C83" s="15"/>
      <c r="D83" s="15"/>
      <c r="E83" s="15"/>
      <c r="F83" s="15"/>
      <c r="G83" s="15"/>
      <c r="S83" s="6">
        <v>1</v>
      </c>
      <c r="T83" s="6">
        <v>51</v>
      </c>
      <c r="U83" s="6">
        <v>1</v>
      </c>
      <c r="V83" s="6">
        <v>1</v>
      </c>
      <c r="X83" s="6">
        <f t="shared" si="15"/>
        <v>33285</v>
      </c>
      <c r="Y83" s="6">
        <f t="shared" si="16"/>
        <v>3170</v>
      </c>
      <c r="Z83" s="6">
        <f t="shared" si="17"/>
        <v>951</v>
      </c>
      <c r="AA83" s="6">
        <f t="shared" si="18"/>
        <v>951</v>
      </c>
    </row>
    <row r="84" s="4" customFormat="1" ht="20.1" customHeight="1" spans="1:27">
      <c r="A84" s="6"/>
      <c r="B84" s="15"/>
      <c r="C84" s="15"/>
      <c r="D84" s="15"/>
      <c r="E84" s="15"/>
      <c r="F84" s="15"/>
      <c r="G84" s="15"/>
      <c r="S84" s="6">
        <v>3</v>
      </c>
      <c r="T84" s="6">
        <v>51</v>
      </c>
      <c r="U84" s="6">
        <v>2.5</v>
      </c>
      <c r="V84" s="6">
        <v>1.3</v>
      </c>
      <c r="X84" s="6">
        <f t="shared" si="15"/>
        <v>83213</v>
      </c>
      <c r="Y84" s="6">
        <f t="shared" si="16"/>
        <v>4121</v>
      </c>
      <c r="Z84" s="6">
        <f t="shared" si="17"/>
        <v>951</v>
      </c>
      <c r="AA84" s="6">
        <f t="shared" si="18"/>
        <v>951</v>
      </c>
    </row>
    <row r="85" s="4" customFormat="1" ht="20.1" customHeight="1" spans="1:27">
      <c r="A85" s="6"/>
      <c r="B85" s="15"/>
      <c r="C85" s="15"/>
      <c r="D85" s="15"/>
      <c r="E85" s="15"/>
      <c r="F85" s="15"/>
      <c r="G85" s="15"/>
      <c r="S85" s="6">
        <v>1</v>
      </c>
      <c r="T85" s="6">
        <v>52</v>
      </c>
      <c r="U85" s="6">
        <v>1</v>
      </c>
      <c r="V85" s="6">
        <v>1</v>
      </c>
      <c r="X85" s="6">
        <f t="shared" si="15"/>
        <v>33863</v>
      </c>
      <c r="Y85" s="6">
        <f t="shared" si="16"/>
        <v>3225</v>
      </c>
      <c r="Z85" s="6">
        <f t="shared" si="17"/>
        <v>968</v>
      </c>
      <c r="AA85" s="6">
        <f t="shared" si="18"/>
        <v>968</v>
      </c>
    </row>
    <row r="86" s="4" customFormat="1" ht="20.1" customHeight="1" spans="1:27">
      <c r="A86" s="6"/>
      <c r="B86" s="15"/>
      <c r="C86" s="15"/>
      <c r="D86" s="15"/>
      <c r="E86" s="15"/>
      <c r="F86" s="15"/>
      <c r="G86" s="15"/>
      <c r="S86" s="6">
        <v>1</v>
      </c>
      <c r="T86" s="6">
        <v>52</v>
      </c>
      <c r="U86" s="6">
        <v>1</v>
      </c>
      <c r="V86" s="6">
        <v>1</v>
      </c>
      <c r="X86" s="6">
        <f t="shared" si="15"/>
        <v>33863</v>
      </c>
      <c r="Y86" s="6">
        <f t="shared" si="16"/>
        <v>3225</v>
      </c>
      <c r="Z86" s="6">
        <f t="shared" si="17"/>
        <v>968</v>
      </c>
      <c r="AA86" s="6">
        <f t="shared" si="18"/>
        <v>968</v>
      </c>
    </row>
    <row r="87" s="4" customFormat="1" ht="20.1" customHeight="1" spans="1:27">
      <c r="A87" s="6"/>
      <c r="B87" s="15"/>
      <c r="C87" s="15"/>
      <c r="D87" s="15"/>
      <c r="E87" s="15"/>
      <c r="F87" s="15"/>
      <c r="G87" s="15"/>
      <c r="S87" s="6">
        <v>3</v>
      </c>
      <c r="T87" s="6">
        <v>52</v>
      </c>
      <c r="U87" s="6">
        <v>2.5</v>
      </c>
      <c r="V87" s="6">
        <v>1.3</v>
      </c>
      <c r="X87" s="6">
        <f t="shared" si="15"/>
        <v>84656</v>
      </c>
      <c r="Y87" s="6">
        <f t="shared" si="16"/>
        <v>4193</v>
      </c>
      <c r="Z87" s="6">
        <f t="shared" si="17"/>
        <v>968</v>
      </c>
      <c r="AA87" s="6">
        <f t="shared" si="18"/>
        <v>968</v>
      </c>
    </row>
    <row r="88" s="4" customFormat="1" ht="20.1" customHeight="1" spans="1:27">
      <c r="A88" s="6"/>
      <c r="B88" s="15"/>
      <c r="C88" s="15"/>
      <c r="D88" s="15"/>
      <c r="E88" s="15"/>
      <c r="F88" s="15"/>
      <c r="G88" s="15"/>
      <c r="S88" s="6">
        <v>1</v>
      </c>
      <c r="T88" s="6">
        <v>53</v>
      </c>
      <c r="U88" s="6">
        <v>1</v>
      </c>
      <c r="V88" s="6">
        <v>1</v>
      </c>
      <c r="X88" s="6">
        <f t="shared" si="15"/>
        <v>34440</v>
      </c>
      <c r="Y88" s="6">
        <f t="shared" si="16"/>
        <v>3280</v>
      </c>
      <c r="Z88" s="6">
        <f t="shared" si="17"/>
        <v>984</v>
      </c>
      <c r="AA88" s="6">
        <f t="shared" si="18"/>
        <v>984</v>
      </c>
    </row>
    <row r="89" s="4" customFormat="1" ht="20.1" customHeight="1" spans="1:27">
      <c r="A89" s="6"/>
      <c r="B89" s="15"/>
      <c r="C89" s="15"/>
      <c r="D89" s="15"/>
      <c r="E89" s="15"/>
      <c r="F89" s="15"/>
      <c r="G89" s="15"/>
      <c r="S89" s="6">
        <v>1</v>
      </c>
      <c r="T89" s="6">
        <v>53</v>
      </c>
      <c r="U89" s="6">
        <v>1</v>
      </c>
      <c r="V89" s="6">
        <v>1</v>
      </c>
      <c r="X89" s="6">
        <f t="shared" si="15"/>
        <v>34440</v>
      </c>
      <c r="Y89" s="6">
        <f t="shared" si="16"/>
        <v>3280</v>
      </c>
      <c r="Z89" s="6">
        <f t="shared" si="17"/>
        <v>984</v>
      </c>
      <c r="AA89" s="6">
        <f t="shared" si="18"/>
        <v>984</v>
      </c>
    </row>
    <row r="90" s="4" customFormat="1" ht="20.1" customHeight="1" spans="1:27">
      <c r="A90" s="6"/>
      <c r="B90" s="15"/>
      <c r="C90" s="15"/>
      <c r="D90" s="15"/>
      <c r="E90" s="15"/>
      <c r="F90" s="15"/>
      <c r="G90" s="15"/>
      <c r="S90" s="6">
        <v>3</v>
      </c>
      <c r="T90" s="6">
        <v>53</v>
      </c>
      <c r="U90" s="6">
        <v>2.5</v>
      </c>
      <c r="V90" s="6">
        <v>1.3</v>
      </c>
      <c r="X90" s="6">
        <f t="shared" si="15"/>
        <v>86100</v>
      </c>
      <c r="Y90" s="6">
        <f t="shared" si="16"/>
        <v>4264</v>
      </c>
      <c r="Z90" s="6">
        <f t="shared" si="17"/>
        <v>984</v>
      </c>
      <c r="AA90" s="6">
        <f t="shared" si="18"/>
        <v>984</v>
      </c>
    </row>
    <row r="91" s="4" customFormat="1" ht="20.1" customHeight="1" spans="1:27">
      <c r="A91" s="6"/>
      <c r="B91" s="15"/>
      <c r="C91" s="15"/>
      <c r="D91" s="15"/>
      <c r="E91" s="15"/>
      <c r="F91" s="15"/>
      <c r="G91" s="15"/>
      <c r="S91" s="6">
        <v>1</v>
      </c>
      <c r="T91" s="6">
        <v>55</v>
      </c>
      <c r="U91" s="6">
        <v>1</v>
      </c>
      <c r="V91" s="6">
        <v>1</v>
      </c>
      <c r="X91" s="6">
        <f t="shared" si="15"/>
        <v>35595</v>
      </c>
      <c r="Y91" s="6">
        <f t="shared" si="16"/>
        <v>3390</v>
      </c>
      <c r="Z91" s="6">
        <f t="shared" si="17"/>
        <v>1017</v>
      </c>
      <c r="AA91" s="6">
        <f t="shared" si="18"/>
        <v>1017</v>
      </c>
    </row>
    <row r="92" s="4" customFormat="1" ht="20.1" customHeight="1" spans="1:27">
      <c r="A92" s="6"/>
      <c r="B92" s="15"/>
      <c r="C92" s="15"/>
      <c r="D92" s="15"/>
      <c r="E92" s="15"/>
      <c r="F92" s="15"/>
      <c r="G92" s="15"/>
      <c r="S92" s="6">
        <v>1</v>
      </c>
      <c r="T92" s="6">
        <v>55</v>
      </c>
      <c r="U92" s="6">
        <v>1</v>
      </c>
      <c r="V92" s="6">
        <v>1</v>
      </c>
      <c r="X92" s="6">
        <f t="shared" si="15"/>
        <v>35595</v>
      </c>
      <c r="Y92" s="6">
        <f t="shared" si="16"/>
        <v>3390</v>
      </c>
      <c r="Z92" s="6">
        <f t="shared" si="17"/>
        <v>1017</v>
      </c>
      <c r="AA92" s="6">
        <f t="shared" si="18"/>
        <v>1017</v>
      </c>
    </row>
    <row r="93" s="4" customFormat="1" ht="20.1" customHeight="1" spans="1:27">
      <c r="A93" s="6"/>
      <c r="B93" s="15"/>
      <c r="C93" s="15"/>
      <c r="D93" s="15"/>
      <c r="E93" s="15"/>
      <c r="F93" s="15"/>
      <c r="G93" s="15"/>
      <c r="S93" s="6">
        <v>3</v>
      </c>
      <c r="T93" s="6">
        <v>55</v>
      </c>
      <c r="U93" s="6">
        <v>2.5</v>
      </c>
      <c r="V93" s="6">
        <v>1.3</v>
      </c>
      <c r="X93" s="6">
        <f t="shared" si="15"/>
        <v>88988</v>
      </c>
      <c r="Y93" s="6">
        <f t="shared" si="16"/>
        <v>4407</v>
      </c>
      <c r="Z93" s="6">
        <f t="shared" si="17"/>
        <v>1017</v>
      </c>
      <c r="AA93" s="6">
        <f t="shared" si="18"/>
        <v>1017</v>
      </c>
    </row>
    <row r="94" s="4" customFormat="1" ht="20.1" customHeight="1" spans="1:27">
      <c r="A94" s="6"/>
      <c r="B94" s="15"/>
      <c r="C94" s="15"/>
      <c r="D94" s="15"/>
      <c r="E94" s="15"/>
      <c r="F94" s="15"/>
      <c r="G94" s="15"/>
      <c r="S94" s="6">
        <v>1</v>
      </c>
      <c r="T94" s="6">
        <v>57</v>
      </c>
      <c r="U94" s="6">
        <v>1</v>
      </c>
      <c r="V94" s="6">
        <v>1</v>
      </c>
      <c r="X94" s="6">
        <f t="shared" si="15"/>
        <v>36750</v>
      </c>
      <c r="Y94" s="6">
        <f t="shared" si="16"/>
        <v>3500</v>
      </c>
      <c r="Z94" s="6">
        <f t="shared" si="17"/>
        <v>1050</v>
      </c>
      <c r="AA94" s="6">
        <f t="shared" si="18"/>
        <v>1050</v>
      </c>
    </row>
    <row r="95" s="4" customFormat="1" ht="20.1" customHeight="1" spans="1:27">
      <c r="A95" s="6"/>
      <c r="B95" s="15"/>
      <c r="C95" s="15"/>
      <c r="D95" s="15"/>
      <c r="E95" s="15"/>
      <c r="F95" s="15"/>
      <c r="G95" s="15"/>
      <c r="S95" s="6">
        <v>1</v>
      </c>
      <c r="T95" s="6">
        <v>57</v>
      </c>
      <c r="U95" s="6">
        <v>1</v>
      </c>
      <c r="V95" s="6">
        <v>1</v>
      </c>
      <c r="X95" s="6">
        <f t="shared" si="15"/>
        <v>36750</v>
      </c>
      <c r="Y95" s="6">
        <f t="shared" si="16"/>
        <v>3500</v>
      </c>
      <c r="Z95" s="6">
        <f t="shared" si="17"/>
        <v>1050</v>
      </c>
      <c r="AA95" s="6">
        <f t="shared" si="18"/>
        <v>1050</v>
      </c>
    </row>
    <row r="96" s="4" customFormat="1" ht="20.1" customHeight="1" spans="1:27">
      <c r="A96" s="6"/>
      <c r="B96" s="15"/>
      <c r="C96" s="15"/>
      <c r="D96" s="15"/>
      <c r="E96" s="15"/>
      <c r="F96" s="15"/>
      <c r="G96" s="15"/>
      <c r="S96" s="6">
        <v>3</v>
      </c>
      <c r="T96" s="6">
        <v>57</v>
      </c>
      <c r="U96" s="6">
        <v>2.5</v>
      </c>
      <c r="V96" s="6">
        <v>1.3</v>
      </c>
      <c r="X96" s="6">
        <f t="shared" si="15"/>
        <v>91875</v>
      </c>
      <c r="Y96" s="6">
        <f t="shared" si="16"/>
        <v>4550</v>
      </c>
      <c r="Z96" s="6">
        <f t="shared" si="17"/>
        <v>1050</v>
      </c>
      <c r="AA96" s="6">
        <f t="shared" si="18"/>
        <v>1050</v>
      </c>
    </row>
    <row r="97" s="4" customFormat="1" ht="20.1" customHeight="1" spans="1:27">
      <c r="A97" s="6"/>
      <c r="B97" s="15"/>
      <c r="C97" s="15"/>
      <c r="D97" s="15"/>
      <c r="E97" s="15"/>
      <c r="F97" s="15"/>
      <c r="G97" s="15"/>
      <c r="S97" s="6">
        <v>1</v>
      </c>
      <c r="T97" s="6">
        <v>59</v>
      </c>
      <c r="U97" s="6">
        <v>1</v>
      </c>
      <c r="V97" s="6">
        <v>1</v>
      </c>
      <c r="X97" s="6">
        <f t="shared" si="15"/>
        <v>37905</v>
      </c>
      <c r="Y97" s="6">
        <f t="shared" si="16"/>
        <v>3610</v>
      </c>
      <c r="Z97" s="6">
        <f t="shared" si="17"/>
        <v>1083</v>
      </c>
      <c r="AA97" s="6">
        <f t="shared" si="18"/>
        <v>1083</v>
      </c>
    </row>
    <row r="98" s="4" customFormat="1" ht="20.1" customHeight="1" spans="1:27">
      <c r="A98" s="6"/>
      <c r="B98" s="15"/>
      <c r="C98" s="15"/>
      <c r="D98" s="15"/>
      <c r="E98" s="15"/>
      <c r="F98" s="15"/>
      <c r="G98" s="15"/>
      <c r="S98" s="6">
        <v>1</v>
      </c>
      <c r="T98" s="6">
        <v>59</v>
      </c>
      <c r="U98" s="6">
        <v>1</v>
      </c>
      <c r="V98" s="6">
        <v>1</v>
      </c>
      <c r="X98" s="6">
        <f t="shared" si="15"/>
        <v>37905</v>
      </c>
      <c r="Y98" s="6">
        <f t="shared" si="16"/>
        <v>3610</v>
      </c>
      <c r="Z98" s="6">
        <f t="shared" si="17"/>
        <v>1083</v>
      </c>
      <c r="AA98" s="6">
        <f t="shared" si="18"/>
        <v>1083</v>
      </c>
    </row>
    <row r="99" s="4" customFormat="1" ht="20.1" customHeight="1" spans="1:27">
      <c r="A99" s="6"/>
      <c r="B99" s="15"/>
      <c r="C99" s="15"/>
      <c r="D99" s="15"/>
      <c r="E99" s="15"/>
      <c r="F99" s="15"/>
      <c r="G99" s="15"/>
      <c r="S99" s="6">
        <v>3</v>
      </c>
      <c r="T99" s="6">
        <v>59</v>
      </c>
      <c r="U99" s="6">
        <v>2.5</v>
      </c>
      <c r="V99" s="6">
        <v>1.3</v>
      </c>
      <c r="X99" s="6">
        <f t="shared" si="15"/>
        <v>94763</v>
      </c>
      <c r="Y99" s="6">
        <f t="shared" si="16"/>
        <v>4693</v>
      </c>
      <c r="Z99" s="6">
        <f t="shared" si="17"/>
        <v>1083</v>
      </c>
      <c r="AA99" s="6">
        <f t="shared" si="18"/>
        <v>1083</v>
      </c>
    </row>
    <row r="100" s="4" customFormat="1" ht="20.1" customHeight="1" spans="1:27">
      <c r="A100" s="6"/>
      <c r="B100" s="15"/>
      <c r="C100" s="15"/>
      <c r="D100" s="15"/>
      <c r="E100" s="15"/>
      <c r="F100" s="15"/>
      <c r="G100" s="15"/>
      <c r="S100" s="6">
        <v>1</v>
      </c>
      <c r="T100" s="6">
        <v>60</v>
      </c>
      <c r="U100" s="6">
        <v>1</v>
      </c>
      <c r="V100" s="6">
        <v>1</v>
      </c>
      <c r="X100" s="6">
        <f t="shared" si="15"/>
        <v>38483</v>
      </c>
      <c r="Y100" s="6">
        <f t="shared" si="16"/>
        <v>3665</v>
      </c>
      <c r="Z100" s="6">
        <f t="shared" si="17"/>
        <v>1100</v>
      </c>
      <c r="AA100" s="6">
        <f t="shared" si="18"/>
        <v>1100</v>
      </c>
    </row>
    <row r="101" s="4" customFormat="1" ht="20.1" customHeight="1" spans="1:27">
      <c r="A101" s="6"/>
      <c r="B101" s="15"/>
      <c r="C101" s="15"/>
      <c r="D101" s="15"/>
      <c r="E101" s="15"/>
      <c r="F101" s="15"/>
      <c r="G101" s="15"/>
      <c r="S101" s="6">
        <v>1</v>
      </c>
      <c r="T101" s="6">
        <v>60</v>
      </c>
      <c r="U101" s="6">
        <v>1</v>
      </c>
      <c r="V101" s="6">
        <v>1</v>
      </c>
      <c r="X101" s="6">
        <f t="shared" si="15"/>
        <v>38483</v>
      </c>
      <c r="Y101" s="6">
        <f t="shared" si="16"/>
        <v>3665</v>
      </c>
      <c r="Z101" s="6">
        <f t="shared" si="17"/>
        <v>1100</v>
      </c>
      <c r="AA101" s="6">
        <f t="shared" si="18"/>
        <v>1100</v>
      </c>
    </row>
    <row r="102" ht="20.1" customHeight="1" spans="19:27">
      <c r="S102" s="6">
        <v>3</v>
      </c>
      <c r="T102" s="6">
        <v>60</v>
      </c>
      <c r="U102" s="6">
        <v>2.5</v>
      </c>
      <c r="V102" s="6">
        <v>1.3</v>
      </c>
      <c r="X102" s="6">
        <f t="shared" si="15"/>
        <v>96206</v>
      </c>
      <c r="Y102" s="6">
        <f t="shared" si="16"/>
        <v>4765</v>
      </c>
      <c r="Z102" s="6">
        <f t="shared" si="17"/>
        <v>1100</v>
      </c>
      <c r="AA102" s="6">
        <f t="shared" si="18"/>
        <v>1100</v>
      </c>
    </row>
    <row r="103" ht="20.1" customHeight="1" spans="21:22">
      <c r="U103" s="6"/>
      <c r="V103" s="6"/>
    </row>
    <row r="104" ht="20.1" customHeight="1" spans="21:22">
      <c r="U104" s="6"/>
      <c r="V104" s="6"/>
    </row>
    <row r="105" ht="20.1" customHeight="1" spans="21:22">
      <c r="U105" s="6"/>
      <c r="V105" s="6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5"/>
  </cols>
  <sheetData>
    <row r="1" s="4" customFormat="1" ht="20.1" customHeight="1" spans="1:9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  <c r="H1" s="9"/>
      <c r="I1" s="9"/>
    </row>
    <row r="2" s="4" customFormat="1" ht="20.1" customHeight="1" spans="1:9">
      <c r="A2" s="6">
        <v>1</v>
      </c>
      <c r="B2" s="6">
        <v>0.75</v>
      </c>
      <c r="C2" s="6">
        <v>1.5</v>
      </c>
      <c r="D2" s="6">
        <f>ROUND($B2*总表!D$4,-1)</f>
        <v>790</v>
      </c>
      <c r="E2" s="6">
        <f>$C2*总表!E$4</f>
        <v>150</v>
      </c>
      <c r="F2" s="6">
        <f>$C2*总表!F$4</f>
        <v>45</v>
      </c>
      <c r="G2" s="6">
        <f>$C2*总表!G$4</f>
        <v>45</v>
      </c>
      <c r="H2" s="6"/>
      <c r="I2" s="6"/>
    </row>
    <row r="3" s="4" customFormat="1" ht="20.1" customHeight="1" spans="1:20">
      <c r="A3" s="6">
        <v>2</v>
      </c>
      <c r="B3" s="6">
        <v>1.5</v>
      </c>
      <c r="C3" s="6">
        <v>3</v>
      </c>
      <c r="D3" s="6">
        <f>ROUND($B3*总表!D$4,-1)</f>
        <v>1580</v>
      </c>
      <c r="E3" s="6">
        <f>$C3*总表!E$4</f>
        <v>300</v>
      </c>
      <c r="F3" s="6">
        <f>$C3*总表!F$4</f>
        <v>90</v>
      </c>
      <c r="G3" s="6">
        <f>$C3*总表!G$4</f>
        <v>90</v>
      </c>
      <c r="H3" s="6"/>
      <c r="I3" s="6"/>
      <c r="J3" s="6"/>
      <c r="L3" s="6" t="s">
        <v>1839</v>
      </c>
      <c r="M3" s="6"/>
      <c r="N3" s="6" t="s">
        <v>1840</v>
      </c>
      <c r="O3" s="6"/>
      <c r="R3" s="4" t="s">
        <v>354</v>
      </c>
      <c r="S3" s="6">
        <v>790</v>
      </c>
      <c r="T3" s="6" t="str">
        <f>"生命+"&amp;S3</f>
        <v>生命+790</v>
      </c>
    </row>
    <row r="4" s="4" customFormat="1" ht="20.1" customHeight="1" spans="1:20">
      <c r="A4" s="6">
        <v>3</v>
      </c>
      <c r="B4" s="6">
        <v>2.25</v>
      </c>
      <c r="C4" s="6">
        <v>4.5</v>
      </c>
      <c r="D4" s="6">
        <f>ROUND($B4*总表!D$4,-1)</f>
        <v>2360</v>
      </c>
      <c r="E4" s="6">
        <f>$C4*总表!E$4</f>
        <v>450</v>
      </c>
      <c r="F4" s="6">
        <f>$C4*总表!F$4</f>
        <v>135</v>
      </c>
      <c r="G4" s="6">
        <f>$C4*总表!G$4</f>
        <v>135</v>
      </c>
      <c r="H4" s="6"/>
      <c r="I4" s="6" t="s">
        <v>1841</v>
      </c>
      <c r="J4" s="6" t="s">
        <v>1842</v>
      </c>
      <c r="K4" s="6">
        <v>1</v>
      </c>
      <c r="L4" s="6" t="s">
        <v>1653</v>
      </c>
      <c r="N4" s="6" t="s">
        <v>1653</v>
      </c>
      <c r="S4" s="6">
        <v>1580</v>
      </c>
      <c r="T4" s="6" t="str">
        <f t="shared" ref="T4:T12" si="0">"生命+"&amp;S4</f>
        <v>生命+1580</v>
      </c>
    </row>
    <row r="5" s="4" customFormat="1" ht="20.1" customHeight="1" spans="1:20">
      <c r="A5" s="6">
        <v>4</v>
      </c>
      <c r="B5" s="6">
        <v>3</v>
      </c>
      <c r="C5" s="6">
        <v>6</v>
      </c>
      <c r="D5" s="6">
        <f>ROUND($B5*总表!D$4,-1)</f>
        <v>3150</v>
      </c>
      <c r="E5" s="6">
        <f>$C5*总表!E$4</f>
        <v>600</v>
      </c>
      <c r="F5" s="6">
        <f>$C5*总表!F$4</f>
        <v>180</v>
      </c>
      <c r="G5" s="6">
        <f>$C5*总表!G$4</f>
        <v>180</v>
      </c>
      <c r="H5" s="6"/>
      <c r="I5" s="6"/>
      <c r="J5" s="6" t="s">
        <v>1843</v>
      </c>
      <c r="K5" s="6">
        <v>2</v>
      </c>
      <c r="L5" s="6" t="s">
        <v>1662</v>
      </c>
      <c r="N5" s="6" t="s">
        <v>1844</v>
      </c>
      <c r="S5" s="6">
        <v>2360</v>
      </c>
      <c r="T5" s="6" t="str">
        <f t="shared" si="0"/>
        <v>生命+2360</v>
      </c>
    </row>
    <row r="6" s="4" customFormat="1" ht="20.1" customHeight="1" spans="1:20">
      <c r="A6" s="6">
        <v>5</v>
      </c>
      <c r="B6" s="6">
        <v>3.75</v>
      </c>
      <c r="C6" s="6">
        <v>7.5</v>
      </c>
      <c r="D6" s="6">
        <f>ROUND($B6*总表!D$4,-1)</f>
        <v>3940</v>
      </c>
      <c r="E6" s="6">
        <f>$C6*总表!E$4</f>
        <v>750</v>
      </c>
      <c r="F6" s="6">
        <f>$C6*总表!F$4</f>
        <v>225</v>
      </c>
      <c r="G6" s="6">
        <f>$C6*总表!G$4</f>
        <v>225</v>
      </c>
      <c r="H6" s="6"/>
      <c r="I6" s="6"/>
      <c r="J6" s="6" t="s">
        <v>1845</v>
      </c>
      <c r="K6" s="6">
        <v>3</v>
      </c>
      <c r="L6" s="6" t="s">
        <v>1667</v>
      </c>
      <c r="N6" s="6" t="s">
        <v>1844</v>
      </c>
      <c r="S6" s="6">
        <v>3150</v>
      </c>
      <c r="T6" s="6" t="str">
        <f t="shared" si="0"/>
        <v>生命+3150</v>
      </c>
    </row>
    <row r="7" s="4" customFormat="1" ht="20.1" customHeight="1" spans="1:20">
      <c r="A7" s="6">
        <v>6</v>
      </c>
      <c r="B7" s="6">
        <v>4.5</v>
      </c>
      <c r="C7" s="6">
        <v>9</v>
      </c>
      <c r="D7" s="6">
        <f>ROUND($B7*总表!D$4,-1)</f>
        <v>4730</v>
      </c>
      <c r="E7" s="6">
        <f>$C7*总表!E$4</f>
        <v>900</v>
      </c>
      <c r="F7" s="6">
        <f>$C7*总表!F$4</f>
        <v>270</v>
      </c>
      <c r="G7" s="6">
        <f>$C7*总表!G$4</f>
        <v>270</v>
      </c>
      <c r="H7" s="6"/>
      <c r="I7" s="6"/>
      <c r="L7" s="6" t="s">
        <v>1678</v>
      </c>
      <c r="N7" s="6" t="s">
        <v>1846</v>
      </c>
      <c r="S7" s="6">
        <v>3940</v>
      </c>
      <c r="T7" s="6" t="str">
        <f t="shared" si="0"/>
        <v>生命+3940</v>
      </c>
    </row>
    <row r="8" s="4" customFormat="1" ht="20.1" customHeight="1" spans="1:20">
      <c r="A8" s="6">
        <v>7</v>
      </c>
      <c r="B8" s="6">
        <v>5.25</v>
      </c>
      <c r="C8" s="6">
        <v>10.5</v>
      </c>
      <c r="D8" s="6">
        <f>ROUND($B8*总表!D$4,-1)</f>
        <v>5510</v>
      </c>
      <c r="E8" s="6">
        <f>$C8*总表!E$4</f>
        <v>1050</v>
      </c>
      <c r="F8" s="6">
        <f>$C8*总表!F$4</f>
        <v>315</v>
      </c>
      <c r="G8" s="6">
        <f>$C8*总表!G$4</f>
        <v>315</v>
      </c>
      <c r="H8" s="6"/>
      <c r="I8" s="6"/>
      <c r="L8" s="6" t="s">
        <v>1847</v>
      </c>
      <c r="N8" s="6" t="s">
        <v>1846</v>
      </c>
      <c r="S8" s="6">
        <v>4730</v>
      </c>
      <c r="T8" s="6" t="str">
        <f t="shared" si="0"/>
        <v>生命+4730</v>
      </c>
    </row>
    <row r="9" s="4" customFormat="1" ht="20.1" customHeight="1" spans="1:20">
      <c r="A9" s="6">
        <v>8</v>
      </c>
      <c r="B9" s="6">
        <v>6</v>
      </c>
      <c r="C9" s="6">
        <v>12</v>
      </c>
      <c r="D9" s="6">
        <f>ROUND($B9*总表!D$4,-1)</f>
        <v>6300</v>
      </c>
      <c r="E9" s="6">
        <f>$C9*总表!E$4</f>
        <v>1200</v>
      </c>
      <c r="F9" s="6">
        <f>$C9*总表!F$4</f>
        <v>360</v>
      </c>
      <c r="G9" s="6">
        <f>$C9*总表!G$4</f>
        <v>360</v>
      </c>
      <c r="H9" s="6"/>
      <c r="I9" s="6"/>
      <c r="L9" s="6" t="s">
        <v>1672</v>
      </c>
      <c r="N9" s="6" t="s">
        <v>1844</v>
      </c>
      <c r="S9" s="6">
        <v>5510</v>
      </c>
      <c r="T9" s="6" t="str">
        <f t="shared" si="0"/>
        <v>生命+5510</v>
      </c>
    </row>
    <row r="10" s="4" customFormat="1" ht="20.1" customHeight="1" spans="1:20">
      <c r="A10" s="6">
        <v>9</v>
      </c>
      <c r="B10" s="6">
        <v>6.75</v>
      </c>
      <c r="C10" s="6">
        <v>13.5</v>
      </c>
      <c r="D10" s="6">
        <f>ROUND($B10*总表!D$4,-1)</f>
        <v>7090</v>
      </c>
      <c r="E10" s="6">
        <f>$C10*总表!E$4</f>
        <v>1350</v>
      </c>
      <c r="F10" s="6">
        <f>$C10*总表!F$4</f>
        <v>405</v>
      </c>
      <c r="G10" s="6">
        <f>$C10*总表!G$4</f>
        <v>405</v>
      </c>
      <c r="H10" s="6"/>
      <c r="I10" s="6"/>
      <c r="L10" s="6" t="s">
        <v>1657</v>
      </c>
      <c r="N10" s="6" t="s">
        <v>1653</v>
      </c>
      <c r="S10" s="6">
        <v>6300</v>
      </c>
      <c r="T10" s="6" t="str">
        <f t="shared" si="0"/>
        <v>生命+6300</v>
      </c>
    </row>
    <row r="11" s="4" customFormat="1" ht="20.1" customHeight="1" spans="1:20">
      <c r="A11" s="6">
        <v>10</v>
      </c>
      <c r="B11" s="6">
        <v>7.5</v>
      </c>
      <c r="C11" s="6">
        <v>15</v>
      </c>
      <c r="D11" s="6">
        <f>ROUND($B11*总表!D$4,-1)</f>
        <v>7880</v>
      </c>
      <c r="E11" s="6">
        <f>$C11*总表!E$4</f>
        <v>1500</v>
      </c>
      <c r="F11" s="6">
        <f>$C11*总表!F$4</f>
        <v>450</v>
      </c>
      <c r="G11" s="6">
        <f>$C11*总表!G$4</f>
        <v>450</v>
      </c>
      <c r="H11" s="6"/>
      <c r="I11" s="6"/>
      <c r="S11" s="6">
        <v>7090</v>
      </c>
      <c r="T11" s="6" t="str">
        <f t="shared" si="0"/>
        <v>生命+7090</v>
      </c>
    </row>
    <row r="12" ht="20.1" customHeight="1" spans="19:20">
      <c r="S12" s="6">
        <v>7880</v>
      </c>
      <c r="T12" s="6" t="str">
        <f t="shared" si="0"/>
        <v>生命+7880</v>
      </c>
    </row>
    <row r="13" ht="20.1" customHeight="1"/>
    <row r="14" ht="20.1" customHeight="1"/>
    <row r="15" ht="20.1" customHeight="1" spans="4:7">
      <c r="D15" s="6" t="str">
        <f>"生命+"&amp;D2</f>
        <v>生命+790</v>
      </c>
      <c r="E15" s="6" t="str">
        <f>"攻击+"&amp;E2</f>
        <v>攻击+150</v>
      </c>
      <c r="F15" s="6" t="str">
        <f>"物防+"&amp;F2</f>
        <v>物防+45</v>
      </c>
      <c r="G15" s="6" t="str">
        <f>"魔防+"&amp;G2</f>
        <v>魔防+45</v>
      </c>
    </row>
    <row r="16" ht="20.1" customHeight="1" spans="4:7">
      <c r="D16" s="6" t="str">
        <f t="shared" ref="D16:D24" si="1">"生命+"&amp;D3</f>
        <v>生命+1580</v>
      </c>
      <c r="E16" s="6" t="str">
        <f t="shared" ref="E16:E24" si="2">"攻击+"&amp;E3</f>
        <v>攻击+300</v>
      </c>
      <c r="F16" s="6" t="str">
        <f t="shared" ref="F16:F24" si="3">"物防+"&amp;F3</f>
        <v>物防+90</v>
      </c>
      <c r="G16" s="6" t="str">
        <f t="shared" ref="G16:G24" si="4">"魔防+"&amp;G3</f>
        <v>魔防+90</v>
      </c>
    </row>
    <row r="17" ht="20.1" customHeight="1" spans="4:7">
      <c r="D17" s="6" t="str">
        <f t="shared" si="1"/>
        <v>生命+2360</v>
      </c>
      <c r="E17" s="6" t="str">
        <f t="shared" si="2"/>
        <v>攻击+450</v>
      </c>
      <c r="F17" s="6" t="str">
        <f t="shared" si="3"/>
        <v>物防+135</v>
      </c>
      <c r="G17" s="6" t="str">
        <f t="shared" si="4"/>
        <v>魔防+135</v>
      </c>
    </row>
    <row r="18" ht="20.1" customHeight="1" spans="4:7">
      <c r="D18" s="6" t="str">
        <f t="shared" si="1"/>
        <v>生命+3150</v>
      </c>
      <c r="E18" s="6" t="str">
        <f t="shared" si="2"/>
        <v>攻击+600</v>
      </c>
      <c r="F18" s="6" t="str">
        <f t="shared" si="3"/>
        <v>物防+180</v>
      </c>
      <c r="G18" s="6" t="str">
        <f t="shared" si="4"/>
        <v>魔防+180</v>
      </c>
    </row>
    <row r="19" ht="20.1" customHeight="1" spans="4:7">
      <c r="D19" s="6" t="str">
        <f t="shared" si="1"/>
        <v>生命+3940</v>
      </c>
      <c r="E19" s="6" t="str">
        <f t="shared" si="2"/>
        <v>攻击+750</v>
      </c>
      <c r="F19" s="6" t="str">
        <f t="shared" si="3"/>
        <v>物防+225</v>
      </c>
      <c r="G19" s="6" t="str">
        <f t="shared" si="4"/>
        <v>魔防+225</v>
      </c>
    </row>
    <row r="20" ht="20.1" customHeight="1" spans="4:7">
      <c r="D20" s="6" t="str">
        <f t="shared" si="1"/>
        <v>生命+4730</v>
      </c>
      <c r="E20" s="6" t="str">
        <f t="shared" si="2"/>
        <v>攻击+900</v>
      </c>
      <c r="F20" s="6" t="str">
        <f t="shared" si="3"/>
        <v>物防+270</v>
      </c>
      <c r="G20" s="6" t="str">
        <f t="shared" si="4"/>
        <v>魔防+270</v>
      </c>
    </row>
    <row r="21" ht="20.1" customHeight="1" spans="4:7">
      <c r="D21" s="6" t="str">
        <f t="shared" si="1"/>
        <v>生命+5510</v>
      </c>
      <c r="E21" s="6" t="str">
        <f t="shared" si="2"/>
        <v>攻击+1050</v>
      </c>
      <c r="F21" s="6" t="str">
        <f t="shared" si="3"/>
        <v>物防+315</v>
      </c>
      <c r="G21" s="6" t="str">
        <f t="shared" si="4"/>
        <v>魔防+315</v>
      </c>
    </row>
    <row r="22" ht="20.1" customHeight="1" spans="4:7">
      <c r="D22" s="6" t="str">
        <f t="shared" si="1"/>
        <v>生命+6300</v>
      </c>
      <c r="E22" s="6" t="str">
        <f t="shared" si="2"/>
        <v>攻击+1200</v>
      </c>
      <c r="F22" s="6" t="str">
        <f t="shared" si="3"/>
        <v>物防+360</v>
      </c>
      <c r="G22" s="6" t="str">
        <f t="shared" si="4"/>
        <v>魔防+360</v>
      </c>
    </row>
    <row r="23" ht="20.1" customHeight="1" spans="4:7">
      <c r="D23" s="6" t="str">
        <f t="shared" si="1"/>
        <v>生命+7090</v>
      </c>
      <c r="E23" s="6" t="str">
        <f t="shared" si="2"/>
        <v>攻击+1350</v>
      </c>
      <c r="F23" s="6" t="str">
        <f t="shared" si="3"/>
        <v>物防+405</v>
      </c>
      <c r="G23" s="6" t="str">
        <f t="shared" si="4"/>
        <v>魔防+405</v>
      </c>
    </row>
    <row r="24" ht="20.1" customHeight="1" spans="4:7">
      <c r="D24" s="6" t="str">
        <f t="shared" si="1"/>
        <v>生命+7880</v>
      </c>
      <c r="E24" s="6" t="str">
        <f t="shared" si="2"/>
        <v>攻击+1500</v>
      </c>
      <c r="F24" s="6" t="str">
        <f t="shared" si="3"/>
        <v>物防+450</v>
      </c>
      <c r="G24" s="6" t="str">
        <f t="shared" si="4"/>
        <v>魔防+450</v>
      </c>
    </row>
    <row r="25" ht="20.1" customHeight="1"/>
    <row r="26" ht="20.1" customHeight="1" spans="4:7">
      <c r="D26" s="6">
        <v>100203</v>
      </c>
      <c r="E26" s="6">
        <v>100403</v>
      </c>
      <c r="F26" s="6">
        <v>100603</v>
      </c>
      <c r="G26" s="6">
        <v>100803</v>
      </c>
    </row>
    <row r="27" ht="20.1" customHeight="1" spans="4:7">
      <c r="D27" s="6" t="str">
        <f>D$26&amp;";"&amp;D2</f>
        <v>100203;790</v>
      </c>
      <c r="E27" s="6" t="str">
        <f t="shared" ref="E27:G27" si="5">E$26&amp;";"&amp;E2</f>
        <v>100403;150</v>
      </c>
      <c r="F27" s="6" t="str">
        <f t="shared" si="5"/>
        <v>100603;45</v>
      </c>
      <c r="G27" s="6" t="str">
        <f t="shared" si="5"/>
        <v>100803;45</v>
      </c>
    </row>
    <row r="28" ht="20.1" customHeight="1" spans="4:7">
      <c r="D28" s="6" t="str">
        <f t="shared" ref="D28:G28" si="6">D$26&amp;";"&amp;D3</f>
        <v>100203;1580</v>
      </c>
      <c r="E28" s="6" t="str">
        <f t="shared" si="6"/>
        <v>100403;300</v>
      </c>
      <c r="F28" s="6" t="str">
        <f t="shared" si="6"/>
        <v>100603;90</v>
      </c>
      <c r="G28" s="6" t="str">
        <f t="shared" si="6"/>
        <v>100803;90</v>
      </c>
    </row>
    <row r="29" ht="20.1" customHeight="1" spans="4:7">
      <c r="D29" s="6" t="str">
        <f t="shared" ref="D29:G29" si="7">D$26&amp;";"&amp;D4</f>
        <v>100203;2360</v>
      </c>
      <c r="E29" s="6" t="str">
        <f t="shared" si="7"/>
        <v>100403;450</v>
      </c>
      <c r="F29" s="6" t="str">
        <f t="shared" si="7"/>
        <v>100603;135</v>
      </c>
      <c r="G29" s="6" t="str">
        <f t="shared" si="7"/>
        <v>100803;135</v>
      </c>
    </row>
    <row r="30" ht="20.1" customHeight="1" spans="4:7">
      <c r="D30" s="6" t="str">
        <f t="shared" ref="D30:G30" si="8">D$26&amp;";"&amp;D5</f>
        <v>100203;3150</v>
      </c>
      <c r="E30" s="6" t="str">
        <f t="shared" si="8"/>
        <v>100403;600</v>
      </c>
      <c r="F30" s="6" t="str">
        <f t="shared" si="8"/>
        <v>100603;180</v>
      </c>
      <c r="G30" s="6" t="str">
        <f t="shared" si="8"/>
        <v>100803;180</v>
      </c>
    </row>
    <row r="31" ht="20.1" customHeight="1" spans="4:7">
      <c r="D31" s="6" t="str">
        <f t="shared" ref="D31:G31" si="9">D$26&amp;";"&amp;D6</f>
        <v>100203;3940</v>
      </c>
      <c r="E31" s="6" t="str">
        <f t="shared" si="9"/>
        <v>100403;750</v>
      </c>
      <c r="F31" s="6" t="str">
        <f t="shared" si="9"/>
        <v>100603;225</v>
      </c>
      <c r="G31" s="6" t="str">
        <f t="shared" si="9"/>
        <v>100803;225</v>
      </c>
    </row>
    <row r="32" ht="20.1" customHeight="1" spans="4:7">
      <c r="D32" s="6" t="str">
        <f t="shared" ref="D32:G32" si="10">D$26&amp;";"&amp;D7</f>
        <v>100203;4730</v>
      </c>
      <c r="E32" s="6" t="str">
        <f t="shared" si="10"/>
        <v>100403;900</v>
      </c>
      <c r="F32" s="6" t="str">
        <f t="shared" si="10"/>
        <v>100603;270</v>
      </c>
      <c r="G32" s="6" t="str">
        <f t="shared" si="10"/>
        <v>100803;270</v>
      </c>
    </row>
    <row r="33" ht="20.1" customHeight="1" spans="4:7">
      <c r="D33" s="6" t="str">
        <f t="shared" ref="D33:G33" si="11">D$26&amp;";"&amp;D8</f>
        <v>100203;5510</v>
      </c>
      <c r="E33" s="6" t="str">
        <f t="shared" si="11"/>
        <v>100403;1050</v>
      </c>
      <c r="F33" s="6" t="str">
        <f t="shared" si="11"/>
        <v>100603;315</v>
      </c>
      <c r="G33" s="6" t="str">
        <f t="shared" si="11"/>
        <v>100803;315</v>
      </c>
    </row>
    <row r="34" ht="20.1" customHeight="1" spans="4:7">
      <c r="D34" s="6" t="str">
        <f t="shared" ref="D34:G34" si="12">D$26&amp;";"&amp;D9</f>
        <v>100203;6300</v>
      </c>
      <c r="E34" s="6" t="str">
        <f t="shared" si="12"/>
        <v>100403;1200</v>
      </c>
      <c r="F34" s="6" t="str">
        <f t="shared" si="12"/>
        <v>100603;360</v>
      </c>
      <c r="G34" s="6" t="str">
        <f t="shared" si="12"/>
        <v>100803;360</v>
      </c>
    </row>
    <row r="35" ht="20.1" customHeight="1" spans="4:7">
      <c r="D35" s="6" t="str">
        <f t="shared" ref="D35:G35" si="13">D$26&amp;";"&amp;D10</f>
        <v>100203;7090</v>
      </c>
      <c r="E35" s="6" t="str">
        <f t="shared" si="13"/>
        <v>100403;1350</v>
      </c>
      <c r="F35" s="6" t="str">
        <f t="shared" si="13"/>
        <v>100603;405</v>
      </c>
      <c r="G35" s="6" t="str">
        <f t="shared" si="13"/>
        <v>100803;405</v>
      </c>
    </row>
    <row r="36" ht="20.1" customHeight="1" spans="4:7">
      <c r="D36" s="6" t="str">
        <f t="shared" ref="D36:G36" si="14">D$26&amp;";"&amp;D11</f>
        <v>100203;7880</v>
      </c>
      <c r="E36" s="6" t="str">
        <f t="shared" si="14"/>
        <v>100403;1500</v>
      </c>
      <c r="F36" s="6" t="str">
        <f t="shared" si="14"/>
        <v>100603;450</v>
      </c>
      <c r="G36" s="6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6" customFormat="1" ht="20.1" customHeight="1"/>
    <row r="2" s="6" customFormat="1" ht="20.1" customHeight="1" spans="5:10">
      <c r="E2" s="6" t="s">
        <v>1848</v>
      </c>
      <c r="F2" s="6" t="s">
        <v>1849</v>
      </c>
      <c r="J2" s="6" t="s">
        <v>1850</v>
      </c>
    </row>
    <row r="3" s="6" customFormat="1" ht="20.1" customHeight="1" spans="4:10">
      <c r="D3" s="6" t="s">
        <v>1851</v>
      </c>
      <c r="E3" s="6">
        <v>100</v>
      </c>
      <c r="J3" s="6" t="s">
        <v>1852</v>
      </c>
    </row>
    <row r="4" s="6" customFormat="1" ht="20.1" customHeight="1" spans="4:5">
      <c r="D4" s="6" t="s">
        <v>1853</v>
      </c>
      <c r="E4" s="6">
        <v>130</v>
      </c>
    </row>
    <row r="5" s="6" customFormat="1" ht="20.1" customHeight="1" spans="4:5">
      <c r="D5" s="6" t="s">
        <v>1854</v>
      </c>
      <c r="E5" s="6">
        <v>150</v>
      </c>
    </row>
    <row r="6" s="6" customFormat="1" ht="20.1" customHeight="1"/>
    <row r="7" s="6" customFormat="1" ht="20.1" customHeight="1"/>
    <row r="8" s="6" customFormat="1" ht="20.1" customHeight="1" spans="9:16">
      <c r="I8" s="6" t="s">
        <v>1855</v>
      </c>
      <c r="M8" s="6" t="s">
        <v>1856</v>
      </c>
      <c r="P8" s="6" t="s">
        <v>1857</v>
      </c>
    </row>
    <row r="9" s="6" customFormat="1" ht="20.1" customHeight="1" spans="3:10">
      <c r="C9" s="6" t="s">
        <v>467</v>
      </c>
      <c r="H9" s="6" t="s">
        <v>1858</v>
      </c>
      <c r="I9" s="6" t="s">
        <v>1255</v>
      </c>
      <c r="J9" s="6" t="s">
        <v>1859</v>
      </c>
    </row>
    <row r="10" s="6" customFormat="1" ht="20.1" customHeight="1" spans="3:10">
      <c r="C10" s="6">
        <v>10</v>
      </c>
      <c r="I10" s="6" t="s">
        <v>1860</v>
      </c>
      <c r="J10" s="6" t="s">
        <v>3</v>
      </c>
    </row>
    <row r="11" s="6" customFormat="1" ht="20.1" customHeight="1" spans="3:10">
      <c r="C11" s="6">
        <v>20</v>
      </c>
      <c r="I11" s="6" t="s">
        <v>1861</v>
      </c>
      <c r="J11" s="6" t="s">
        <v>28</v>
      </c>
    </row>
    <row r="12" s="6" customFormat="1" ht="20.1" customHeight="1" spans="3:10">
      <c r="C12" s="6">
        <v>30</v>
      </c>
      <c r="J12" s="6" t="s">
        <v>29</v>
      </c>
    </row>
    <row r="13" s="6" customFormat="1" ht="20.1" customHeight="1" spans="3:10">
      <c r="C13" s="6">
        <v>40</v>
      </c>
      <c r="J13" s="6" t="s">
        <v>2</v>
      </c>
    </row>
    <row r="14" s="6" customFormat="1" ht="20.1" customHeight="1" spans="3:3">
      <c r="C14" s="6">
        <v>50</v>
      </c>
    </row>
    <row r="15" s="6" customFormat="1" ht="20.1" customHeight="1"/>
    <row r="16" s="6" customFormat="1" ht="20.1" customHeight="1"/>
    <row r="17" s="6" customFormat="1" ht="20.1" customHeight="1" spans="8:10">
      <c r="H17" s="6" t="s">
        <v>1862</v>
      </c>
      <c r="J17" s="6" t="s">
        <v>436</v>
      </c>
    </row>
    <row r="18" s="6" customFormat="1" ht="20.1" customHeight="1" spans="10:10">
      <c r="J18" s="6" t="s">
        <v>439</v>
      </c>
    </row>
    <row r="19" s="6" customFormat="1" ht="20.1" customHeight="1"/>
    <row r="20" s="6" customFormat="1" ht="20.1" customHeight="1"/>
    <row r="21" s="6" customFormat="1" ht="20.1" customHeight="1"/>
    <row r="22" s="6" customFormat="1" ht="20.1" customHeight="1"/>
    <row r="23" s="6" customFormat="1" ht="20.1" customHeight="1"/>
    <row r="24" s="6" customFormat="1" ht="20.1" customHeight="1"/>
    <row r="25" s="6" customFormat="1" ht="20.1" customHeight="1" spans="8:10">
      <c r="H25" s="6" t="s">
        <v>1863</v>
      </c>
      <c r="J25" s="8" t="s">
        <v>1864</v>
      </c>
    </row>
    <row r="26" s="6" customFormat="1" ht="20.1" customHeight="1"/>
    <row r="27" s="6" customFormat="1" ht="20.1" customHeight="1"/>
    <row r="28" s="6" customFormat="1" ht="20.1" customHeight="1"/>
    <row r="29" s="6" customFormat="1" ht="20.1" customHeight="1"/>
    <row r="30" s="6" customFormat="1" ht="20.1" customHeight="1"/>
    <row r="31" s="6" customFormat="1" ht="20.1" customHeight="1"/>
    <row r="32" s="6" customFormat="1" ht="20.1" customHeight="1"/>
    <row r="33" s="6" customFormat="1" ht="20.1" customHeight="1"/>
    <row r="34" s="6" customFormat="1" ht="20.1" customHeight="1"/>
    <row r="35" s="6" customFormat="1" ht="20.1" customHeight="1"/>
    <row r="36" s="6" customFormat="1" ht="20.1" customHeight="1"/>
    <row r="37" s="6" customFormat="1" ht="20.1" customHeight="1"/>
    <row r="38" s="6" customFormat="1" ht="20.1" customHeight="1"/>
    <row r="39" s="6" customFormat="1" ht="20.1" customHeight="1"/>
    <row r="40" s="6" customFormat="1" ht="20.1" customHeight="1"/>
    <row r="41" s="6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6"/>
    <col min="10" max="16" width="12.25" customWidth="1"/>
    <col min="18" max="18" width="16" customWidth="1"/>
    <col min="31" max="32" width="11.375" customWidth="1"/>
  </cols>
  <sheetData>
    <row r="1" s="6" customFormat="1" ht="20.1" customHeight="1" spans="1:38">
      <c r="A1" s="6" t="s">
        <v>1865</v>
      </c>
      <c r="B1" s="9" t="s">
        <v>1866</v>
      </c>
      <c r="C1" s="9" t="s">
        <v>1867</v>
      </c>
      <c r="D1" s="9" t="s">
        <v>26</v>
      </c>
      <c r="E1" s="9" t="s">
        <v>27</v>
      </c>
      <c r="F1" s="9" t="s">
        <v>2</v>
      </c>
      <c r="G1" s="9" t="s">
        <v>3</v>
      </c>
      <c r="H1" s="9" t="s">
        <v>28</v>
      </c>
      <c r="I1" s="9" t="s">
        <v>29</v>
      </c>
      <c r="P1" s="9"/>
      <c r="Q1" s="6" t="s">
        <v>1865</v>
      </c>
      <c r="R1" s="6" t="s">
        <v>1868</v>
      </c>
      <c r="S1" s="6" t="s">
        <v>1841</v>
      </c>
      <c r="T1" s="6" t="s">
        <v>25</v>
      </c>
      <c r="U1" s="9" t="s">
        <v>2</v>
      </c>
      <c r="V1" s="9" t="s">
        <v>3</v>
      </c>
      <c r="W1" s="9" t="s">
        <v>28</v>
      </c>
      <c r="X1" s="9" t="s">
        <v>29</v>
      </c>
      <c r="AE1" s="6" t="s">
        <v>1869</v>
      </c>
      <c r="AF1" s="6" t="s">
        <v>1870</v>
      </c>
      <c r="AG1" s="6" t="s">
        <v>1871</v>
      </c>
      <c r="AH1" s="6" t="s">
        <v>1841</v>
      </c>
      <c r="AI1" s="9" t="s">
        <v>2</v>
      </c>
      <c r="AJ1" s="9" t="s">
        <v>3</v>
      </c>
      <c r="AK1" s="9" t="s">
        <v>28</v>
      </c>
      <c r="AL1" s="9" t="s">
        <v>29</v>
      </c>
    </row>
    <row r="2" s="6" customFormat="1" ht="20.1" customHeight="1" spans="1:38">
      <c r="A2" s="6">
        <f>100+B2</f>
        <v>101</v>
      </c>
      <c r="B2" s="6">
        <v>1</v>
      </c>
      <c r="C2" s="6">
        <v>0.5</v>
      </c>
      <c r="D2" s="6">
        <v>1</v>
      </c>
      <c r="E2" s="6">
        <f>D2</f>
        <v>1</v>
      </c>
      <c r="F2" s="6">
        <f>$D2*总表!D$4</f>
        <v>1050</v>
      </c>
      <c r="G2" s="6">
        <f>$E2*总表!E$4</f>
        <v>100</v>
      </c>
      <c r="H2" s="6">
        <f>$E2*总表!F$4</f>
        <v>30</v>
      </c>
      <c r="I2" s="6">
        <f>$E2*总表!G$4</f>
        <v>30</v>
      </c>
      <c r="Q2" s="6">
        <f>S2*100+T2</f>
        <v>101</v>
      </c>
      <c r="R2" s="6" t="s">
        <v>1872</v>
      </c>
      <c r="S2" s="6">
        <v>1</v>
      </c>
      <c r="T2" s="6">
        <v>1</v>
      </c>
      <c r="U2" s="6">
        <f>LOOKUP($Q2,$A:$A,F:F)</f>
        <v>1050</v>
      </c>
      <c r="V2" s="6">
        <f>LOOKUP($Q2,$A:$A,G:G)</f>
        <v>100</v>
      </c>
      <c r="W2" s="6">
        <f>LOOKUP($Q2,$A:$A,H:H)</f>
        <v>30</v>
      </c>
      <c r="X2" s="6">
        <f>LOOKUP($Q2,$A:$A,I:I)</f>
        <v>30</v>
      </c>
      <c r="AD2" s="6">
        <f>AH2*100+AG2</f>
        <v>120</v>
      </c>
      <c r="AE2" s="6">
        <v>3.5</v>
      </c>
      <c r="AF2" s="6">
        <v>1.1</v>
      </c>
      <c r="AG2" s="6">
        <v>20</v>
      </c>
      <c r="AH2" s="6">
        <v>1</v>
      </c>
      <c r="AI2" s="6">
        <f>ROUND(LOOKUP($AD2,$A:$A,F:F)*AE2,0)</f>
        <v>38588</v>
      </c>
      <c r="AJ2" s="6">
        <f>ROUND(LOOKUP($AD2,$A:$A,G:G)*$AF2,0)</f>
        <v>1155</v>
      </c>
      <c r="AK2" s="6">
        <f>ROUND(LOOKUP($AD2,$A:$A,H:H)*$AF2,0)</f>
        <v>347</v>
      </c>
      <c r="AL2" s="6">
        <f>ROUND(LOOKUP($AD2,$A:$A,I:I)*$AF2,0)</f>
        <v>347</v>
      </c>
    </row>
    <row r="3" s="6" customFormat="1" ht="20.1" customHeight="1" spans="1:38">
      <c r="A3" s="6">
        <f t="shared" ref="A3:A66" si="0">100+B3</f>
        <v>102</v>
      </c>
      <c r="B3" s="6">
        <v>2</v>
      </c>
      <c r="C3" s="6">
        <v>0.5</v>
      </c>
      <c r="D3" s="6">
        <f>D2+C2</f>
        <v>1.5</v>
      </c>
      <c r="E3" s="6">
        <f t="shared" ref="E3:E66" si="1">D3</f>
        <v>1.5</v>
      </c>
      <c r="F3" s="6">
        <f>$D3*总表!D$4</f>
        <v>1575</v>
      </c>
      <c r="G3" s="6">
        <f>$E3*总表!E$4</f>
        <v>150</v>
      </c>
      <c r="H3" s="6">
        <f>$E3*总表!F$4</f>
        <v>45</v>
      </c>
      <c r="I3" s="6">
        <f>$E3*总表!G$4</f>
        <v>45</v>
      </c>
      <c r="Q3" s="6">
        <f t="shared" ref="Q3:Q66" si="2">S3*100+T3</f>
        <v>102</v>
      </c>
      <c r="R3" s="6" t="s">
        <v>1873</v>
      </c>
      <c r="S3" s="6">
        <v>1</v>
      </c>
      <c r="T3" s="6">
        <v>2</v>
      </c>
      <c r="U3" s="6">
        <f t="shared" ref="U3:U66" si="3">LOOKUP($Q3,$A:$A,F:F)</f>
        <v>1575</v>
      </c>
      <c r="V3" s="6">
        <f t="shared" ref="V3:V66" si="4">LOOKUP($Q3,$A:$A,G:G)</f>
        <v>150</v>
      </c>
      <c r="W3" s="6">
        <f t="shared" ref="W3:W66" si="5">LOOKUP($Q3,$A:$A,H:H)</f>
        <v>45</v>
      </c>
      <c r="X3" s="6">
        <f t="shared" ref="X3:X66" si="6">LOOKUP($Q3,$A:$A,I:I)</f>
        <v>45</v>
      </c>
      <c r="AD3" s="6">
        <f t="shared" ref="AD3:AD31" si="7">AH3*100+AG3</f>
        <v>120</v>
      </c>
      <c r="AE3" s="6">
        <v>3.5</v>
      </c>
      <c r="AF3" s="6">
        <v>1.1</v>
      </c>
      <c r="AG3" s="6">
        <v>20</v>
      </c>
      <c r="AH3" s="6">
        <v>1</v>
      </c>
      <c r="AI3" s="6">
        <f t="shared" ref="AI3:AI31" si="8">ROUND(LOOKUP($AD3,$A:$A,F:F)*AE3,0)</f>
        <v>38588</v>
      </c>
      <c r="AJ3" s="6">
        <f t="shared" ref="AJ3:AJ31" si="9">ROUND(LOOKUP($AD3,$A:$A,G:G)*$AF3,0)</f>
        <v>1155</v>
      </c>
      <c r="AK3" s="6">
        <f t="shared" ref="AK3:AK31" si="10">ROUND(LOOKUP($AD3,$A:$A,H:H)*$AF3,0)</f>
        <v>347</v>
      </c>
      <c r="AL3" s="6">
        <f t="shared" ref="AL3:AL31" si="11">ROUND(LOOKUP($AD3,$A:$A,I:I)*$AF3,0)</f>
        <v>347</v>
      </c>
    </row>
    <row r="4" s="6" customFormat="1" ht="20.1" customHeight="1" spans="1:38">
      <c r="A4" s="6">
        <f t="shared" si="0"/>
        <v>103</v>
      </c>
      <c r="B4" s="6">
        <v>3</v>
      </c>
      <c r="C4" s="6">
        <v>0.5</v>
      </c>
      <c r="D4" s="6">
        <f t="shared" ref="D4:D67" si="12">D3+C3</f>
        <v>2</v>
      </c>
      <c r="E4" s="6">
        <f t="shared" si="1"/>
        <v>2</v>
      </c>
      <c r="F4" s="6">
        <f>$D4*总表!D$4</f>
        <v>2100</v>
      </c>
      <c r="G4" s="6">
        <f>$E4*总表!E$4</f>
        <v>200</v>
      </c>
      <c r="H4" s="6">
        <f>$E4*总表!F$4</f>
        <v>60</v>
      </c>
      <c r="I4" s="6">
        <f>$E4*总表!G$4</f>
        <v>60</v>
      </c>
      <c r="Q4" s="6">
        <f t="shared" si="2"/>
        <v>103</v>
      </c>
      <c r="R4" s="6" t="s">
        <v>1874</v>
      </c>
      <c r="S4" s="6">
        <v>1</v>
      </c>
      <c r="T4" s="6">
        <v>3</v>
      </c>
      <c r="U4" s="6">
        <f t="shared" si="3"/>
        <v>2100</v>
      </c>
      <c r="V4" s="6">
        <f t="shared" si="4"/>
        <v>200</v>
      </c>
      <c r="W4" s="6">
        <f t="shared" si="5"/>
        <v>60</v>
      </c>
      <c r="X4" s="6">
        <f t="shared" si="6"/>
        <v>60</v>
      </c>
      <c r="AD4" s="6">
        <f t="shared" si="7"/>
        <v>120</v>
      </c>
      <c r="AE4" s="6">
        <v>3.5</v>
      </c>
      <c r="AF4" s="6">
        <v>1.1</v>
      </c>
      <c r="AG4" s="6">
        <v>20</v>
      </c>
      <c r="AH4" s="6">
        <v>1</v>
      </c>
      <c r="AI4" s="6">
        <f t="shared" si="8"/>
        <v>38588</v>
      </c>
      <c r="AJ4" s="6">
        <f t="shared" si="9"/>
        <v>1155</v>
      </c>
      <c r="AK4" s="6">
        <f t="shared" si="10"/>
        <v>347</v>
      </c>
      <c r="AL4" s="6">
        <f t="shared" si="11"/>
        <v>347</v>
      </c>
    </row>
    <row r="5" s="6" customFormat="1" ht="20.1" customHeight="1" spans="1:38">
      <c r="A5" s="6">
        <f t="shared" si="0"/>
        <v>104</v>
      </c>
      <c r="B5" s="6">
        <v>4</v>
      </c>
      <c r="C5" s="6">
        <v>0.5</v>
      </c>
      <c r="D5" s="6">
        <f t="shared" si="12"/>
        <v>2.5</v>
      </c>
      <c r="E5" s="6">
        <f t="shared" si="1"/>
        <v>2.5</v>
      </c>
      <c r="F5" s="6">
        <f>$D5*总表!D$4</f>
        <v>2625</v>
      </c>
      <c r="G5" s="6">
        <f>$E5*总表!E$4</f>
        <v>250</v>
      </c>
      <c r="H5" s="6">
        <f>$E5*总表!F$4</f>
        <v>75</v>
      </c>
      <c r="I5" s="6">
        <f>$E5*总表!G$4</f>
        <v>75</v>
      </c>
      <c r="Q5" s="6">
        <f t="shared" si="2"/>
        <v>303</v>
      </c>
      <c r="R5" s="6" t="s">
        <v>1875</v>
      </c>
      <c r="S5" s="6">
        <v>3</v>
      </c>
      <c r="T5" s="6">
        <v>3</v>
      </c>
      <c r="U5" s="6">
        <f t="shared" si="3"/>
        <v>16800</v>
      </c>
      <c r="V5" s="6">
        <f t="shared" si="4"/>
        <v>250</v>
      </c>
      <c r="W5" s="6">
        <f t="shared" si="5"/>
        <v>75</v>
      </c>
      <c r="X5" s="6">
        <f t="shared" si="6"/>
        <v>75</v>
      </c>
      <c r="AD5" s="6">
        <f t="shared" si="7"/>
        <v>120</v>
      </c>
      <c r="AE5" s="6">
        <v>3.5</v>
      </c>
      <c r="AF5" s="6">
        <v>1.1</v>
      </c>
      <c r="AG5" s="6">
        <v>20</v>
      </c>
      <c r="AH5" s="6">
        <v>1</v>
      </c>
      <c r="AI5" s="6">
        <f t="shared" si="8"/>
        <v>38588</v>
      </c>
      <c r="AJ5" s="6">
        <f t="shared" si="9"/>
        <v>1155</v>
      </c>
      <c r="AK5" s="6">
        <f t="shared" si="10"/>
        <v>347</v>
      </c>
      <c r="AL5" s="6">
        <f t="shared" si="11"/>
        <v>347</v>
      </c>
    </row>
    <row r="6" s="6" customFormat="1" ht="20.1" customHeight="1" spans="1:38">
      <c r="A6" s="6">
        <f t="shared" si="0"/>
        <v>105</v>
      </c>
      <c r="B6" s="6">
        <v>5</v>
      </c>
      <c r="C6" s="6">
        <v>0.5</v>
      </c>
      <c r="D6" s="6">
        <f t="shared" si="12"/>
        <v>3</v>
      </c>
      <c r="E6" s="6">
        <f t="shared" si="1"/>
        <v>3</v>
      </c>
      <c r="F6" s="6">
        <f>$D6*总表!D$4</f>
        <v>3150</v>
      </c>
      <c r="G6" s="6">
        <f>$E6*总表!E$4</f>
        <v>300</v>
      </c>
      <c r="H6" s="6">
        <f>$E6*总表!F$4</f>
        <v>90</v>
      </c>
      <c r="I6" s="6">
        <f>$E6*总表!G$4</f>
        <v>90</v>
      </c>
      <c r="Q6" s="6">
        <f t="shared" si="2"/>
        <v>104</v>
      </c>
      <c r="R6" s="6" t="s">
        <v>1876</v>
      </c>
      <c r="S6" s="6">
        <v>1</v>
      </c>
      <c r="T6" s="6">
        <v>4</v>
      </c>
      <c r="U6" s="6">
        <f t="shared" si="3"/>
        <v>2625</v>
      </c>
      <c r="V6" s="6">
        <f t="shared" si="4"/>
        <v>250</v>
      </c>
      <c r="W6" s="6">
        <f t="shared" si="5"/>
        <v>75</v>
      </c>
      <c r="X6" s="6">
        <f t="shared" si="6"/>
        <v>75</v>
      </c>
      <c r="AD6" s="6">
        <f t="shared" si="7"/>
        <v>320</v>
      </c>
      <c r="AE6" s="6">
        <v>3.5</v>
      </c>
      <c r="AF6" s="6">
        <v>1.1</v>
      </c>
      <c r="AG6" s="6">
        <v>20</v>
      </c>
      <c r="AH6" s="6">
        <v>3</v>
      </c>
      <c r="AI6" s="6">
        <f t="shared" si="8"/>
        <v>308700</v>
      </c>
      <c r="AJ6" s="6">
        <f t="shared" si="9"/>
        <v>1444</v>
      </c>
      <c r="AK6" s="6">
        <f t="shared" si="10"/>
        <v>433</v>
      </c>
      <c r="AL6" s="6">
        <f t="shared" si="11"/>
        <v>433</v>
      </c>
    </row>
    <row r="7" s="6" customFormat="1" ht="20.1" customHeight="1" spans="1:38">
      <c r="A7" s="6">
        <f t="shared" si="0"/>
        <v>106</v>
      </c>
      <c r="B7" s="6">
        <v>6</v>
      </c>
      <c r="C7" s="6">
        <v>0.5</v>
      </c>
      <c r="D7" s="6">
        <f t="shared" si="12"/>
        <v>3.5</v>
      </c>
      <c r="E7" s="6">
        <f t="shared" si="1"/>
        <v>3.5</v>
      </c>
      <c r="F7" s="6">
        <f>$D7*总表!D$4</f>
        <v>3675</v>
      </c>
      <c r="G7" s="6">
        <f>$E7*总表!E$4</f>
        <v>350</v>
      </c>
      <c r="H7" s="6">
        <f>$E7*总表!F$4</f>
        <v>105</v>
      </c>
      <c r="I7" s="6">
        <f>$E7*总表!G$4</f>
        <v>105</v>
      </c>
      <c r="Q7" s="6">
        <f t="shared" si="2"/>
        <v>104</v>
      </c>
      <c r="R7" s="6" t="s">
        <v>1877</v>
      </c>
      <c r="S7" s="6">
        <v>1</v>
      </c>
      <c r="T7" s="6">
        <v>4</v>
      </c>
      <c r="U7" s="6">
        <f t="shared" si="3"/>
        <v>2625</v>
      </c>
      <c r="V7" s="6">
        <f t="shared" si="4"/>
        <v>250</v>
      </c>
      <c r="W7" s="6">
        <f t="shared" si="5"/>
        <v>75</v>
      </c>
      <c r="X7" s="6">
        <f t="shared" si="6"/>
        <v>75</v>
      </c>
      <c r="AD7" s="6">
        <f t="shared" si="7"/>
        <v>321</v>
      </c>
      <c r="AE7" s="6">
        <v>3.5</v>
      </c>
      <c r="AF7" s="6">
        <v>1.1</v>
      </c>
      <c r="AG7" s="6">
        <v>21</v>
      </c>
      <c r="AH7" s="6">
        <v>3</v>
      </c>
      <c r="AI7" s="6">
        <f t="shared" si="8"/>
        <v>323400</v>
      </c>
      <c r="AJ7" s="6">
        <f t="shared" si="9"/>
        <v>1513</v>
      </c>
      <c r="AK7" s="6">
        <f t="shared" si="10"/>
        <v>454</v>
      </c>
      <c r="AL7" s="6">
        <f t="shared" si="11"/>
        <v>454</v>
      </c>
    </row>
    <row r="8" s="6" customFormat="1" ht="20.1" customHeight="1" spans="1:38">
      <c r="A8" s="6">
        <f t="shared" si="0"/>
        <v>107</v>
      </c>
      <c r="B8" s="6">
        <v>7</v>
      </c>
      <c r="C8" s="6">
        <v>0.5</v>
      </c>
      <c r="D8" s="6">
        <f t="shared" si="12"/>
        <v>4</v>
      </c>
      <c r="E8" s="6">
        <f t="shared" si="1"/>
        <v>4</v>
      </c>
      <c r="F8" s="6">
        <f>$D8*总表!D$4</f>
        <v>4200</v>
      </c>
      <c r="G8" s="6">
        <f>$E8*总表!E$4</f>
        <v>400</v>
      </c>
      <c r="H8" s="6">
        <f>$E8*总表!F$4</f>
        <v>120</v>
      </c>
      <c r="I8" s="6">
        <f>$E8*总表!G$4</f>
        <v>120</v>
      </c>
      <c r="Q8" s="6">
        <f t="shared" si="2"/>
        <v>104</v>
      </c>
      <c r="R8" s="6" t="s">
        <v>1878</v>
      </c>
      <c r="S8" s="6">
        <v>1</v>
      </c>
      <c r="T8" s="6">
        <v>4</v>
      </c>
      <c r="U8" s="6">
        <f t="shared" si="3"/>
        <v>2625</v>
      </c>
      <c r="V8" s="6">
        <f t="shared" si="4"/>
        <v>250</v>
      </c>
      <c r="W8" s="6">
        <f t="shared" si="5"/>
        <v>75</v>
      </c>
      <c r="X8" s="6">
        <f t="shared" si="6"/>
        <v>75</v>
      </c>
      <c r="AD8" s="6">
        <f t="shared" si="7"/>
        <v>323</v>
      </c>
      <c r="AE8" s="6">
        <v>3.5</v>
      </c>
      <c r="AF8" s="6">
        <v>1.1</v>
      </c>
      <c r="AG8" s="6">
        <v>23</v>
      </c>
      <c r="AH8" s="6">
        <v>3</v>
      </c>
      <c r="AI8" s="6">
        <f t="shared" si="8"/>
        <v>382200</v>
      </c>
      <c r="AJ8" s="6">
        <f t="shared" si="9"/>
        <v>1788</v>
      </c>
      <c r="AK8" s="6">
        <f t="shared" si="10"/>
        <v>537</v>
      </c>
      <c r="AL8" s="6">
        <f t="shared" si="11"/>
        <v>537</v>
      </c>
    </row>
    <row r="9" s="6" customFormat="1" ht="20.1" customHeight="1" spans="1:38">
      <c r="A9" s="6">
        <f t="shared" si="0"/>
        <v>108</v>
      </c>
      <c r="B9" s="6">
        <v>8</v>
      </c>
      <c r="C9" s="6">
        <v>0.5</v>
      </c>
      <c r="D9" s="6">
        <f t="shared" si="12"/>
        <v>4.5</v>
      </c>
      <c r="E9" s="6">
        <f t="shared" si="1"/>
        <v>4.5</v>
      </c>
      <c r="F9" s="6">
        <f>$D9*总表!D$4</f>
        <v>4725</v>
      </c>
      <c r="G9" s="6">
        <f>$E9*总表!E$4</f>
        <v>450</v>
      </c>
      <c r="H9" s="6">
        <f>$E9*总表!F$4</f>
        <v>135</v>
      </c>
      <c r="I9" s="6">
        <f>$E9*总表!G$4</f>
        <v>135</v>
      </c>
      <c r="Q9" s="6">
        <f t="shared" si="2"/>
        <v>104</v>
      </c>
      <c r="R9" s="6" t="s">
        <v>1879</v>
      </c>
      <c r="S9" s="6">
        <v>1</v>
      </c>
      <c r="T9" s="6">
        <v>4</v>
      </c>
      <c r="U9" s="6">
        <f t="shared" si="3"/>
        <v>2625</v>
      </c>
      <c r="V9" s="6">
        <f t="shared" si="4"/>
        <v>250</v>
      </c>
      <c r="W9" s="6">
        <f t="shared" si="5"/>
        <v>75</v>
      </c>
      <c r="X9" s="6">
        <f t="shared" si="6"/>
        <v>75</v>
      </c>
      <c r="AD9" s="6">
        <f t="shared" si="7"/>
        <v>125</v>
      </c>
      <c r="AE9" s="6">
        <v>3.5</v>
      </c>
      <c r="AF9" s="6">
        <v>1.1</v>
      </c>
      <c r="AG9" s="6">
        <v>25</v>
      </c>
      <c r="AH9" s="6">
        <v>1</v>
      </c>
      <c r="AI9" s="6">
        <f t="shared" si="8"/>
        <v>55125</v>
      </c>
      <c r="AJ9" s="6">
        <f t="shared" si="9"/>
        <v>1650</v>
      </c>
      <c r="AK9" s="6">
        <f t="shared" si="10"/>
        <v>495</v>
      </c>
      <c r="AL9" s="6">
        <f t="shared" si="11"/>
        <v>495</v>
      </c>
    </row>
    <row r="10" s="6" customFormat="1" ht="20.1" customHeight="1" spans="1:38">
      <c r="A10" s="6">
        <f t="shared" si="0"/>
        <v>109</v>
      </c>
      <c r="B10" s="6">
        <v>9</v>
      </c>
      <c r="C10" s="6">
        <v>0.5</v>
      </c>
      <c r="D10" s="6">
        <f t="shared" si="12"/>
        <v>5</v>
      </c>
      <c r="E10" s="6">
        <f t="shared" si="1"/>
        <v>5</v>
      </c>
      <c r="F10" s="6">
        <f>$D10*总表!D$4</f>
        <v>5250</v>
      </c>
      <c r="G10" s="6">
        <f>$E10*总表!E$4</f>
        <v>500</v>
      </c>
      <c r="H10" s="6">
        <f>$E10*总表!F$4</f>
        <v>150</v>
      </c>
      <c r="I10" s="6">
        <f>$E10*总表!G$4</f>
        <v>150</v>
      </c>
      <c r="Q10" s="6">
        <f t="shared" si="2"/>
        <v>305</v>
      </c>
      <c r="R10" s="6" t="s">
        <v>1880</v>
      </c>
      <c r="S10" s="6">
        <v>3</v>
      </c>
      <c r="T10" s="6">
        <v>5</v>
      </c>
      <c r="U10" s="6">
        <f t="shared" si="3"/>
        <v>25200</v>
      </c>
      <c r="V10" s="6">
        <f t="shared" si="4"/>
        <v>375</v>
      </c>
      <c r="W10" s="6">
        <f t="shared" si="5"/>
        <v>113</v>
      </c>
      <c r="X10" s="6">
        <f t="shared" si="6"/>
        <v>113</v>
      </c>
      <c r="AD10" s="6">
        <f t="shared" si="7"/>
        <v>132</v>
      </c>
      <c r="AE10" s="6">
        <v>3.5</v>
      </c>
      <c r="AF10" s="6">
        <v>1.1</v>
      </c>
      <c r="AG10" s="6">
        <v>32</v>
      </c>
      <c r="AH10" s="6">
        <v>1</v>
      </c>
      <c r="AI10" s="6">
        <f t="shared" si="8"/>
        <v>95550</v>
      </c>
      <c r="AJ10" s="6">
        <f t="shared" si="9"/>
        <v>2860</v>
      </c>
      <c r="AK10" s="6">
        <f t="shared" si="10"/>
        <v>858</v>
      </c>
      <c r="AL10" s="6">
        <f t="shared" si="11"/>
        <v>858</v>
      </c>
    </row>
    <row r="11" s="6" customFormat="1" ht="20.1" customHeight="1" spans="1:38">
      <c r="A11" s="6">
        <f t="shared" si="0"/>
        <v>110</v>
      </c>
      <c r="B11" s="6">
        <v>10</v>
      </c>
      <c r="C11" s="6">
        <v>0.5</v>
      </c>
      <c r="D11" s="6">
        <f t="shared" si="12"/>
        <v>5.5</v>
      </c>
      <c r="E11" s="6">
        <f t="shared" si="1"/>
        <v>5.5</v>
      </c>
      <c r="F11" s="6">
        <f>$D11*总表!D$4</f>
        <v>5775</v>
      </c>
      <c r="G11" s="6">
        <f>$E11*总表!E$4</f>
        <v>550</v>
      </c>
      <c r="H11" s="6">
        <f>$E11*总表!F$4</f>
        <v>165</v>
      </c>
      <c r="I11" s="6">
        <f>$E11*总表!G$4</f>
        <v>165</v>
      </c>
      <c r="Q11" s="6">
        <f t="shared" si="2"/>
        <v>107</v>
      </c>
      <c r="R11" s="6" t="s">
        <v>1881</v>
      </c>
      <c r="S11" s="6">
        <v>1</v>
      </c>
      <c r="T11" s="6">
        <v>7</v>
      </c>
      <c r="U11" s="6">
        <f t="shared" si="3"/>
        <v>4200</v>
      </c>
      <c r="V11" s="6">
        <f t="shared" si="4"/>
        <v>400</v>
      </c>
      <c r="W11" s="6">
        <f t="shared" si="5"/>
        <v>120</v>
      </c>
      <c r="X11" s="6">
        <f t="shared" si="6"/>
        <v>120</v>
      </c>
      <c r="AD11" s="6">
        <f t="shared" si="7"/>
        <v>132</v>
      </c>
      <c r="AE11" s="6">
        <v>3.5</v>
      </c>
      <c r="AF11" s="6">
        <v>1.1</v>
      </c>
      <c r="AG11" s="6">
        <v>32</v>
      </c>
      <c r="AH11" s="6">
        <v>1</v>
      </c>
      <c r="AI11" s="6">
        <f t="shared" si="8"/>
        <v>95550</v>
      </c>
      <c r="AJ11" s="6">
        <f t="shared" si="9"/>
        <v>2860</v>
      </c>
      <c r="AK11" s="6">
        <f t="shared" si="10"/>
        <v>858</v>
      </c>
      <c r="AL11" s="6">
        <f t="shared" si="11"/>
        <v>858</v>
      </c>
    </row>
    <row r="12" s="6" customFormat="1" ht="20.1" customHeight="1" spans="1:38">
      <c r="A12" s="6">
        <f t="shared" si="0"/>
        <v>111</v>
      </c>
      <c r="B12" s="6">
        <v>11</v>
      </c>
      <c r="C12" s="6">
        <v>0.5</v>
      </c>
      <c r="D12" s="6">
        <f t="shared" si="12"/>
        <v>6</v>
      </c>
      <c r="E12" s="6">
        <f t="shared" si="1"/>
        <v>6</v>
      </c>
      <c r="F12" s="6">
        <f>$D12*总表!D$4</f>
        <v>6300</v>
      </c>
      <c r="G12" s="6">
        <f>$E12*总表!E$4</f>
        <v>600</v>
      </c>
      <c r="H12" s="6">
        <f>$E12*总表!F$4</f>
        <v>180</v>
      </c>
      <c r="I12" s="6">
        <f>$E12*总表!G$4</f>
        <v>180</v>
      </c>
      <c r="Q12" s="6">
        <f t="shared" si="2"/>
        <v>107</v>
      </c>
      <c r="R12" s="6" t="s">
        <v>1882</v>
      </c>
      <c r="S12" s="6">
        <v>1</v>
      </c>
      <c r="T12" s="6">
        <v>7</v>
      </c>
      <c r="U12" s="6">
        <f t="shared" si="3"/>
        <v>4200</v>
      </c>
      <c r="V12" s="6">
        <f t="shared" si="4"/>
        <v>400</v>
      </c>
      <c r="W12" s="6">
        <f t="shared" si="5"/>
        <v>120</v>
      </c>
      <c r="X12" s="6">
        <f t="shared" si="6"/>
        <v>120</v>
      </c>
      <c r="AD12" s="6">
        <f t="shared" si="7"/>
        <v>132</v>
      </c>
      <c r="AE12" s="6">
        <v>3.5</v>
      </c>
      <c r="AF12" s="6">
        <v>1.1</v>
      </c>
      <c r="AG12" s="6">
        <v>32</v>
      </c>
      <c r="AH12" s="6">
        <v>1</v>
      </c>
      <c r="AI12" s="6">
        <f t="shared" si="8"/>
        <v>95550</v>
      </c>
      <c r="AJ12" s="6">
        <f t="shared" si="9"/>
        <v>2860</v>
      </c>
      <c r="AK12" s="6">
        <f t="shared" si="10"/>
        <v>858</v>
      </c>
      <c r="AL12" s="6">
        <f t="shared" si="11"/>
        <v>858</v>
      </c>
    </row>
    <row r="13" s="6" customFormat="1" ht="20.1" customHeight="1" spans="1:38">
      <c r="A13" s="6">
        <f t="shared" si="0"/>
        <v>112</v>
      </c>
      <c r="B13" s="6">
        <v>12</v>
      </c>
      <c r="C13" s="6">
        <v>0.5</v>
      </c>
      <c r="D13" s="6">
        <f t="shared" si="12"/>
        <v>6.5</v>
      </c>
      <c r="E13" s="6">
        <f t="shared" si="1"/>
        <v>6.5</v>
      </c>
      <c r="F13" s="6">
        <f>$D13*总表!D$4</f>
        <v>6825</v>
      </c>
      <c r="G13" s="6">
        <f>$E13*总表!E$4</f>
        <v>650</v>
      </c>
      <c r="H13" s="6">
        <f>$E13*总表!F$4</f>
        <v>195</v>
      </c>
      <c r="I13" s="6">
        <f>$E13*总表!G$4</f>
        <v>195</v>
      </c>
      <c r="Q13" s="6">
        <f t="shared" si="2"/>
        <v>108</v>
      </c>
      <c r="R13" s="6" t="s">
        <v>1883</v>
      </c>
      <c r="S13" s="6">
        <v>1</v>
      </c>
      <c r="T13" s="6">
        <v>8</v>
      </c>
      <c r="U13" s="6">
        <f t="shared" si="3"/>
        <v>4725</v>
      </c>
      <c r="V13" s="6">
        <f t="shared" si="4"/>
        <v>450</v>
      </c>
      <c r="W13" s="6">
        <f t="shared" si="5"/>
        <v>135</v>
      </c>
      <c r="X13" s="6">
        <f t="shared" si="6"/>
        <v>135</v>
      </c>
      <c r="AD13" s="6">
        <f t="shared" si="7"/>
        <v>132</v>
      </c>
      <c r="AE13" s="6">
        <v>3.5</v>
      </c>
      <c r="AF13" s="6">
        <v>1.1</v>
      </c>
      <c r="AG13" s="6">
        <v>32</v>
      </c>
      <c r="AH13" s="6">
        <v>1</v>
      </c>
      <c r="AI13" s="6">
        <f t="shared" si="8"/>
        <v>95550</v>
      </c>
      <c r="AJ13" s="6">
        <f t="shared" si="9"/>
        <v>2860</v>
      </c>
      <c r="AK13" s="6">
        <f t="shared" si="10"/>
        <v>858</v>
      </c>
      <c r="AL13" s="6">
        <f t="shared" si="11"/>
        <v>858</v>
      </c>
    </row>
    <row r="14" s="6" customFormat="1" ht="20.1" customHeight="1" spans="1:38">
      <c r="A14" s="6">
        <f t="shared" si="0"/>
        <v>113</v>
      </c>
      <c r="B14" s="6">
        <v>13</v>
      </c>
      <c r="C14" s="6">
        <v>0.5</v>
      </c>
      <c r="D14" s="6">
        <f t="shared" si="12"/>
        <v>7</v>
      </c>
      <c r="E14" s="6">
        <f t="shared" si="1"/>
        <v>7</v>
      </c>
      <c r="F14" s="6">
        <f>$D14*总表!D$4</f>
        <v>7350</v>
      </c>
      <c r="G14" s="6">
        <f>$E14*总表!E$4</f>
        <v>700</v>
      </c>
      <c r="H14" s="6">
        <f>$E14*总表!F$4</f>
        <v>210</v>
      </c>
      <c r="I14" s="6">
        <f>$E14*总表!G$4</f>
        <v>210</v>
      </c>
      <c r="Q14" s="6">
        <f t="shared" si="2"/>
        <v>310</v>
      </c>
      <c r="R14" s="6" t="s">
        <v>1884</v>
      </c>
      <c r="S14" s="6">
        <v>3</v>
      </c>
      <c r="T14" s="6">
        <v>10</v>
      </c>
      <c r="U14" s="6">
        <f t="shared" si="3"/>
        <v>46200</v>
      </c>
      <c r="V14" s="6">
        <f t="shared" si="4"/>
        <v>688</v>
      </c>
      <c r="W14" s="6">
        <f t="shared" si="5"/>
        <v>206</v>
      </c>
      <c r="X14" s="6">
        <f t="shared" si="6"/>
        <v>206</v>
      </c>
      <c r="AD14" s="6">
        <f t="shared" si="7"/>
        <v>333</v>
      </c>
      <c r="AE14" s="6">
        <v>3.5</v>
      </c>
      <c r="AF14" s="6">
        <v>1.1</v>
      </c>
      <c r="AG14" s="6">
        <v>33</v>
      </c>
      <c r="AH14" s="6">
        <v>3</v>
      </c>
      <c r="AI14" s="6">
        <f t="shared" si="8"/>
        <v>793800</v>
      </c>
      <c r="AJ14" s="6">
        <f t="shared" si="9"/>
        <v>3713</v>
      </c>
      <c r="AK14" s="6">
        <f t="shared" si="10"/>
        <v>1114</v>
      </c>
      <c r="AL14" s="6">
        <f t="shared" si="11"/>
        <v>1114</v>
      </c>
    </row>
    <row r="15" s="6" customFormat="1" ht="20.1" customHeight="1" spans="1:38">
      <c r="A15" s="6">
        <f t="shared" si="0"/>
        <v>114</v>
      </c>
      <c r="B15" s="6">
        <v>14</v>
      </c>
      <c r="C15" s="6">
        <v>0.5</v>
      </c>
      <c r="D15" s="6">
        <f t="shared" si="12"/>
        <v>7.5</v>
      </c>
      <c r="E15" s="6">
        <f t="shared" si="1"/>
        <v>7.5</v>
      </c>
      <c r="F15" s="6">
        <f>$D15*总表!D$4</f>
        <v>7875</v>
      </c>
      <c r="G15" s="6">
        <f>$E15*总表!E$4</f>
        <v>750</v>
      </c>
      <c r="H15" s="6">
        <f>$E15*总表!F$4</f>
        <v>225</v>
      </c>
      <c r="I15" s="6">
        <f>$E15*总表!G$4</f>
        <v>225</v>
      </c>
      <c r="Q15" s="6">
        <f t="shared" si="2"/>
        <v>110</v>
      </c>
      <c r="R15" s="6" t="s">
        <v>1885</v>
      </c>
      <c r="S15" s="6">
        <v>1</v>
      </c>
      <c r="T15" s="6">
        <v>10</v>
      </c>
      <c r="U15" s="6">
        <f t="shared" si="3"/>
        <v>5775</v>
      </c>
      <c r="V15" s="6">
        <f t="shared" si="4"/>
        <v>550</v>
      </c>
      <c r="W15" s="6">
        <f t="shared" si="5"/>
        <v>165</v>
      </c>
      <c r="X15" s="6">
        <f t="shared" si="6"/>
        <v>165</v>
      </c>
      <c r="AD15" s="6">
        <f t="shared" si="7"/>
        <v>334</v>
      </c>
      <c r="AE15" s="6">
        <v>3.5</v>
      </c>
      <c r="AF15" s="6">
        <v>1.1</v>
      </c>
      <c r="AG15" s="6">
        <v>34</v>
      </c>
      <c r="AH15" s="6">
        <v>3</v>
      </c>
      <c r="AI15" s="6">
        <f t="shared" si="8"/>
        <v>823200</v>
      </c>
      <c r="AJ15" s="6">
        <f t="shared" si="9"/>
        <v>3850</v>
      </c>
      <c r="AK15" s="6">
        <f t="shared" si="10"/>
        <v>1155</v>
      </c>
      <c r="AL15" s="6">
        <f t="shared" si="11"/>
        <v>1155</v>
      </c>
    </row>
    <row r="16" s="6" customFormat="1" ht="20.1" customHeight="1" spans="1:38">
      <c r="A16" s="6">
        <f t="shared" si="0"/>
        <v>115</v>
      </c>
      <c r="B16" s="6">
        <v>15</v>
      </c>
      <c r="C16" s="6">
        <v>0.5</v>
      </c>
      <c r="D16" s="6">
        <f t="shared" si="12"/>
        <v>8</v>
      </c>
      <c r="E16" s="6">
        <f t="shared" si="1"/>
        <v>8</v>
      </c>
      <c r="F16" s="6">
        <f>$D16*总表!D$4</f>
        <v>8400</v>
      </c>
      <c r="G16" s="6">
        <f>$E16*总表!E$4</f>
        <v>800</v>
      </c>
      <c r="H16" s="6">
        <f>$E16*总表!F$4</f>
        <v>240</v>
      </c>
      <c r="I16" s="6">
        <f>$E16*总表!G$4</f>
        <v>240</v>
      </c>
      <c r="Q16" s="6">
        <f t="shared" si="2"/>
        <v>110</v>
      </c>
      <c r="R16" s="6" t="s">
        <v>1886</v>
      </c>
      <c r="S16" s="6">
        <v>1</v>
      </c>
      <c r="T16" s="6">
        <v>10</v>
      </c>
      <c r="U16" s="6">
        <f t="shared" si="3"/>
        <v>5775</v>
      </c>
      <c r="V16" s="6">
        <f t="shared" si="4"/>
        <v>550</v>
      </c>
      <c r="W16" s="6">
        <f t="shared" si="5"/>
        <v>165</v>
      </c>
      <c r="X16" s="6">
        <f t="shared" si="6"/>
        <v>165</v>
      </c>
      <c r="AD16" s="6">
        <f t="shared" si="7"/>
        <v>335</v>
      </c>
      <c r="AE16" s="6">
        <v>3.5</v>
      </c>
      <c r="AF16" s="6">
        <v>1.1</v>
      </c>
      <c r="AG16" s="6">
        <v>35</v>
      </c>
      <c r="AH16" s="6">
        <v>3</v>
      </c>
      <c r="AI16" s="6">
        <f t="shared" si="8"/>
        <v>852600</v>
      </c>
      <c r="AJ16" s="6">
        <f t="shared" si="9"/>
        <v>3988</v>
      </c>
      <c r="AK16" s="6">
        <f t="shared" si="10"/>
        <v>1197</v>
      </c>
      <c r="AL16" s="6">
        <f t="shared" si="11"/>
        <v>1197</v>
      </c>
    </row>
    <row r="17" s="6" customFormat="1" ht="20.1" customHeight="1" spans="1:38">
      <c r="A17" s="6">
        <f t="shared" si="0"/>
        <v>116</v>
      </c>
      <c r="B17" s="6">
        <v>16</v>
      </c>
      <c r="C17" s="6">
        <v>0.5</v>
      </c>
      <c r="D17" s="6">
        <f t="shared" si="12"/>
        <v>8.5</v>
      </c>
      <c r="E17" s="6">
        <f t="shared" si="1"/>
        <v>8.5</v>
      </c>
      <c r="F17" s="6">
        <f>$D17*总表!D$4</f>
        <v>8925</v>
      </c>
      <c r="G17" s="6">
        <f>$E17*总表!E$4</f>
        <v>850</v>
      </c>
      <c r="H17" s="6">
        <f>$E17*总表!F$4</f>
        <v>255</v>
      </c>
      <c r="I17" s="6">
        <f>$E17*总表!G$4</f>
        <v>255</v>
      </c>
      <c r="Q17" s="6">
        <f t="shared" si="2"/>
        <v>110</v>
      </c>
      <c r="R17" s="6" t="s">
        <v>1887</v>
      </c>
      <c r="S17" s="6">
        <v>1</v>
      </c>
      <c r="T17" s="6">
        <v>10</v>
      </c>
      <c r="U17" s="6">
        <f t="shared" si="3"/>
        <v>5775</v>
      </c>
      <c r="V17" s="6">
        <f t="shared" si="4"/>
        <v>550</v>
      </c>
      <c r="W17" s="6">
        <f t="shared" si="5"/>
        <v>165</v>
      </c>
      <c r="X17" s="6">
        <f t="shared" si="6"/>
        <v>165</v>
      </c>
      <c r="AD17" s="6">
        <f t="shared" si="7"/>
        <v>142</v>
      </c>
      <c r="AE17" s="6">
        <v>3.5</v>
      </c>
      <c r="AF17" s="6">
        <v>1.1</v>
      </c>
      <c r="AG17" s="6">
        <v>42</v>
      </c>
      <c r="AH17" s="6">
        <v>1</v>
      </c>
      <c r="AI17" s="6">
        <f t="shared" si="8"/>
        <v>147000</v>
      </c>
      <c r="AJ17" s="6">
        <f t="shared" si="9"/>
        <v>4400</v>
      </c>
      <c r="AK17" s="6">
        <f t="shared" si="10"/>
        <v>1320</v>
      </c>
      <c r="AL17" s="6">
        <f t="shared" si="11"/>
        <v>1320</v>
      </c>
    </row>
    <row r="18" s="6" customFormat="1" ht="20.1" customHeight="1" spans="1:38">
      <c r="A18" s="6">
        <f t="shared" si="0"/>
        <v>117</v>
      </c>
      <c r="B18" s="6">
        <v>17</v>
      </c>
      <c r="C18" s="6">
        <v>0.5</v>
      </c>
      <c r="D18" s="6">
        <f t="shared" si="12"/>
        <v>9</v>
      </c>
      <c r="E18" s="6">
        <f t="shared" si="1"/>
        <v>9</v>
      </c>
      <c r="F18" s="6">
        <f>$D18*总表!D$4</f>
        <v>9450</v>
      </c>
      <c r="G18" s="6">
        <f>$E18*总表!E$4</f>
        <v>900</v>
      </c>
      <c r="H18" s="6">
        <f>$E18*总表!F$4</f>
        <v>270</v>
      </c>
      <c r="I18" s="6">
        <f>$E18*总表!G$4</f>
        <v>270</v>
      </c>
      <c r="Q18" s="6">
        <f t="shared" si="2"/>
        <v>110</v>
      </c>
      <c r="R18" s="6" t="s">
        <v>1888</v>
      </c>
      <c r="S18" s="6">
        <v>1</v>
      </c>
      <c r="T18" s="6">
        <v>10</v>
      </c>
      <c r="U18" s="6">
        <f t="shared" si="3"/>
        <v>5775</v>
      </c>
      <c r="V18" s="6">
        <f t="shared" si="4"/>
        <v>550</v>
      </c>
      <c r="W18" s="6">
        <f t="shared" si="5"/>
        <v>165</v>
      </c>
      <c r="X18" s="6">
        <f t="shared" si="6"/>
        <v>165</v>
      </c>
      <c r="AD18" s="6">
        <f t="shared" si="7"/>
        <v>142</v>
      </c>
      <c r="AE18" s="6">
        <v>3.5</v>
      </c>
      <c r="AF18" s="6">
        <v>1.1</v>
      </c>
      <c r="AG18" s="6">
        <v>42</v>
      </c>
      <c r="AH18" s="6">
        <v>1</v>
      </c>
      <c r="AI18" s="6">
        <f t="shared" si="8"/>
        <v>147000</v>
      </c>
      <c r="AJ18" s="6">
        <f t="shared" si="9"/>
        <v>4400</v>
      </c>
      <c r="AK18" s="6">
        <f t="shared" si="10"/>
        <v>1320</v>
      </c>
      <c r="AL18" s="6">
        <f t="shared" si="11"/>
        <v>1320</v>
      </c>
    </row>
    <row r="19" s="6" customFormat="1" ht="20.1" customHeight="1" spans="1:38">
      <c r="A19" s="6">
        <f t="shared" si="0"/>
        <v>118</v>
      </c>
      <c r="B19" s="6">
        <v>18</v>
      </c>
      <c r="C19" s="6">
        <v>0.5</v>
      </c>
      <c r="D19" s="6">
        <f t="shared" si="12"/>
        <v>9.5</v>
      </c>
      <c r="E19" s="6">
        <f t="shared" si="1"/>
        <v>9.5</v>
      </c>
      <c r="F19" s="6">
        <f>$D19*总表!D$4</f>
        <v>9975</v>
      </c>
      <c r="G19" s="6">
        <f>$E19*总表!E$4</f>
        <v>950</v>
      </c>
      <c r="H19" s="6">
        <f>$E19*总表!F$4</f>
        <v>285</v>
      </c>
      <c r="I19" s="6">
        <f>$E19*总表!G$4</f>
        <v>285</v>
      </c>
      <c r="Q19" s="6">
        <f t="shared" si="2"/>
        <v>110</v>
      </c>
      <c r="R19" s="6" t="s">
        <v>1889</v>
      </c>
      <c r="S19" s="6">
        <v>1</v>
      </c>
      <c r="T19" s="6">
        <v>10</v>
      </c>
      <c r="U19" s="6">
        <f t="shared" si="3"/>
        <v>5775</v>
      </c>
      <c r="V19" s="6">
        <f t="shared" si="4"/>
        <v>550</v>
      </c>
      <c r="W19" s="6">
        <f t="shared" si="5"/>
        <v>165</v>
      </c>
      <c r="X19" s="6">
        <f t="shared" si="6"/>
        <v>165</v>
      </c>
      <c r="AD19" s="6">
        <f t="shared" si="7"/>
        <v>142</v>
      </c>
      <c r="AE19" s="6">
        <v>3.5</v>
      </c>
      <c r="AF19" s="6">
        <v>1.1</v>
      </c>
      <c r="AG19" s="6">
        <v>42</v>
      </c>
      <c r="AH19" s="6">
        <v>1</v>
      </c>
      <c r="AI19" s="6">
        <f t="shared" si="8"/>
        <v>147000</v>
      </c>
      <c r="AJ19" s="6">
        <f t="shared" si="9"/>
        <v>4400</v>
      </c>
      <c r="AK19" s="6">
        <f t="shared" si="10"/>
        <v>1320</v>
      </c>
      <c r="AL19" s="6">
        <f t="shared" si="11"/>
        <v>1320</v>
      </c>
    </row>
    <row r="20" s="6" customFormat="1" ht="20.1" customHeight="1" spans="1:38">
      <c r="A20" s="6">
        <f t="shared" si="0"/>
        <v>119</v>
      </c>
      <c r="B20" s="6">
        <v>19</v>
      </c>
      <c r="C20" s="6">
        <v>0.5</v>
      </c>
      <c r="D20" s="6">
        <f t="shared" si="12"/>
        <v>10</v>
      </c>
      <c r="E20" s="6">
        <f t="shared" si="1"/>
        <v>10</v>
      </c>
      <c r="F20" s="6">
        <f>$D20*总表!D$4</f>
        <v>10500</v>
      </c>
      <c r="G20" s="6">
        <f>$E20*总表!E$4</f>
        <v>1000</v>
      </c>
      <c r="H20" s="6">
        <f>$E20*总表!F$4</f>
        <v>300</v>
      </c>
      <c r="I20" s="6">
        <f>$E20*总表!G$4</f>
        <v>300</v>
      </c>
      <c r="Q20" s="6">
        <f t="shared" si="2"/>
        <v>312</v>
      </c>
      <c r="R20" s="6" t="s">
        <v>1890</v>
      </c>
      <c r="S20" s="6">
        <v>3</v>
      </c>
      <c r="T20" s="6">
        <v>12</v>
      </c>
      <c r="U20" s="6">
        <f t="shared" si="3"/>
        <v>54600</v>
      </c>
      <c r="V20" s="6">
        <f t="shared" si="4"/>
        <v>813</v>
      </c>
      <c r="W20" s="6">
        <f t="shared" si="5"/>
        <v>244</v>
      </c>
      <c r="X20" s="6">
        <f t="shared" si="6"/>
        <v>244</v>
      </c>
      <c r="AD20" s="6">
        <f t="shared" si="7"/>
        <v>142</v>
      </c>
      <c r="AE20" s="6">
        <v>3.5</v>
      </c>
      <c r="AF20" s="6">
        <v>1.1</v>
      </c>
      <c r="AG20" s="6">
        <v>42</v>
      </c>
      <c r="AH20" s="6">
        <v>1</v>
      </c>
      <c r="AI20" s="6">
        <f t="shared" si="8"/>
        <v>147000</v>
      </c>
      <c r="AJ20" s="6">
        <f t="shared" si="9"/>
        <v>4400</v>
      </c>
      <c r="AK20" s="6">
        <f t="shared" si="10"/>
        <v>1320</v>
      </c>
      <c r="AL20" s="6">
        <f t="shared" si="11"/>
        <v>1320</v>
      </c>
    </row>
    <row r="21" s="6" customFormat="1" ht="20.1" customHeight="1" spans="1:38">
      <c r="A21" s="6">
        <f t="shared" si="0"/>
        <v>120</v>
      </c>
      <c r="B21" s="6">
        <v>20</v>
      </c>
      <c r="C21" s="6">
        <v>0.5</v>
      </c>
      <c r="D21" s="6">
        <f t="shared" si="12"/>
        <v>10.5</v>
      </c>
      <c r="E21" s="6">
        <f t="shared" si="1"/>
        <v>10.5</v>
      </c>
      <c r="F21" s="6">
        <f>$D21*总表!D$4</f>
        <v>11025</v>
      </c>
      <c r="G21" s="6">
        <f>$E21*总表!E$4</f>
        <v>1050</v>
      </c>
      <c r="H21" s="6">
        <f>$E21*总表!F$4</f>
        <v>315</v>
      </c>
      <c r="I21" s="6">
        <f>$E21*总表!G$4</f>
        <v>315</v>
      </c>
      <c r="Q21" s="6">
        <f t="shared" si="2"/>
        <v>113</v>
      </c>
      <c r="R21" s="6" t="s">
        <v>1891</v>
      </c>
      <c r="S21" s="6">
        <v>1</v>
      </c>
      <c r="T21" s="6">
        <v>13</v>
      </c>
      <c r="U21" s="6">
        <f t="shared" si="3"/>
        <v>7350</v>
      </c>
      <c r="V21" s="6">
        <f t="shared" si="4"/>
        <v>700</v>
      </c>
      <c r="W21" s="6">
        <f t="shared" si="5"/>
        <v>210</v>
      </c>
      <c r="X21" s="6">
        <f t="shared" si="6"/>
        <v>210</v>
      </c>
      <c r="AD21" s="6">
        <f t="shared" si="7"/>
        <v>142</v>
      </c>
      <c r="AE21" s="6">
        <v>3.5</v>
      </c>
      <c r="AF21" s="6">
        <v>1.1</v>
      </c>
      <c r="AG21" s="6">
        <v>42</v>
      </c>
      <c r="AH21" s="6">
        <v>1</v>
      </c>
      <c r="AI21" s="6">
        <f t="shared" si="8"/>
        <v>147000</v>
      </c>
      <c r="AJ21" s="6">
        <f t="shared" si="9"/>
        <v>4400</v>
      </c>
      <c r="AK21" s="6">
        <f t="shared" si="10"/>
        <v>1320</v>
      </c>
      <c r="AL21" s="6">
        <f t="shared" si="11"/>
        <v>1320</v>
      </c>
    </row>
    <row r="22" s="6" customFormat="1" ht="20.1" customHeight="1" spans="1:38">
      <c r="A22" s="6">
        <f t="shared" si="0"/>
        <v>121</v>
      </c>
      <c r="B22" s="6">
        <v>21</v>
      </c>
      <c r="C22" s="6">
        <v>1</v>
      </c>
      <c r="D22" s="6">
        <f t="shared" si="12"/>
        <v>11</v>
      </c>
      <c r="E22" s="6">
        <f t="shared" si="1"/>
        <v>11</v>
      </c>
      <c r="F22" s="6">
        <f>$D22*总表!D$4</f>
        <v>11550</v>
      </c>
      <c r="G22" s="6">
        <f>$E22*总表!E$4</f>
        <v>1100</v>
      </c>
      <c r="H22" s="6">
        <f>$E22*总表!F$4</f>
        <v>330</v>
      </c>
      <c r="I22" s="6">
        <f>$E22*总表!G$4</f>
        <v>330</v>
      </c>
      <c r="Q22" s="6">
        <f t="shared" si="2"/>
        <v>113</v>
      </c>
      <c r="R22" s="6" t="s">
        <v>1892</v>
      </c>
      <c r="S22" s="6">
        <v>1</v>
      </c>
      <c r="T22" s="6">
        <v>13</v>
      </c>
      <c r="U22" s="6">
        <f t="shared" si="3"/>
        <v>7350</v>
      </c>
      <c r="V22" s="6">
        <f t="shared" si="4"/>
        <v>700</v>
      </c>
      <c r="W22" s="6">
        <f t="shared" si="5"/>
        <v>210</v>
      </c>
      <c r="X22" s="6">
        <f t="shared" si="6"/>
        <v>210</v>
      </c>
      <c r="AD22" s="6">
        <f t="shared" si="7"/>
        <v>343</v>
      </c>
      <c r="AE22" s="6">
        <v>3.5</v>
      </c>
      <c r="AF22" s="6">
        <v>1.1</v>
      </c>
      <c r="AG22" s="6">
        <v>43</v>
      </c>
      <c r="AH22" s="6">
        <v>3</v>
      </c>
      <c r="AI22" s="6">
        <f t="shared" si="8"/>
        <v>1205400</v>
      </c>
      <c r="AJ22" s="6">
        <f t="shared" si="9"/>
        <v>5638</v>
      </c>
      <c r="AK22" s="6">
        <f t="shared" si="10"/>
        <v>1692</v>
      </c>
      <c r="AL22" s="6">
        <f t="shared" si="11"/>
        <v>1692</v>
      </c>
    </row>
    <row r="23" s="6" customFormat="1" ht="20.1" customHeight="1" spans="1:38">
      <c r="A23" s="6">
        <f t="shared" si="0"/>
        <v>122</v>
      </c>
      <c r="B23" s="6">
        <v>22</v>
      </c>
      <c r="C23" s="6">
        <v>1</v>
      </c>
      <c r="D23" s="6">
        <f t="shared" si="12"/>
        <v>12</v>
      </c>
      <c r="E23" s="6">
        <f t="shared" si="1"/>
        <v>12</v>
      </c>
      <c r="F23" s="6">
        <f>$D23*总表!D$4</f>
        <v>12600</v>
      </c>
      <c r="G23" s="6">
        <f>$E23*总表!E$4</f>
        <v>1200</v>
      </c>
      <c r="H23" s="6">
        <f>$E23*总表!F$4</f>
        <v>360</v>
      </c>
      <c r="I23" s="6">
        <f>$E23*总表!G$4</f>
        <v>360</v>
      </c>
      <c r="Q23" s="6">
        <f t="shared" si="2"/>
        <v>315</v>
      </c>
      <c r="R23" s="6" t="s">
        <v>1893</v>
      </c>
      <c r="S23" s="6">
        <v>3</v>
      </c>
      <c r="T23" s="6">
        <v>15</v>
      </c>
      <c r="U23" s="6">
        <f t="shared" si="3"/>
        <v>67200</v>
      </c>
      <c r="V23" s="6">
        <f t="shared" si="4"/>
        <v>1000</v>
      </c>
      <c r="W23" s="6">
        <f t="shared" si="5"/>
        <v>300</v>
      </c>
      <c r="X23" s="6">
        <f t="shared" si="6"/>
        <v>300</v>
      </c>
      <c r="AD23" s="6">
        <f t="shared" si="7"/>
        <v>344</v>
      </c>
      <c r="AE23" s="6">
        <v>3.5</v>
      </c>
      <c r="AF23" s="6">
        <v>1.1</v>
      </c>
      <c r="AG23" s="6">
        <v>44</v>
      </c>
      <c r="AH23" s="6">
        <v>3</v>
      </c>
      <c r="AI23" s="6">
        <f t="shared" si="8"/>
        <v>1234800</v>
      </c>
      <c r="AJ23" s="6">
        <f t="shared" si="9"/>
        <v>5775</v>
      </c>
      <c r="AK23" s="6">
        <f t="shared" si="10"/>
        <v>1733</v>
      </c>
      <c r="AL23" s="6">
        <f t="shared" si="11"/>
        <v>1733</v>
      </c>
    </row>
    <row r="24" s="6" customFormat="1" ht="20.1" customHeight="1" spans="1:38">
      <c r="A24" s="6">
        <f t="shared" si="0"/>
        <v>123</v>
      </c>
      <c r="B24" s="6">
        <v>23</v>
      </c>
      <c r="C24" s="6">
        <v>1</v>
      </c>
      <c r="D24" s="6">
        <f t="shared" si="12"/>
        <v>13</v>
      </c>
      <c r="E24" s="6">
        <f t="shared" si="1"/>
        <v>13</v>
      </c>
      <c r="F24" s="6">
        <f>$D24*总表!D$4</f>
        <v>13650</v>
      </c>
      <c r="G24" s="6">
        <f>$E24*总表!E$4</f>
        <v>1300</v>
      </c>
      <c r="H24" s="6">
        <f>$E24*总表!F$4</f>
        <v>390</v>
      </c>
      <c r="I24" s="6">
        <f>$E24*总表!G$4</f>
        <v>390</v>
      </c>
      <c r="Q24" s="6">
        <f t="shared" si="2"/>
        <v>119</v>
      </c>
      <c r="R24" s="6" t="s">
        <v>1894</v>
      </c>
      <c r="S24" s="6">
        <v>1</v>
      </c>
      <c r="T24" s="6">
        <v>19</v>
      </c>
      <c r="U24" s="6">
        <f t="shared" si="3"/>
        <v>10500</v>
      </c>
      <c r="V24" s="6">
        <f t="shared" si="4"/>
        <v>1000</v>
      </c>
      <c r="W24" s="6">
        <f t="shared" si="5"/>
        <v>300</v>
      </c>
      <c r="X24" s="6">
        <f t="shared" si="6"/>
        <v>300</v>
      </c>
      <c r="AD24" s="6">
        <f t="shared" si="7"/>
        <v>345</v>
      </c>
      <c r="AE24" s="6">
        <v>3.5</v>
      </c>
      <c r="AF24" s="6">
        <v>1.1</v>
      </c>
      <c r="AG24" s="6">
        <v>45</v>
      </c>
      <c r="AH24" s="6">
        <v>3</v>
      </c>
      <c r="AI24" s="6">
        <f t="shared" si="8"/>
        <v>1264200</v>
      </c>
      <c r="AJ24" s="6">
        <f t="shared" si="9"/>
        <v>5913</v>
      </c>
      <c r="AK24" s="6">
        <f t="shared" si="10"/>
        <v>1774</v>
      </c>
      <c r="AL24" s="6">
        <f t="shared" si="11"/>
        <v>1774</v>
      </c>
    </row>
    <row r="25" s="6" customFormat="1" ht="20.1" customHeight="1" spans="1:38">
      <c r="A25" s="6">
        <f t="shared" si="0"/>
        <v>124</v>
      </c>
      <c r="B25" s="6">
        <v>24</v>
      </c>
      <c r="C25" s="6">
        <v>1</v>
      </c>
      <c r="D25" s="6">
        <f t="shared" si="12"/>
        <v>14</v>
      </c>
      <c r="E25" s="6">
        <f t="shared" si="1"/>
        <v>14</v>
      </c>
      <c r="F25" s="6">
        <f>$D25*总表!D$4</f>
        <v>14700</v>
      </c>
      <c r="G25" s="6">
        <f>$E25*总表!E$4</f>
        <v>1400</v>
      </c>
      <c r="H25" s="6">
        <f>$E25*总表!F$4</f>
        <v>420</v>
      </c>
      <c r="I25" s="6">
        <f>$E25*总表!G$4</f>
        <v>420</v>
      </c>
      <c r="Q25" s="6">
        <f t="shared" si="2"/>
        <v>119</v>
      </c>
      <c r="R25" s="6" t="s">
        <v>1895</v>
      </c>
      <c r="S25" s="6">
        <v>1</v>
      </c>
      <c r="T25" s="6">
        <v>19</v>
      </c>
      <c r="U25" s="6">
        <f t="shared" si="3"/>
        <v>10500</v>
      </c>
      <c r="V25" s="6">
        <f t="shared" si="4"/>
        <v>1000</v>
      </c>
      <c r="W25" s="6">
        <f t="shared" si="5"/>
        <v>300</v>
      </c>
      <c r="X25" s="6">
        <f t="shared" si="6"/>
        <v>300</v>
      </c>
      <c r="AD25" s="6">
        <f t="shared" si="7"/>
        <v>152</v>
      </c>
      <c r="AE25" s="6">
        <v>3.5</v>
      </c>
      <c r="AF25" s="6">
        <v>1.1</v>
      </c>
      <c r="AG25" s="6">
        <v>52</v>
      </c>
      <c r="AH25" s="6">
        <v>1</v>
      </c>
      <c r="AI25" s="6">
        <f t="shared" si="8"/>
        <v>198450</v>
      </c>
      <c r="AJ25" s="6">
        <f t="shared" si="9"/>
        <v>5940</v>
      </c>
      <c r="AK25" s="6">
        <f t="shared" si="10"/>
        <v>1782</v>
      </c>
      <c r="AL25" s="6">
        <f t="shared" si="11"/>
        <v>1782</v>
      </c>
    </row>
    <row r="26" s="6" customFormat="1" ht="20.1" customHeight="1" spans="1:38">
      <c r="A26" s="6">
        <f t="shared" si="0"/>
        <v>125</v>
      </c>
      <c r="B26" s="6">
        <v>25</v>
      </c>
      <c r="C26" s="6">
        <v>1</v>
      </c>
      <c r="D26" s="6">
        <f t="shared" si="12"/>
        <v>15</v>
      </c>
      <c r="E26" s="6">
        <f t="shared" si="1"/>
        <v>15</v>
      </c>
      <c r="F26" s="6">
        <f>$D26*总表!D$4</f>
        <v>15750</v>
      </c>
      <c r="G26" s="6">
        <f>$E26*总表!E$4</f>
        <v>1500</v>
      </c>
      <c r="H26" s="6">
        <f>$E26*总表!F$4</f>
        <v>450</v>
      </c>
      <c r="I26" s="6">
        <f>$E26*总表!G$4</f>
        <v>450</v>
      </c>
      <c r="Q26" s="6">
        <f t="shared" si="2"/>
        <v>322</v>
      </c>
      <c r="R26" s="6" t="s">
        <v>1896</v>
      </c>
      <c r="S26" s="6">
        <v>3</v>
      </c>
      <c r="T26" s="6">
        <v>22</v>
      </c>
      <c r="U26" s="6">
        <f t="shared" si="3"/>
        <v>100800</v>
      </c>
      <c r="V26" s="6">
        <f t="shared" si="4"/>
        <v>1500</v>
      </c>
      <c r="W26" s="6">
        <f t="shared" si="5"/>
        <v>450</v>
      </c>
      <c r="X26" s="6">
        <f t="shared" si="6"/>
        <v>450</v>
      </c>
      <c r="AD26" s="6">
        <f t="shared" si="7"/>
        <v>152</v>
      </c>
      <c r="AE26" s="6">
        <v>3.5</v>
      </c>
      <c r="AF26" s="6">
        <v>1.1</v>
      </c>
      <c r="AG26" s="6">
        <v>52</v>
      </c>
      <c r="AH26" s="6">
        <v>1</v>
      </c>
      <c r="AI26" s="6">
        <f t="shared" si="8"/>
        <v>198450</v>
      </c>
      <c r="AJ26" s="6">
        <f t="shared" si="9"/>
        <v>5940</v>
      </c>
      <c r="AK26" s="6">
        <f t="shared" si="10"/>
        <v>1782</v>
      </c>
      <c r="AL26" s="6">
        <f t="shared" si="11"/>
        <v>1782</v>
      </c>
    </row>
    <row r="27" s="6" customFormat="1" ht="20.1" customHeight="1" spans="1:38">
      <c r="A27" s="6">
        <f t="shared" si="0"/>
        <v>126</v>
      </c>
      <c r="B27" s="6">
        <v>26</v>
      </c>
      <c r="C27" s="6">
        <v>1</v>
      </c>
      <c r="D27" s="6">
        <f t="shared" si="12"/>
        <v>16</v>
      </c>
      <c r="E27" s="6">
        <f t="shared" si="1"/>
        <v>16</v>
      </c>
      <c r="F27" s="6">
        <f>$D27*总表!D$4</f>
        <v>16800</v>
      </c>
      <c r="G27" s="6">
        <f>$E27*总表!E$4</f>
        <v>1600</v>
      </c>
      <c r="H27" s="6">
        <f>$E27*总表!F$4</f>
        <v>480</v>
      </c>
      <c r="I27" s="6">
        <f>$E27*总表!G$4</f>
        <v>480</v>
      </c>
      <c r="Q27" s="6">
        <f t="shared" si="2"/>
        <v>123</v>
      </c>
      <c r="R27" s="6" t="s">
        <v>1897</v>
      </c>
      <c r="S27" s="6">
        <v>1</v>
      </c>
      <c r="T27" s="6">
        <v>23</v>
      </c>
      <c r="U27" s="6">
        <f t="shared" si="3"/>
        <v>13650</v>
      </c>
      <c r="V27" s="6">
        <f t="shared" si="4"/>
        <v>1300</v>
      </c>
      <c r="W27" s="6">
        <f t="shared" si="5"/>
        <v>390</v>
      </c>
      <c r="X27" s="6">
        <f t="shared" si="6"/>
        <v>390</v>
      </c>
      <c r="AD27" s="6">
        <f t="shared" si="7"/>
        <v>152</v>
      </c>
      <c r="AE27" s="6">
        <v>3.5</v>
      </c>
      <c r="AF27" s="6">
        <v>1.1</v>
      </c>
      <c r="AG27" s="6">
        <v>52</v>
      </c>
      <c r="AH27" s="6">
        <v>1</v>
      </c>
      <c r="AI27" s="6">
        <f t="shared" si="8"/>
        <v>198450</v>
      </c>
      <c r="AJ27" s="6">
        <f t="shared" si="9"/>
        <v>5940</v>
      </c>
      <c r="AK27" s="6">
        <f t="shared" si="10"/>
        <v>1782</v>
      </c>
      <c r="AL27" s="6">
        <f t="shared" si="11"/>
        <v>1782</v>
      </c>
    </row>
    <row r="28" s="6" customFormat="1" ht="20.1" customHeight="1" spans="1:38">
      <c r="A28" s="6">
        <f t="shared" si="0"/>
        <v>127</v>
      </c>
      <c r="B28" s="6">
        <v>27</v>
      </c>
      <c r="C28" s="6">
        <v>1</v>
      </c>
      <c r="D28" s="6">
        <f t="shared" si="12"/>
        <v>17</v>
      </c>
      <c r="E28" s="6">
        <f t="shared" si="1"/>
        <v>17</v>
      </c>
      <c r="F28" s="6">
        <f>$D28*总表!D$4</f>
        <v>17850</v>
      </c>
      <c r="G28" s="6">
        <f>$E28*总表!E$4</f>
        <v>1700</v>
      </c>
      <c r="H28" s="6">
        <f>$E28*总表!F$4</f>
        <v>510</v>
      </c>
      <c r="I28" s="6">
        <f>$E28*总表!G$4</f>
        <v>510</v>
      </c>
      <c r="Q28" s="6">
        <f t="shared" si="2"/>
        <v>123</v>
      </c>
      <c r="R28" s="6" t="s">
        <v>1898</v>
      </c>
      <c r="S28" s="6">
        <v>1</v>
      </c>
      <c r="T28" s="6">
        <v>23</v>
      </c>
      <c r="U28" s="6">
        <f t="shared" si="3"/>
        <v>13650</v>
      </c>
      <c r="V28" s="6">
        <f t="shared" si="4"/>
        <v>1300</v>
      </c>
      <c r="W28" s="6">
        <f t="shared" si="5"/>
        <v>390</v>
      </c>
      <c r="X28" s="6">
        <f t="shared" si="6"/>
        <v>390</v>
      </c>
      <c r="AD28" s="6">
        <f t="shared" si="7"/>
        <v>152</v>
      </c>
      <c r="AE28" s="6">
        <v>3.5</v>
      </c>
      <c r="AF28" s="6">
        <v>1.1</v>
      </c>
      <c r="AG28" s="6">
        <v>52</v>
      </c>
      <c r="AH28" s="6">
        <v>1</v>
      </c>
      <c r="AI28" s="6">
        <f t="shared" si="8"/>
        <v>198450</v>
      </c>
      <c r="AJ28" s="6">
        <f t="shared" si="9"/>
        <v>5940</v>
      </c>
      <c r="AK28" s="6">
        <f t="shared" si="10"/>
        <v>1782</v>
      </c>
      <c r="AL28" s="6">
        <f t="shared" si="11"/>
        <v>1782</v>
      </c>
    </row>
    <row r="29" s="6" customFormat="1" ht="20.1" customHeight="1" spans="1:38">
      <c r="A29" s="6">
        <f t="shared" si="0"/>
        <v>128</v>
      </c>
      <c r="B29" s="6">
        <v>28</v>
      </c>
      <c r="C29" s="6">
        <v>1</v>
      </c>
      <c r="D29" s="6">
        <f t="shared" si="12"/>
        <v>18</v>
      </c>
      <c r="E29" s="6">
        <f t="shared" si="1"/>
        <v>18</v>
      </c>
      <c r="F29" s="6">
        <f>$D29*总表!D$4</f>
        <v>18900</v>
      </c>
      <c r="G29" s="6">
        <f>$E29*总表!E$4</f>
        <v>1800</v>
      </c>
      <c r="H29" s="6">
        <f>$E29*总表!F$4</f>
        <v>540</v>
      </c>
      <c r="I29" s="6">
        <f>$E29*总表!G$4</f>
        <v>540</v>
      </c>
      <c r="Q29" s="6">
        <f t="shared" si="2"/>
        <v>325</v>
      </c>
      <c r="R29" s="6" t="s">
        <v>1899</v>
      </c>
      <c r="S29" s="6">
        <v>3</v>
      </c>
      <c r="T29" s="6">
        <v>25</v>
      </c>
      <c r="U29" s="6">
        <f t="shared" si="3"/>
        <v>126000</v>
      </c>
      <c r="V29" s="6">
        <f t="shared" si="4"/>
        <v>1875</v>
      </c>
      <c r="W29" s="6">
        <f t="shared" si="5"/>
        <v>563</v>
      </c>
      <c r="X29" s="6">
        <f t="shared" si="6"/>
        <v>563</v>
      </c>
      <c r="AD29" s="6">
        <f t="shared" si="7"/>
        <v>353</v>
      </c>
      <c r="AE29" s="6">
        <v>3.5</v>
      </c>
      <c r="AF29" s="6">
        <v>1.1</v>
      </c>
      <c r="AG29" s="6">
        <v>53</v>
      </c>
      <c r="AH29" s="6">
        <v>3</v>
      </c>
      <c r="AI29" s="6">
        <f t="shared" si="8"/>
        <v>1617000</v>
      </c>
      <c r="AJ29" s="6">
        <f t="shared" si="9"/>
        <v>7563</v>
      </c>
      <c r="AK29" s="6">
        <f t="shared" si="10"/>
        <v>2269</v>
      </c>
      <c r="AL29" s="6">
        <f t="shared" si="11"/>
        <v>2269</v>
      </c>
    </row>
    <row r="30" s="6" customFormat="1" ht="20.1" customHeight="1" spans="1:38">
      <c r="A30" s="6">
        <f t="shared" si="0"/>
        <v>129</v>
      </c>
      <c r="B30" s="6">
        <v>29</v>
      </c>
      <c r="C30" s="6">
        <v>1</v>
      </c>
      <c r="D30" s="6">
        <f t="shared" si="12"/>
        <v>19</v>
      </c>
      <c r="E30" s="6">
        <f t="shared" si="1"/>
        <v>19</v>
      </c>
      <c r="F30" s="6">
        <f>$D30*总表!D$4</f>
        <v>19950</v>
      </c>
      <c r="G30" s="6">
        <f>$E30*总表!E$4</f>
        <v>1900</v>
      </c>
      <c r="H30" s="6">
        <f>$E30*总表!F$4</f>
        <v>570</v>
      </c>
      <c r="I30" s="6">
        <f>$E30*总表!G$4</f>
        <v>570</v>
      </c>
      <c r="Q30" s="6">
        <f t="shared" si="2"/>
        <v>325</v>
      </c>
      <c r="R30" s="6" t="s">
        <v>1900</v>
      </c>
      <c r="S30" s="6">
        <v>3</v>
      </c>
      <c r="T30" s="6">
        <v>25</v>
      </c>
      <c r="U30" s="6">
        <f t="shared" si="3"/>
        <v>126000</v>
      </c>
      <c r="V30" s="6">
        <f t="shared" si="4"/>
        <v>1875</v>
      </c>
      <c r="W30" s="6">
        <f t="shared" si="5"/>
        <v>563</v>
      </c>
      <c r="X30" s="6">
        <f t="shared" si="6"/>
        <v>563</v>
      </c>
      <c r="AD30" s="6">
        <f t="shared" si="7"/>
        <v>354</v>
      </c>
      <c r="AE30" s="6">
        <v>3.5</v>
      </c>
      <c r="AF30" s="6">
        <v>1.1</v>
      </c>
      <c r="AG30" s="6">
        <v>54</v>
      </c>
      <c r="AH30" s="6">
        <v>3</v>
      </c>
      <c r="AI30" s="6">
        <f t="shared" si="8"/>
        <v>1646400</v>
      </c>
      <c r="AJ30" s="6">
        <f t="shared" si="9"/>
        <v>7700</v>
      </c>
      <c r="AK30" s="6">
        <f t="shared" si="10"/>
        <v>2310</v>
      </c>
      <c r="AL30" s="6">
        <f t="shared" si="11"/>
        <v>2310</v>
      </c>
    </row>
    <row r="31" s="6" customFormat="1" ht="20.1" customHeight="1" spans="1:38">
      <c r="A31" s="6">
        <f t="shared" si="0"/>
        <v>130</v>
      </c>
      <c r="B31" s="6">
        <v>30</v>
      </c>
      <c r="C31" s="6">
        <v>5</v>
      </c>
      <c r="D31" s="6">
        <f t="shared" si="12"/>
        <v>20</v>
      </c>
      <c r="E31" s="6">
        <f t="shared" si="1"/>
        <v>20</v>
      </c>
      <c r="F31" s="6">
        <f>$D31*总表!D$4</f>
        <v>21000</v>
      </c>
      <c r="G31" s="6">
        <f>$E31*总表!E$4</f>
        <v>2000</v>
      </c>
      <c r="H31" s="6">
        <f>$E31*总表!F$4</f>
        <v>600</v>
      </c>
      <c r="I31" s="6">
        <f>$E31*总表!G$4</f>
        <v>600</v>
      </c>
      <c r="Q31" s="6">
        <f t="shared" si="2"/>
        <v>126</v>
      </c>
      <c r="R31" s="6" t="s">
        <v>1901</v>
      </c>
      <c r="S31" s="6">
        <v>1</v>
      </c>
      <c r="T31" s="6">
        <v>26</v>
      </c>
      <c r="U31" s="6">
        <f t="shared" si="3"/>
        <v>16800</v>
      </c>
      <c r="V31" s="6">
        <f t="shared" si="4"/>
        <v>1600</v>
      </c>
      <c r="W31" s="6">
        <f t="shared" si="5"/>
        <v>480</v>
      </c>
      <c r="X31" s="6">
        <f t="shared" si="6"/>
        <v>480</v>
      </c>
      <c r="AD31" s="6">
        <f t="shared" si="7"/>
        <v>355</v>
      </c>
      <c r="AE31" s="6">
        <v>3.5</v>
      </c>
      <c r="AF31" s="6">
        <v>1.1</v>
      </c>
      <c r="AG31" s="6">
        <v>55</v>
      </c>
      <c r="AH31" s="6">
        <v>3</v>
      </c>
      <c r="AI31" s="6">
        <f t="shared" si="8"/>
        <v>1675800</v>
      </c>
      <c r="AJ31" s="6">
        <f t="shared" si="9"/>
        <v>7838</v>
      </c>
      <c r="AK31" s="6">
        <f t="shared" si="10"/>
        <v>2352</v>
      </c>
      <c r="AL31" s="6">
        <f t="shared" si="11"/>
        <v>2352</v>
      </c>
    </row>
    <row r="32" s="6" customFormat="1" ht="20.1" customHeight="1" spans="1:24">
      <c r="A32" s="6">
        <f t="shared" si="0"/>
        <v>131</v>
      </c>
      <c r="B32" s="6">
        <v>31</v>
      </c>
      <c r="C32" s="6">
        <v>1</v>
      </c>
      <c r="D32" s="6">
        <f t="shared" si="12"/>
        <v>25</v>
      </c>
      <c r="E32" s="6">
        <f t="shared" si="1"/>
        <v>25</v>
      </c>
      <c r="F32" s="6">
        <f>$D32*总表!D$4</f>
        <v>26250</v>
      </c>
      <c r="G32" s="6">
        <f>$E32*总表!E$4</f>
        <v>2500</v>
      </c>
      <c r="H32" s="6">
        <f>$E32*总表!F$4</f>
        <v>750</v>
      </c>
      <c r="I32" s="6">
        <f>$E32*总表!G$4</f>
        <v>750</v>
      </c>
      <c r="Q32" s="6">
        <f t="shared" si="2"/>
        <v>126</v>
      </c>
      <c r="R32" s="6" t="s">
        <v>1902</v>
      </c>
      <c r="S32" s="6">
        <v>1</v>
      </c>
      <c r="T32" s="6">
        <v>26</v>
      </c>
      <c r="U32" s="6">
        <f t="shared" si="3"/>
        <v>16800</v>
      </c>
      <c r="V32" s="6">
        <f t="shared" si="4"/>
        <v>1600</v>
      </c>
      <c r="W32" s="6">
        <f t="shared" si="5"/>
        <v>480</v>
      </c>
      <c r="X32" s="6">
        <f t="shared" si="6"/>
        <v>480</v>
      </c>
    </row>
    <row r="33" s="6" customFormat="1" ht="20.1" customHeight="1" spans="1:24">
      <c r="A33" s="6">
        <f t="shared" si="0"/>
        <v>132</v>
      </c>
      <c r="B33" s="6">
        <v>32</v>
      </c>
      <c r="C33" s="6">
        <v>1</v>
      </c>
      <c r="D33" s="6">
        <f t="shared" si="12"/>
        <v>26</v>
      </c>
      <c r="E33" s="6">
        <f t="shared" si="1"/>
        <v>26</v>
      </c>
      <c r="F33" s="6">
        <f>$D33*总表!D$4</f>
        <v>27300</v>
      </c>
      <c r="G33" s="6">
        <f>$E33*总表!E$4</f>
        <v>2600</v>
      </c>
      <c r="H33" s="6">
        <f>$E33*总表!F$4</f>
        <v>780</v>
      </c>
      <c r="I33" s="6">
        <f>$E33*总表!G$4</f>
        <v>780</v>
      </c>
      <c r="Q33" s="6">
        <f t="shared" si="2"/>
        <v>127</v>
      </c>
      <c r="R33" s="6" t="s">
        <v>1903</v>
      </c>
      <c r="S33" s="6">
        <v>1</v>
      </c>
      <c r="T33" s="6">
        <v>27</v>
      </c>
      <c r="U33" s="6">
        <f t="shared" si="3"/>
        <v>17850</v>
      </c>
      <c r="V33" s="6">
        <f t="shared" si="4"/>
        <v>1700</v>
      </c>
      <c r="W33" s="6">
        <f t="shared" si="5"/>
        <v>510</v>
      </c>
      <c r="X33" s="6">
        <f t="shared" si="6"/>
        <v>510</v>
      </c>
    </row>
    <row r="34" s="6" customFormat="1" ht="20.1" customHeight="1" spans="1:24">
      <c r="A34" s="6">
        <f t="shared" si="0"/>
        <v>133</v>
      </c>
      <c r="B34" s="6">
        <v>33</v>
      </c>
      <c r="C34" s="6">
        <v>1</v>
      </c>
      <c r="D34" s="6">
        <f t="shared" si="12"/>
        <v>27</v>
      </c>
      <c r="E34" s="6">
        <f t="shared" si="1"/>
        <v>27</v>
      </c>
      <c r="F34" s="6">
        <f>$D34*总表!D$4</f>
        <v>28350</v>
      </c>
      <c r="G34" s="6">
        <f>$E34*总表!E$4</f>
        <v>2700</v>
      </c>
      <c r="H34" s="6">
        <f>$E34*总表!F$4</f>
        <v>810</v>
      </c>
      <c r="I34" s="6">
        <f>$E34*总表!G$4</f>
        <v>810</v>
      </c>
      <c r="Q34" s="6">
        <f t="shared" si="2"/>
        <v>128</v>
      </c>
      <c r="R34" s="6" t="s">
        <v>1904</v>
      </c>
      <c r="S34" s="6">
        <v>1</v>
      </c>
      <c r="T34" s="6">
        <v>28</v>
      </c>
      <c r="U34" s="6">
        <f t="shared" si="3"/>
        <v>18900</v>
      </c>
      <c r="V34" s="6">
        <f t="shared" si="4"/>
        <v>1800</v>
      </c>
      <c r="W34" s="6">
        <f t="shared" si="5"/>
        <v>540</v>
      </c>
      <c r="X34" s="6">
        <f t="shared" si="6"/>
        <v>540</v>
      </c>
    </row>
    <row r="35" s="6" customFormat="1" ht="20.1" customHeight="1" spans="1:24">
      <c r="A35" s="6">
        <f t="shared" si="0"/>
        <v>134</v>
      </c>
      <c r="B35" s="6">
        <v>34</v>
      </c>
      <c r="C35" s="6">
        <v>1</v>
      </c>
      <c r="D35" s="6">
        <f t="shared" si="12"/>
        <v>28</v>
      </c>
      <c r="E35" s="6">
        <f t="shared" si="1"/>
        <v>28</v>
      </c>
      <c r="F35" s="6">
        <f>$D35*总表!D$4</f>
        <v>29400</v>
      </c>
      <c r="G35" s="6">
        <f>$E35*总表!E$4</f>
        <v>2800</v>
      </c>
      <c r="H35" s="6">
        <f>$E35*总表!F$4</f>
        <v>840</v>
      </c>
      <c r="I35" s="6">
        <f>$E35*总表!G$4</f>
        <v>840</v>
      </c>
      <c r="Q35" s="6">
        <f t="shared" si="2"/>
        <v>329</v>
      </c>
      <c r="R35" s="6" t="s">
        <v>1905</v>
      </c>
      <c r="S35" s="6">
        <v>3</v>
      </c>
      <c r="T35" s="6">
        <v>29</v>
      </c>
      <c r="U35" s="6">
        <f t="shared" si="3"/>
        <v>159600</v>
      </c>
      <c r="V35" s="6">
        <f t="shared" si="4"/>
        <v>2375</v>
      </c>
      <c r="W35" s="6">
        <f t="shared" si="5"/>
        <v>713</v>
      </c>
      <c r="X35" s="6">
        <f t="shared" si="6"/>
        <v>713</v>
      </c>
    </row>
    <row r="36" s="6" customFormat="1" ht="20.1" customHeight="1" spans="1:24">
      <c r="A36" s="6">
        <f t="shared" si="0"/>
        <v>135</v>
      </c>
      <c r="B36" s="6">
        <v>35</v>
      </c>
      <c r="C36" s="6">
        <v>1</v>
      </c>
      <c r="D36" s="6">
        <f t="shared" si="12"/>
        <v>29</v>
      </c>
      <c r="E36" s="6">
        <f t="shared" si="1"/>
        <v>29</v>
      </c>
      <c r="F36" s="6">
        <f>$D36*总表!D$4</f>
        <v>30450</v>
      </c>
      <c r="G36" s="6">
        <f>$E36*总表!E$4</f>
        <v>2900</v>
      </c>
      <c r="H36" s="6">
        <f>$E36*总表!F$4</f>
        <v>870</v>
      </c>
      <c r="I36" s="6">
        <f>$E36*总表!G$4</f>
        <v>870</v>
      </c>
      <c r="Q36" s="6">
        <f t="shared" si="2"/>
        <v>130</v>
      </c>
      <c r="R36" s="6" t="s">
        <v>1906</v>
      </c>
      <c r="S36" s="6">
        <v>1</v>
      </c>
      <c r="T36" s="6">
        <v>30</v>
      </c>
      <c r="U36" s="6">
        <f t="shared" si="3"/>
        <v>21000</v>
      </c>
      <c r="V36" s="6">
        <f t="shared" si="4"/>
        <v>2000</v>
      </c>
      <c r="W36" s="6">
        <f t="shared" si="5"/>
        <v>600</v>
      </c>
      <c r="X36" s="6">
        <f t="shared" si="6"/>
        <v>600</v>
      </c>
    </row>
    <row r="37" s="6" customFormat="1" ht="20.1" customHeight="1" spans="1:24">
      <c r="A37" s="6">
        <f t="shared" si="0"/>
        <v>136</v>
      </c>
      <c r="B37" s="6">
        <v>36</v>
      </c>
      <c r="C37" s="6">
        <v>1</v>
      </c>
      <c r="D37" s="6">
        <f t="shared" si="12"/>
        <v>30</v>
      </c>
      <c r="E37" s="6">
        <f t="shared" si="1"/>
        <v>30</v>
      </c>
      <c r="F37" s="6">
        <f>$D37*总表!D$4</f>
        <v>31500</v>
      </c>
      <c r="G37" s="6">
        <f>$E37*总表!E$4</f>
        <v>3000</v>
      </c>
      <c r="H37" s="6">
        <f>$E37*总表!F$4</f>
        <v>900</v>
      </c>
      <c r="I37" s="6">
        <f>$E37*总表!G$4</f>
        <v>900</v>
      </c>
      <c r="Q37" s="6">
        <f t="shared" si="2"/>
        <v>130</v>
      </c>
      <c r="R37" s="6" t="s">
        <v>1907</v>
      </c>
      <c r="S37" s="6">
        <v>1</v>
      </c>
      <c r="T37" s="6">
        <v>30</v>
      </c>
      <c r="U37" s="6">
        <f t="shared" si="3"/>
        <v>21000</v>
      </c>
      <c r="V37" s="6">
        <f t="shared" si="4"/>
        <v>2000</v>
      </c>
      <c r="W37" s="6">
        <f t="shared" si="5"/>
        <v>600</v>
      </c>
      <c r="X37" s="6">
        <f t="shared" si="6"/>
        <v>600</v>
      </c>
    </row>
    <row r="38" s="6" customFormat="1" ht="20.1" customHeight="1" spans="1:24">
      <c r="A38" s="6">
        <f t="shared" si="0"/>
        <v>137</v>
      </c>
      <c r="B38" s="6">
        <v>37</v>
      </c>
      <c r="C38" s="6">
        <v>1</v>
      </c>
      <c r="D38" s="6">
        <f t="shared" si="12"/>
        <v>31</v>
      </c>
      <c r="E38" s="6">
        <f t="shared" si="1"/>
        <v>31</v>
      </c>
      <c r="F38" s="6">
        <f>$D38*总表!D$4</f>
        <v>32550</v>
      </c>
      <c r="G38" s="6">
        <f>$E38*总表!E$4</f>
        <v>3100</v>
      </c>
      <c r="H38" s="6">
        <f>$E38*总表!F$4</f>
        <v>930</v>
      </c>
      <c r="I38" s="6">
        <f>$E38*总表!G$4</f>
        <v>930</v>
      </c>
      <c r="Q38" s="6">
        <f t="shared" si="2"/>
        <v>332</v>
      </c>
      <c r="R38" s="6" t="s">
        <v>1908</v>
      </c>
      <c r="S38" s="6">
        <v>3</v>
      </c>
      <c r="T38" s="6">
        <v>32</v>
      </c>
      <c r="U38" s="6">
        <f t="shared" si="3"/>
        <v>218400</v>
      </c>
      <c r="V38" s="6">
        <f t="shared" si="4"/>
        <v>3250</v>
      </c>
      <c r="W38" s="6">
        <f t="shared" si="5"/>
        <v>975</v>
      </c>
      <c r="X38" s="6">
        <f t="shared" si="6"/>
        <v>975</v>
      </c>
    </row>
    <row r="39" s="6" customFormat="1" ht="20.1" customHeight="1" spans="1:24">
      <c r="A39" s="6">
        <f t="shared" si="0"/>
        <v>138</v>
      </c>
      <c r="B39" s="6">
        <v>38</v>
      </c>
      <c r="C39" s="6">
        <v>1</v>
      </c>
      <c r="D39" s="6">
        <f t="shared" si="12"/>
        <v>32</v>
      </c>
      <c r="E39" s="6">
        <f t="shared" si="1"/>
        <v>32</v>
      </c>
      <c r="F39" s="6">
        <f>$D39*总表!D$4</f>
        <v>33600</v>
      </c>
      <c r="G39" s="6">
        <f>$E39*总表!E$4</f>
        <v>3200</v>
      </c>
      <c r="H39" s="6">
        <f>$E39*总表!F$4</f>
        <v>960</v>
      </c>
      <c r="I39" s="6">
        <f>$E39*总表!G$4</f>
        <v>960</v>
      </c>
      <c r="Q39" s="6">
        <f t="shared" si="2"/>
        <v>132</v>
      </c>
      <c r="R39" s="6" t="s">
        <v>1909</v>
      </c>
      <c r="S39" s="6">
        <v>1</v>
      </c>
      <c r="T39" s="6">
        <v>32</v>
      </c>
      <c r="U39" s="6">
        <f t="shared" si="3"/>
        <v>27300</v>
      </c>
      <c r="V39" s="6">
        <f t="shared" si="4"/>
        <v>2600</v>
      </c>
      <c r="W39" s="6">
        <f t="shared" si="5"/>
        <v>780</v>
      </c>
      <c r="X39" s="6">
        <f t="shared" si="6"/>
        <v>780</v>
      </c>
    </row>
    <row r="40" s="6" customFormat="1" ht="20.1" customHeight="1" spans="1:24">
      <c r="A40" s="6">
        <f t="shared" si="0"/>
        <v>139</v>
      </c>
      <c r="B40" s="6">
        <v>39</v>
      </c>
      <c r="C40" s="6">
        <v>1</v>
      </c>
      <c r="D40" s="6">
        <f t="shared" si="12"/>
        <v>33</v>
      </c>
      <c r="E40" s="6">
        <f t="shared" si="1"/>
        <v>33</v>
      </c>
      <c r="F40" s="6">
        <f>$D40*总表!D$4</f>
        <v>34650</v>
      </c>
      <c r="G40" s="6">
        <f>$E40*总表!E$4</f>
        <v>3300</v>
      </c>
      <c r="H40" s="6">
        <f>$E40*总表!F$4</f>
        <v>990</v>
      </c>
      <c r="I40" s="6">
        <f>$E40*总表!G$4</f>
        <v>990</v>
      </c>
      <c r="Q40" s="6">
        <f t="shared" si="2"/>
        <v>132</v>
      </c>
      <c r="R40" s="6" t="s">
        <v>1910</v>
      </c>
      <c r="S40" s="6">
        <v>1</v>
      </c>
      <c r="T40" s="6">
        <v>32</v>
      </c>
      <c r="U40" s="6">
        <f t="shared" si="3"/>
        <v>27300</v>
      </c>
      <c r="V40" s="6">
        <f t="shared" si="4"/>
        <v>2600</v>
      </c>
      <c r="W40" s="6">
        <f t="shared" si="5"/>
        <v>780</v>
      </c>
      <c r="X40" s="6">
        <f t="shared" si="6"/>
        <v>780</v>
      </c>
    </row>
    <row r="41" s="6" customFormat="1" ht="20.1" customHeight="1" spans="1:24">
      <c r="A41" s="6">
        <f t="shared" si="0"/>
        <v>140</v>
      </c>
      <c r="B41" s="6">
        <v>40</v>
      </c>
      <c r="C41" s="6">
        <v>5</v>
      </c>
      <c r="D41" s="6">
        <f t="shared" si="12"/>
        <v>34</v>
      </c>
      <c r="E41" s="6">
        <f t="shared" si="1"/>
        <v>34</v>
      </c>
      <c r="F41" s="6">
        <f>$D41*总表!D$4</f>
        <v>35700</v>
      </c>
      <c r="G41" s="6">
        <f>$E41*总表!E$4</f>
        <v>3400</v>
      </c>
      <c r="H41" s="6">
        <f>$E41*总表!F$4</f>
        <v>1020</v>
      </c>
      <c r="I41" s="6">
        <f>$E41*总表!G$4</f>
        <v>1020</v>
      </c>
      <c r="Q41" s="6">
        <f t="shared" si="2"/>
        <v>334</v>
      </c>
      <c r="R41" s="6" t="s">
        <v>1911</v>
      </c>
      <c r="S41" s="6">
        <v>3</v>
      </c>
      <c r="T41" s="6">
        <v>34</v>
      </c>
      <c r="U41" s="6">
        <f t="shared" si="3"/>
        <v>235200</v>
      </c>
      <c r="V41" s="6">
        <f t="shared" si="4"/>
        <v>3500</v>
      </c>
      <c r="W41" s="6">
        <f t="shared" si="5"/>
        <v>1050</v>
      </c>
      <c r="X41" s="6">
        <f t="shared" si="6"/>
        <v>1050</v>
      </c>
    </row>
    <row r="42" s="6" customFormat="1" ht="20.1" customHeight="1" spans="1:24">
      <c r="A42" s="6">
        <f t="shared" si="0"/>
        <v>141</v>
      </c>
      <c r="B42" s="6">
        <v>41</v>
      </c>
      <c r="C42" s="6">
        <v>1</v>
      </c>
      <c r="D42" s="6">
        <f t="shared" si="12"/>
        <v>39</v>
      </c>
      <c r="E42" s="6">
        <f t="shared" si="1"/>
        <v>39</v>
      </c>
      <c r="F42" s="6">
        <f>$D42*总表!D$4</f>
        <v>40950</v>
      </c>
      <c r="G42" s="6">
        <f>$E42*总表!E$4</f>
        <v>3900</v>
      </c>
      <c r="H42" s="6">
        <f>$E42*总表!F$4</f>
        <v>1170</v>
      </c>
      <c r="I42" s="6">
        <f>$E42*总表!G$4</f>
        <v>1170</v>
      </c>
      <c r="Q42" s="6">
        <f t="shared" si="2"/>
        <v>134</v>
      </c>
      <c r="R42" s="6" t="s">
        <v>1912</v>
      </c>
      <c r="S42" s="6">
        <v>1</v>
      </c>
      <c r="T42" s="6">
        <v>34</v>
      </c>
      <c r="U42" s="6">
        <f t="shared" si="3"/>
        <v>29400</v>
      </c>
      <c r="V42" s="6">
        <f t="shared" si="4"/>
        <v>2800</v>
      </c>
      <c r="W42" s="6">
        <f t="shared" si="5"/>
        <v>840</v>
      </c>
      <c r="X42" s="6">
        <f t="shared" si="6"/>
        <v>840</v>
      </c>
    </row>
    <row r="43" s="6" customFormat="1" ht="20.1" customHeight="1" spans="1:24">
      <c r="A43" s="6">
        <f t="shared" si="0"/>
        <v>142</v>
      </c>
      <c r="B43" s="6">
        <v>42</v>
      </c>
      <c r="C43" s="6">
        <v>1</v>
      </c>
      <c r="D43" s="6">
        <f t="shared" si="12"/>
        <v>40</v>
      </c>
      <c r="E43" s="6">
        <f t="shared" si="1"/>
        <v>40</v>
      </c>
      <c r="F43" s="6">
        <f>$D43*总表!D$4</f>
        <v>42000</v>
      </c>
      <c r="G43" s="6">
        <f>$E43*总表!E$4</f>
        <v>4000</v>
      </c>
      <c r="H43" s="6">
        <f>$E43*总表!F$4</f>
        <v>1200</v>
      </c>
      <c r="I43" s="6">
        <f>$E43*总表!G$4</f>
        <v>1200</v>
      </c>
      <c r="Q43" s="6">
        <f t="shared" si="2"/>
        <v>134</v>
      </c>
      <c r="R43" s="6" t="s">
        <v>1913</v>
      </c>
      <c r="S43" s="6">
        <v>1</v>
      </c>
      <c r="T43" s="6">
        <v>34</v>
      </c>
      <c r="U43" s="6">
        <f t="shared" si="3"/>
        <v>29400</v>
      </c>
      <c r="V43" s="6">
        <f t="shared" si="4"/>
        <v>2800</v>
      </c>
      <c r="W43" s="6">
        <f t="shared" si="5"/>
        <v>840</v>
      </c>
      <c r="X43" s="6">
        <f t="shared" si="6"/>
        <v>840</v>
      </c>
    </row>
    <row r="44" s="6" customFormat="1" ht="20.1" customHeight="1" spans="1:31">
      <c r="A44" s="6">
        <f t="shared" si="0"/>
        <v>143</v>
      </c>
      <c r="B44" s="6">
        <v>43</v>
      </c>
      <c r="C44" s="6">
        <v>1</v>
      </c>
      <c r="D44" s="6">
        <f t="shared" si="12"/>
        <v>41</v>
      </c>
      <c r="E44" s="6">
        <f t="shared" si="1"/>
        <v>41</v>
      </c>
      <c r="F44" s="6">
        <f>$D44*总表!D$4</f>
        <v>43050</v>
      </c>
      <c r="G44" s="6">
        <f>$E44*总表!E$4</f>
        <v>4100</v>
      </c>
      <c r="H44" s="6">
        <f>$E44*总表!F$4</f>
        <v>1230</v>
      </c>
      <c r="I44" s="6">
        <f>$E44*总表!G$4</f>
        <v>1230</v>
      </c>
      <c r="Q44" s="6">
        <f t="shared" si="2"/>
        <v>135</v>
      </c>
      <c r="R44" s="6" t="s">
        <v>1914</v>
      </c>
      <c r="S44" s="6">
        <v>1</v>
      </c>
      <c r="T44" s="6">
        <v>35</v>
      </c>
      <c r="U44" s="6">
        <f t="shared" si="3"/>
        <v>30450</v>
      </c>
      <c r="V44" s="6">
        <f t="shared" si="4"/>
        <v>2900</v>
      </c>
      <c r="W44" s="6">
        <f t="shared" si="5"/>
        <v>870</v>
      </c>
      <c r="X44" s="6">
        <f t="shared" si="6"/>
        <v>870</v>
      </c>
      <c r="AD44" s="5" t="s">
        <v>1872</v>
      </c>
      <c r="AE44" s="10" t="s">
        <v>1915</v>
      </c>
    </row>
    <row r="45" s="6" customFormat="1" ht="20.1" customHeight="1" spans="1:31">
      <c r="A45" s="6">
        <f t="shared" si="0"/>
        <v>144</v>
      </c>
      <c r="B45" s="6">
        <v>44</v>
      </c>
      <c r="C45" s="6">
        <v>1</v>
      </c>
      <c r="D45" s="6">
        <f t="shared" si="12"/>
        <v>42</v>
      </c>
      <c r="E45" s="6">
        <f t="shared" si="1"/>
        <v>42</v>
      </c>
      <c r="F45" s="6">
        <f>$D45*总表!D$4</f>
        <v>44100</v>
      </c>
      <c r="G45" s="6">
        <f>$E45*总表!E$4</f>
        <v>4200</v>
      </c>
      <c r="H45" s="6">
        <f>$E45*总表!F$4</f>
        <v>1260</v>
      </c>
      <c r="I45" s="6">
        <f>$E45*总表!G$4</f>
        <v>1260</v>
      </c>
      <c r="Q45" s="6">
        <f t="shared" si="2"/>
        <v>135</v>
      </c>
      <c r="R45" s="6" t="s">
        <v>1916</v>
      </c>
      <c r="S45" s="6">
        <v>1</v>
      </c>
      <c r="T45" s="6">
        <v>35</v>
      </c>
      <c r="U45" s="6">
        <f t="shared" si="3"/>
        <v>30450</v>
      </c>
      <c r="V45" s="6">
        <f t="shared" si="4"/>
        <v>2900</v>
      </c>
      <c r="W45" s="6">
        <f t="shared" si="5"/>
        <v>870</v>
      </c>
      <c r="X45" s="6">
        <f t="shared" si="6"/>
        <v>870</v>
      </c>
      <c r="AD45" s="5" t="s">
        <v>1873</v>
      </c>
      <c r="AE45" s="10" t="s">
        <v>1915</v>
      </c>
    </row>
    <row r="46" s="6" customFormat="1" ht="20.1" customHeight="1" spans="1:31">
      <c r="A46" s="6">
        <f t="shared" si="0"/>
        <v>145</v>
      </c>
      <c r="B46" s="6">
        <v>45</v>
      </c>
      <c r="C46" s="6">
        <v>1</v>
      </c>
      <c r="D46" s="6">
        <f t="shared" si="12"/>
        <v>43</v>
      </c>
      <c r="E46" s="6">
        <f t="shared" si="1"/>
        <v>43</v>
      </c>
      <c r="F46" s="6">
        <f>$D46*总表!D$4</f>
        <v>45150</v>
      </c>
      <c r="G46" s="6">
        <f>$E46*总表!E$4</f>
        <v>4300</v>
      </c>
      <c r="H46" s="6">
        <f>$E46*总表!F$4</f>
        <v>1290</v>
      </c>
      <c r="I46" s="6">
        <f>$E46*总表!G$4</f>
        <v>1290</v>
      </c>
      <c r="Q46" s="6">
        <f t="shared" si="2"/>
        <v>136</v>
      </c>
      <c r="R46" s="6" t="s">
        <v>1917</v>
      </c>
      <c r="S46" s="6">
        <v>1</v>
      </c>
      <c r="T46" s="6">
        <v>36</v>
      </c>
      <c r="U46" s="6">
        <f t="shared" si="3"/>
        <v>31500</v>
      </c>
      <c r="V46" s="6">
        <f t="shared" si="4"/>
        <v>3000</v>
      </c>
      <c r="W46" s="6">
        <f t="shared" si="5"/>
        <v>900</v>
      </c>
      <c r="X46" s="6">
        <f t="shared" si="6"/>
        <v>900</v>
      </c>
      <c r="AD46" s="5" t="s">
        <v>1874</v>
      </c>
      <c r="AE46" s="10" t="s">
        <v>1915</v>
      </c>
    </row>
    <row r="47" s="6" customFormat="1" ht="20.1" customHeight="1" spans="1:31">
      <c r="A47" s="6">
        <f t="shared" si="0"/>
        <v>146</v>
      </c>
      <c r="B47" s="6">
        <v>46</v>
      </c>
      <c r="C47" s="6">
        <v>1</v>
      </c>
      <c r="D47" s="6">
        <f t="shared" si="12"/>
        <v>44</v>
      </c>
      <c r="E47" s="6">
        <f t="shared" si="1"/>
        <v>44</v>
      </c>
      <c r="F47" s="6">
        <f>$D47*总表!D$4</f>
        <v>46200</v>
      </c>
      <c r="G47" s="6">
        <f>$E47*总表!E$4</f>
        <v>4400</v>
      </c>
      <c r="H47" s="6">
        <f>$E47*总表!F$4</f>
        <v>1320</v>
      </c>
      <c r="I47" s="6">
        <f>$E47*总表!G$4</f>
        <v>1320</v>
      </c>
      <c r="Q47" s="6">
        <f t="shared" si="2"/>
        <v>336</v>
      </c>
      <c r="R47" s="6" t="s">
        <v>1918</v>
      </c>
      <c r="S47" s="6">
        <v>3</v>
      </c>
      <c r="T47" s="6">
        <v>36</v>
      </c>
      <c r="U47" s="6">
        <f t="shared" si="3"/>
        <v>252000</v>
      </c>
      <c r="V47" s="6">
        <f t="shared" si="4"/>
        <v>3750</v>
      </c>
      <c r="W47" s="6">
        <f t="shared" si="5"/>
        <v>1125</v>
      </c>
      <c r="X47" s="6">
        <f t="shared" si="6"/>
        <v>1125</v>
      </c>
      <c r="AD47" s="5" t="s">
        <v>1875</v>
      </c>
      <c r="AE47" s="10" t="s">
        <v>1919</v>
      </c>
    </row>
    <row r="48" s="6" customFormat="1" ht="20.1" customHeight="1" spans="1:31">
      <c r="A48" s="6">
        <f t="shared" si="0"/>
        <v>147</v>
      </c>
      <c r="B48" s="6">
        <v>47</v>
      </c>
      <c r="C48" s="6">
        <v>1</v>
      </c>
      <c r="D48" s="6">
        <f t="shared" si="12"/>
        <v>45</v>
      </c>
      <c r="E48" s="6">
        <f t="shared" si="1"/>
        <v>45</v>
      </c>
      <c r="F48" s="6">
        <f>$D48*总表!D$4</f>
        <v>47250</v>
      </c>
      <c r="G48" s="6">
        <f>$E48*总表!E$4</f>
        <v>4500</v>
      </c>
      <c r="H48" s="6">
        <f>$E48*总表!F$4</f>
        <v>1350</v>
      </c>
      <c r="I48" s="6">
        <f>$E48*总表!G$4</f>
        <v>1350</v>
      </c>
      <c r="Q48" s="6">
        <f t="shared" si="2"/>
        <v>138</v>
      </c>
      <c r="R48" s="6" t="s">
        <v>1920</v>
      </c>
      <c r="S48" s="6">
        <v>1</v>
      </c>
      <c r="T48" s="6">
        <v>38</v>
      </c>
      <c r="U48" s="6">
        <f t="shared" si="3"/>
        <v>33600</v>
      </c>
      <c r="V48" s="6">
        <f t="shared" si="4"/>
        <v>3200</v>
      </c>
      <c r="W48" s="6">
        <f t="shared" si="5"/>
        <v>960</v>
      </c>
      <c r="X48" s="6">
        <f t="shared" si="6"/>
        <v>960</v>
      </c>
      <c r="AD48" s="5" t="s">
        <v>1876</v>
      </c>
      <c r="AE48" s="10" t="s">
        <v>1915</v>
      </c>
    </row>
    <row r="49" s="6" customFormat="1" ht="20.1" customHeight="1" spans="1:31">
      <c r="A49" s="6">
        <f t="shared" si="0"/>
        <v>148</v>
      </c>
      <c r="B49" s="6">
        <v>48</v>
      </c>
      <c r="C49" s="6">
        <v>1</v>
      </c>
      <c r="D49" s="6">
        <f t="shared" si="12"/>
        <v>46</v>
      </c>
      <c r="E49" s="6">
        <f t="shared" si="1"/>
        <v>46</v>
      </c>
      <c r="F49" s="6">
        <f>$D49*总表!D$4</f>
        <v>48300</v>
      </c>
      <c r="G49" s="6">
        <f>$E49*总表!E$4</f>
        <v>4600</v>
      </c>
      <c r="H49" s="6">
        <f>$E49*总表!F$4</f>
        <v>1380</v>
      </c>
      <c r="I49" s="6">
        <f>$E49*总表!G$4</f>
        <v>1380</v>
      </c>
      <c r="Q49" s="6">
        <f t="shared" si="2"/>
        <v>137</v>
      </c>
      <c r="R49" s="6" t="s">
        <v>1921</v>
      </c>
      <c r="S49" s="6">
        <v>1</v>
      </c>
      <c r="T49" s="6">
        <v>37</v>
      </c>
      <c r="U49" s="6">
        <f t="shared" si="3"/>
        <v>32550</v>
      </c>
      <c r="V49" s="6">
        <f t="shared" si="4"/>
        <v>3100</v>
      </c>
      <c r="W49" s="6">
        <f t="shared" si="5"/>
        <v>930</v>
      </c>
      <c r="X49" s="6">
        <f t="shared" si="6"/>
        <v>930</v>
      </c>
      <c r="AD49" s="5" t="s">
        <v>1877</v>
      </c>
      <c r="AE49" s="10" t="s">
        <v>1915</v>
      </c>
    </row>
    <row r="50" s="6" customFormat="1" ht="20.1" customHeight="1" spans="1:31">
      <c r="A50" s="6">
        <f t="shared" si="0"/>
        <v>149</v>
      </c>
      <c r="B50" s="6">
        <v>49</v>
      </c>
      <c r="C50" s="6">
        <v>1</v>
      </c>
      <c r="D50" s="6">
        <f t="shared" si="12"/>
        <v>47</v>
      </c>
      <c r="E50" s="6">
        <f t="shared" si="1"/>
        <v>47</v>
      </c>
      <c r="F50" s="6">
        <f>$D50*总表!D$4</f>
        <v>49350</v>
      </c>
      <c r="G50" s="6">
        <f>$E50*总表!E$4</f>
        <v>4700</v>
      </c>
      <c r="H50" s="6">
        <f>$E50*总表!F$4</f>
        <v>1410</v>
      </c>
      <c r="I50" s="6">
        <f>$E50*总表!G$4</f>
        <v>1410</v>
      </c>
      <c r="Q50" s="6">
        <f t="shared" si="2"/>
        <v>137</v>
      </c>
      <c r="R50" s="6" t="s">
        <v>1922</v>
      </c>
      <c r="S50" s="6">
        <v>1</v>
      </c>
      <c r="T50" s="6">
        <v>37</v>
      </c>
      <c r="U50" s="6">
        <f t="shared" si="3"/>
        <v>32550</v>
      </c>
      <c r="V50" s="6">
        <f t="shared" si="4"/>
        <v>3100</v>
      </c>
      <c r="W50" s="6">
        <f t="shared" si="5"/>
        <v>930</v>
      </c>
      <c r="X50" s="6">
        <f t="shared" si="6"/>
        <v>930</v>
      </c>
      <c r="AD50" s="11" t="s">
        <v>1878</v>
      </c>
      <c r="AE50" s="12" t="s">
        <v>1923</v>
      </c>
    </row>
    <row r="51" ht="20.1" customHeight="1" spans="1:38">
      <c r="A51" s="6">
        <f t="shared" si="0"/>
        <v>150</v>
      </c>
      <c r="B51" s="6">
        <v>50</v>
      </c>
      <c r="C51" s="6">
        <v>5</v>
      </c>
      <c r="D51" s="6">
        <f t="shared" si="12"/>
        <v>48</v>
      </c>
      <c r="E51" s="6">
        <f t="shared" si="1"/>
        <v>48</v>
      </c>
      <c r="F51" s="6">
        <f>$D51*总表!D$4</f>
        <v>50400</v>
      </c>
      <c r="G51" s="6">
        <f>$E51*总表!E$4</f>
        <v>4800</v>
      </c>
      <c r="H51" s="6">
        <f>$E51*总表!F$4</f>
        <v>1440</v>
      </c>
      <c r="I51" s="6">
        <f>$E51*总表!G$4</f>
        <v>1440</v>
      </c>
      <c r="P51" s="6"/>
      <c r="Q51" s="6">
        <f t="shared" si="2"/>
        <v>339</v>
      </c>
      <c r="R51" s="6" t="s">
        <v>1924</v>
      </c>
      <c r="S51" s="6">
        <v>3</v>
      </c>
      <c r="T51" s="6">
        <v>39</v>
      </c>
      <c r="U51" s="6">
        <f t="shared" si="3"/>
        <v>277200</v>
      </c>
      <c r="V51" s="6">
        <f t="shared" si="4"/>
        <v>4125</v>
      </c>
      <c r="W51" s="6">
        <f t="shared" si="5"/>
        <v>1238</v>
      </c>
      <c r="X51" s="6">
        <f t="shared" si="6"/>
        <v>1238</v>
      </c>
      <c r="AD51" s="5" t="s">
        <v>1879</v>
      </c>
      <c r="AE51" s="10" t="s">
        <v>1915</v>
      </c>
      <c r="AF51" s="6"/>
      <c r="AI51" s="6"/>
      <c r="AJ51" s="6"/>
      <c r="AK51" s="6"/>
      <c r="AL51" s="6"/>
    </row>
    <row r="52" ht="20.1" customHeight="1" spans="1:38">
      <c r="A52" s="6">
        <f t="shared" si="0"/>
        <v>151</v>
      </c>
      <c r="B52" s="6">
        <v>51</v>
      </c>
      <c r="C52" s="6">
        <v>1</v>
      </c>
      <c r="D52" s="6">
        <f t="shared" si="12"/>
        <v>53</v>
      </c>
      <c r="E52" s="6">
        <f t="shared" si="1"/>
        <v>53</v>
      </c>
      <c r="F52" s="6">
        <f>$D52*总表!D$4</f>
        <v>55650</v>
      </c>
      <c r="G52" s="6">
        <f>$E52*总表!E$4</f>
        <v>5300</v>
      </c>
      <c r="H52" s="6">
        <f>$E52*总表!F$4</f>
        <v>1590</v>
      </c>
      <c r="I52" s="6">
        <f>$E52*总表!G$4</f>
        <v>1590</v>
      </c>
      <c r="P52" s="6"/>
      <c r="Q52" s="6">
        <f t="shared" si="2"/>
        <v>140</v>
      </c>
      <c r="R52" s="6" t="s">
        <v>1925</v>
      </c>
      <c r="S52" s="6">
        <v>1</v>
      </c>
      <c r="T52" s="6">
        <v>40</v>
      </c>
      <c r="U52" s="6">
        <f t="shared" si="3"/>
        <v>35700</v>
      </c>
      <c r="V52" s="6">
        <f t="shared" si="4"/>
        <v>3400</v>
      </c>
      <c r="W52" s="6">
        <f t="shared" si="5"/>
        <v>1020</v>
      </c>
      <c r="X52" s="6">
        <f t="shared" si="6"/>
        <v>1020</v>
      </c>
      <c r="AD52" s="5" t="s">
        <v>1880</v>
      </c>
      <c r="AE52" s="10" t="s">
        <v>1926</v>
      </c>
      <c r="AF52" s="6"/>
      <c r="AI52" s="6"/>
      <c r="AJ52" s="6"/>
      <c r="AK52" s="6"/>
      <c r="AL52" s="6"/>
    </row>
    <row r="53" ht="20.1" customHeight="1" spans="1:38">
      <c r="A53" s="6">
        <f t="shared" si="0"/>
        <v>152</v>
      </c>
      <c r="B53" s="6">
        <v>52</v>
      </c>
      <c r="C53" s="6">
        <v>1</v>
      </c>
      <c r="D53" s="6">
        <f t="shared" si="12"/>
        <v>54</v>
      </c>
      <c r="E53" s="6">
        <f t="shared" si="1"/>
        <v>54</v>
      </c>
      <c r="F53" s="6">
        <f>$D53*总表!D$4</f>
        <v>56700</v>
      </c>
      <c r="G53" s="6">
        <f>$E53*总表!E$4</f>
        <v>5400</v>
      </c>
      <c r="H53" s="6">
        <f>$E53*总表!F$4</f>
        <v>1620</v>
      </c>
      <c r="I53" s="6">
        <f>$E53*总表!G$4</f>
        <v>1620</v>
      </c>
      <c r="P53" s="6"/>
      <c r="Q53" s="6">
        <f t="shared" si="2"/>
        <v>140</v>
      </c>
      <c r="R53" s="6" t="s">
        <v>1920</v>
      </c>
      <c r="S53" s="6">
        <v>1</v>
      </c>
      <c r="T53" s="6">
        <v>40</v>
      </c>
      <c r="U53" s="6">
        <f t="shared" si="3"/>
        <v>35700</v>
      </c>
      <c r="V53" s="6">
        <f t="shared" si="4"/>
        <v>3400</v>
      </c>
      <c r="W53" s="6">
        <f t="shared" si="5"/>
        <v>1020</v>
      </c>
      <c r="X53" s="6">
        <f t="shared" si="6"/>
        <v>1020</v>
      </c>
      <c r="AD53" s="5" t="s">
        <v>1881</v>
      </c>
      <c r="AE53" s="10" t="s">
        <v>1915</v>
      </c>
      <c r="AF53" s="6"/>
      <c r="AI53" s="6"/>
      <c r="AJ53" s="6"/>
      <c r="AK53" s="6"/>
      <c r="AL53" s="6"/>
    </row>
    <row r="54" ht="20.1" customHeight="1" spans="1:38">
      <c r="A54" s="6">
        <f t="shared" si="0"/>
        <v>153</v>
      </c>
      <c r="B54" s="6">
        <v>53</v>
      </c>
      <c r="C54" s="6">
        <v>1</v>
      </c>
      <c r="D54" s="6">
        <f t="shared" si="12"/>
        <v>55</v>
      </c>
      <c r="E54" s="6">
        <f t="shared" si="1"/>
        <v>55</v>
      </c>
      <c r="F54" s="6">
        <f>$D54*总表!D$4</f>
        <v>57750</v>
      </c>
      <c r="G54" s="6">
        <f>$E54*总表!E$4</f>
        <v>5500</v>
      </c>
      <c r="H54" s="6">
        <f>$E54*总表!F$4</f>
        <v>1650</v>
      </c>
      <c r="I54" s="6">
        <f>$E54*总表!G$4</f>
        <v>1650</v>
      </c>
      <c r="P54" s="6"/>
      <c r="Q54" s="6">
        <f t="shared" si="2"/>
        <v>342</v>
      </c>
      <c r="R54" s="6" t="s">
        <v>1927</v>
      </c>
      <c r="S54" s="6">
        <v>3</v>
      </c>
      <c r="T54" s="6">
        <v>42</v>
      </c>
      <c r="U54" s="6">
        <f t="shared" si="3"/>
        <v>336000</v>
      </c>
      <c r="V54" s="6">
        <f t="shared" si="4"/>
        <v>5000</v>
      </c>
      <c r="W54" s="6">
        <f t="shared" si="5"/>
        <v>1500</v>
      </c>
      <c r="X54" s="6">
        <f t="shared" si="6"/>
        <v>1500</v>
      </c>
      <c r="AD54" s="11" t="s">
        <v>1882</v>
      </c>
      <c r="AE54" s="12" t="s">
        <v>1915</v>
      </c>
      <c r="AF54" s="6"/>
      <c r="AI54" s="6"/>
      <c r="AJ54" s="6"/>
      <c r="AK54" s="6"/>
      <c r="AL54" s="6"/>
    </row>
    <row r="55" ht="20.1" customHeight="1" spans="1:38">
      <c r="A55" s="6">
        <f t="shared" si="0"/>
        <v>154</v>
      </c>
      <c r="B55" s="6">
        <v>54</v>
      </c>
      <c r="C55" s="6">
        <v>1</v>
      </c>
      <c r="D55" s="6">
        <f t="shared" si="12"/>
        <v>56</v>
      </c>
      <c r="E55" s="6">
        <f t="shared" si="1"/>
        <v>56</v>
      </c>
      <c r="F55" s="6">
        <f>$D55*总表!D$4</f>
        <v>58800</v>
      </c>
      <c r="G55" s="6">
        <f>$E55*总表!E$4</f>
        <v>5600</v>
      </c>
      <c r="H55" s="6">
        <f>$E55*总表!F$4</f>
        <v>1680</v>
      </c>
      <c r="I55" s="6">
        <f>$E55*总表!G$4</f>
        <v>1680</v>
      </c>
      <c r="P55" s="6"/>
      <c r="Q55" s="6">
        <f t="shared" si="2"/>
        <v>142</v>
      </c>
      <c r="R55" s="6" t="s">
        <v>1928</v>
      </c>
      <c r="S55" s="6">
        <v>1</v>
      </c>
      <c r="T55" s="6">
        <v>42</v>
      </c>
      <c r="U55" s="6">
        <f t="shared" si="3"/>
        <v>42000</v>
      </c>
      <c r="V55" s="6">
        <f t="shared" si="4"/>
        <v>4000</v>
      </c>
      <c r="W55" s="6">
        <f t="shared" si="5"/>
        <v>1200</v>
      </c>
      <c r="X55" s="6">
        <f t="shared" si="6"/>
        <v>1200</v>
      </c>
      <c r="AD55" s="11" t="s">
        <v>1883</v>
      </c>
      <c r="AE55" s="12" t="s">
        <v>1915</v>
      </c>
      <c r="AF55" s="6"/>
      <c r="AI55" s="6"/>
      <c r="AJ55" s="6"/>
      <c r="AK55" s="6"/>
      <c r="AL55" s="6"/>
    </row>
    <row r="56" ht="20.1" customHeight="1" spans="1:38">
      <c r="A56" s="6">
        <f t="shared" si="0"/>
        <v>155</v>
      </c>
      <c r="B56" s="6">
        <v>55</v>
      </c>
      <c r="C56" s="6">
        <v>1</v>
      </c>
      <c r="D56" s="6">
        <f t="shared" si="12"/>
        <v>57</v>
      </c>
      <c r="E56" s="6">
        <f t="shared" si="1"/>
        <v>57</v>
      </c>
      <c r="F56" s="6">
        <f>$D56*总表!D$4</f>
        <v>59850</v>
      </c>
      <c r="G56" s="6">
        <f>$E56*总表!E$4</f>
        <v>5700</v>
      </c>
      <c r="H56" s="6">
        <f>$E56*总表!F$4</f>
        <v>1710</v>
      </c>
      <c r="I56" s="6">
        <f>$E56*总表!G$4</f>
        <v>1710</v>
      </c>
      <c r="P56" s="6"/>
      <c r="Q56" s="6">
        <f t="shared" si="2"/>
        <v>142</v>
      </c>
      <c r="R56" s="6" t="s">
        <v>1929</v>
      </c>
      <c r="S56" s="6">
        <v>1</v>
      </c>
      <c r="T56" s="6">
        <v>42</v>
      </c>
      <c r="U56" s="6">
        <f t="shared" si="3"/>
        <v>42000</v>
      </c>
      <c r="V56" s="6">
        <f t="shared" si="4"/>
        <v>4000</v>
      </c>
      <c r="W56" s="6">
        <f t="shared" si="5"/>
        <v>1200</v>
      </c>
      <c r="X56" s="6">
        <f t="shared" si="6"/>
        <v>1200</v>
      </c>
      <c r="AD56" s="5" t="s">
        <v>1884</v>
      </c>
      <c r="AE56" s="10" t="s">
        <v>1930</v>
      </c>
      <c r="AF56" s="6"/>
      <c r="AI56" s="6"/>
      <c r="AJ56" s="6"/>
      <c r="AK56" s="6"/>
      <c r="AL56" s="6"/>
    </row>
    <row r="57" ht="20.1" customHeight="1" spans="1:38">
      <c r="A57" s="6">
        <f t="shared" si="0"/>
        <v>156</v>
      </c>
      <c r="B57" s="6">
        <v>56</v>
      </c>
      <c r="C57" s="6">
        <v>1</v>
      </c>
      <c r="D57" s="6">
        <f t="shared" si="12"/>
        <v>58</v>
      </c>
      <c r="E57" s="6">
        <f t="shared" si="1"/>
        <v>58</v>
      </c>
      <c r="F57" s="6">
        <f>$D57*总表!D$4</f>
        <v>60900</v>
      </c>
      <c r="G57" s="6">
        <f>$E57*总表!E$4</f>
        <v>5800</v>
      </c>
      <c r="H57" s="6">
        <f>$E57*总表!F$4</f>
        <v>1740</v>
      </c>
      <c r="I57" s="6">
        <f>$E57*总表!G$4</f>
        <v>1740</v>
      </c>
      <c r="P57" s="6"/>
      <c r="Q57" s="6">
        <f t="shared" si="2"/>
        <v>344</v>
      </c>
      <c r="R57" s="6" t="s">
        <v>1931</v>
      </c>
      <c r="S57" s="6">
        <v>3</v>
      </c>
      <c r="T57" s="6">
        <v>44</v>
      </c>
      <c r="U57" s="6">
        <f t="shared" si="3"/>
        <v>352800</v>
      </c>
      <c r="V57" s="6">
        <f t="shared" si="4"/>
        <v>5250</v>
      </c>
      <c r="W57" s="6">
        <f t="shared" si="5"/>
        <v>1575</v>
      </c>
      <c r="X57" s="6">
        <f t="shared" si="6"/>
        <v>1575</v>
      </c>
      <c r="AD57" s="5" t="s">
        <v>1885</v>
      </c>
      <c r="AE57" s="10" t="s">
        <v>1915</v>
      </c>
      <c r="AF57" s="6"/>
      <c r="AI57" s="6"/>
      <c r="AJ57" s="6"/>
      <c r="AK57" s="6"/>
      <c r="AL57" s="6"/>
    </row>
    <row r="58" ht="20.1" customHeight="1" spans="1:38">
      <c r="A58" s="6">
        <f t="shared" si="0"/>
        <v>157</v>
      </c>
      <c r="B58" s="6">
        <v>57</v>
      </c>
      <c r="C58" s="6">
        <v>1</v>
      </c>
      <c r="D58" s="6">
        <f t="shared" si="12"/>
        <v>59</v>
      </c>
      <c r="E58" s="6">
        <f t="shared" si="1"/>
        <v>59</v>
      </c>
      <c r="F58" s="6">
        <f>$D58*总表!D$4</f>
        <v>61950</v>
      </c>
      <c r="G58" s="6">
        <f>$E58*总表!E$4</f>
        <v>5900</v>
      </c>
      <c r="H58" s="6">
        <f>$E58*总表!F$4</f>
        <v>1770</v>
      </c>
      <c r="I58" s="6">
        <f>$E58*总表!G$4</f>
        <v>1770</v>
      </c>
      <c r="P58" s="6"/>
      <c r="Q58" s="6">
        <f t="shared" si="2"/>
        <v>145</v>
      </c>
      <c r="R58" s="6" t="s">
        <v>1932</v>
      </c>
      <c r="S58" s="6">
        <v>1</v>
      </c>
      <c r="T58" s="6">
        <v>45</v>
      </c>
      <c r="U58" s="6">
        <f t="shared" si="3"/>
        <v>45150</v>
      </c>
      <c r="V58" s="6">
        <f t="shared" si="4"/>
        <v>4300</v>
      </c>
      <c r="W58" s="6">
        <f t="shared" si="5"/>
        <v>1290</v>
      </c>
      <c r="X58" s="6">
        <f t="shared" si="6"/>
        <v>1290</v>
      </c>
      <c r="AD58" s="5" t="s">
        <v>1886</v>
      </c>
      <c r="AE58" s="10" t="s">
        <v>1915</v>
      </c>
      <c r="AF58" s="6"/>
      <c r="AI58" s="6"/>
      <c r="AJ58" s="6"/>
      <c r="AK58" s="6"/>
      <c r="AL58" s="6"/>
    </row>
    <row r="59" ht="20.1" customHeight="1" spans="1:38">
      <c r="A59" s="6">
        <f t="shared" si="0"/>
        <v>158</v>
      </c>
      <c r="B59" s="6">
        <v>58</v>
      </c>
      <c r="C59" s="6">
        <v>1</v>
      </c>
      <c r="D59" s="6">
        <f t="shared" si="12"/>
        <v>60</v>
      </c>
      <c r="E59" s="6">
        <f t="shared" si="1"/>
        <v>60</v>
      </c>
      <c r="F59" s="6">
        <f>$D59*总表!D$4</f>
        <v>63000</v>
      </c>
      <c r="G59" s="6">
        <f>$E59*总表!E$4</f>
        <v>6000</v>
      </c>
      <c r="H59" s="6">
        <f>$E59*总表!F$4</f>
        <v>1800</v>
      </c>
      <c r="I59" s="6">
        <f>$E59*总表!G$4</f>
        <v>1800</v>
      </c>
      <c r="P59" s="6"/>
      <c r="Q59" s="6">
        <f t="shared" si="2"/>
        <v>144</v>
      </c>
      <c r="R59" s="6" t="s">
        <v>1933</v>
      </c>
      <c r="S59" s="6">
        <v>1</v>
      </c>
      <c r="T59" s="6">
        <v>44</v>
      </c>
      <c r="U59" s="6">
        <f t="shared" si="3"/>
        <v>44100</v>
      </c>
      <c r="V59" s="6">
        <f t="shared" si="4"/>
        <v>4200</v>
      </c>
      <c r="W59" s="6">
        <f t="shared" si="5"/>
        <v>1260</v>
      </c>
      <c r="X59" s="6">
        <f t="shared" si="6"/>
        <v>1260</v>
      </c>
      <c r="AD59" s="11" t="s">
        <v>1887</v>
      </c>
      <c r="AE59" s="12" t="s">
        <v>1915</v>
      </c>
      <c r="AF59" s="6"/>
      <c r="AI59" s="6"/>
      <c r="AJ59" s="6"/>
      <c r="AK59" s="6"/>
      <c r="AL59" s="6"/>
    </row>
    <row r="60" ht="20.1" customHeight="1" spans="1:38">
      <c r="A60" s="6">
        <f t="shared" si="0"/>
        <v>159</v>
      </c>
      <c r="B60" s="6">
        <v>59</v>
      </c>
      <c r="C60" s="6">
        <v>1</v>
      </c>
      <c r="D60" s="6">
        <f t="shared" si="12"/>
        <v>61</v>
      </c>
      <c r="E60" s="6">
        <f t="shared" si="1"/>
        <v>61</v>
      </c>
      <c r="F60" s="6">
        <f>$D60*总表!D$4</f>
        <v>64050</v>
      </c>
      <c r="G60" s="6">
        <f>$E60*总表!E$4</f>
        <v>6100</v>
      </c>
      <c r="H60" s="6">
        <f>$E60*总表!F$4</f>
        <v>1830</v>
      </c>
      <c r="I60" s="6">
        <f>$E60*总表!G$4</f>
        <v>1830</v>
      </c>
      <c r="P60" s="6"/>
      <c r="Q60" s="6">
        <f t="shared" si="2"/>
        <v>144</v>
      </c>
      <c r="R60" s="6" t="s">
        <v>1934</v>
      </c>
      <c r="S60" s="6">
        <v>1</v>
      </c>
      <c r="T60" s="6">
        <v>44</v>
      </c>
      <c r="U60" s="6">
        <f t="shared" si="3"/>
        <v>44100</v>
      </c>
      <c r="V60" s="6">
        <f t="shared" si="4"/>
        <v>4200</v>
      </c>
      <c r="W60" s="6">
        <f t="shared" si="5"/>
        <v>1260</v>
      </c>
      <c r="X60" s="6">
        <f t="shared" si="6"/>
        <v>1260</v>
      </c>
      <c r="AD60" s="11" t="s">
        <v>1888</v>
      </c>
      <c r="AE60" s="12" t="s">
        <v>1915</v>
      </c>
      <c r="AF60" s="6"/>
      <c r="AI60" s="6"/>
      <c r="AJ60" s="6"/>
      <c r="AK60" s="6"/>
      <c r="AL60" s="6"/>
    </row>
    <row r="61" ht="20.1" customHeight="1" spans="1:38">
      <c r="A61" s="6">
        <f t="shared" si="0"/>
        <v>160</v>
      </c>
      <c r="B61" s="6">
        <v>60</v>
      </c>
      <c r="C61" s="6">
        <v>1</v>
      </c>
      <c r="D61" s="6">
        <f t="shared" si="12"/>
        <v>62</v>
      </c>
      <c r="E61" s="6">
        <f t="shared" si="1"/>
        <v>62</v>
      </c>
      <c r="F61" s="6">
        <f>$D61*总表!D$4</f>
        <v>65100</v>
      </c>
      <c r="G61" s="6">
        <f>$E61*总表!E$4</f>
        <v>6200</v>
      </c>
      <c r="H61" s="6">
        <f>$E61*总表!F$4</f>
        <v>1860</v>
      </c>
      <c r="I61" s="6">
        <f>$E61*总表!G$4</f>
        <v>1860</v>
      </c>
      <c r="P61" s="6"/>
      <c r="Q61" s="6">
        <f t="shared" si="2"/>
        <v>346</v>
      </c>
      <c r="R61" s="6" t="s">
        <v>1935</v>
      </c>
      <c r="S61" s="6">
        <v>3</v>
      </c>
      <c r="T61" s="6">
        <v>46</v>
      </c>
      <c r="U61" s="6">
        <f t="shared" si="3"/>
        <v>369600</v>
      </c>
      <c r="V61" s="6">
        <f t="shared" si="4"/>
        <v>5500</v>
      </c>
      <c r="W61" s="6">
        <f t="shared" si="5"/>
        <v>1650</v>
      </c>
      <c r="X61" s="6">
        <f t="shared" si="6"/>
        <v>1650</v>
      </c>
      <c r="AD61" s="5" t="s">
        <v>1889</v>
      </c>
      <c r="AE61" s="10" t="s">
        <v>1936</v>
      </c>
      <c r="AF61" s="6"/>
      <c r="AI61" s="6"/>
      <c r="AJ61" s="6"/>
      <c r="AK61" s="6"/>
      <c r="AL61" s="6"/>
    </row>
    <row r="62" ht="20.1" customHeight="1" spans="1:38">
      <c r="A62" s="6">
        <f t="shared" si="0"/>
        <v>161</v>
      </c>
      <c r="B62" s="6">
        <v>61</v>
      </c>
      <c r="C62" s="6">
        <v>1</v>
      </c>
      <c r="D62" s="6">
        <f t="shared" si="12"/>
        <v>63</v>
      </c>
      <c r="E62" s="6">
        <f t="shared" si="1"/>
        <v>63</v>
      </c>
      <c r="F62" s="6">
        <f>$D62*总表!D$4</f>
        <v>66150</v>
      </c>
      <c r="G62" s="6">
        <f>$E62*总表!E$4</f>
        <v>6300</v>
      </c>
      <c r="H62" s="6">
        <f>$E62*总表!F$4</f>
        <v>1890</v>
      </c>
      <c r="I62" s="6">
        <f>$E62*总表!G$4</f>
        <v>1890</v>
      </c>
      <c r="P62" s="6"/>
      <c r="Q62" s="6">
        <f t="shared" si="2"/>
        <v>146</v>
      </c>
      <c r="R62" s="6" t="s">
        <v>1937</v>
      </c>
      <c r="S62" s="6">
        <v>1</v>
      </c>
      <c r="T62" s="6">
        <v>46</v>
      </c>
      <c r="U62" s="6">
        <f t="shared" si="3"/>
        <v>46200</v>
      </c>
      <c r="V62" s="6">
        <f t="shared" si="4"/>
        <v>4400</v>
      </c>
      <c r="W62" s="6">
        <f t="shared" si="5"/>
        <v>1320</v>
      </c>
      <c r="X62" s="6">
        <f t="shared" si="6"/>
        <v>1320</v>
      </c>
      <c r="AD62" s="5" t="s">
        <v>1890</v>
      </c>
      <c r="AE62" s="10" t="s">
        <v>1938</v>
      </c>
      <c r="AF62" s="6"/>
      <c r="AI62" s="6"/>
      <c r="AJ62" s="6"/>
      <c r="AK62" s="6"/>
      <c r="AL62" s="6"/>
    </row>
    <row r="63" ht="20.1" customHeight="1" spans="1:38">
      <c r="A63" s="6">
        <f t="shared" si="0"/>
        <v>162</v>
      </c>
      <c r="B63" s="6">
        <v>62</v>
      </c>
      <c r="C63" s="6">
        <v>1</v>
      </c>
      <c r="D63" s="6">
        <f t="shared" si="12"/>
        <v>64</v>
      </c>
      <c r="E63" s="6">
        <f t="shared" si="1"/>
        <v>64</v>
      </c>
      <c r="F63" s="6">
        <f>$D63*总表!D$4</f>
        <v>67200</v>
      </c>
      <c r="G63" s="6">
        <f>$E63*总表!E$4</f>
        <v>6400</v>
      </c>
      <c r="H63" s="6">
        <f>$E63*总表!F$4</f>
        <v>1920</v>
      </c>
      <c r="I63" s="6">
        <f>$E63*总表!G$4</f>
        <v>1920</v>
      </c>
      <c r="P63" s="6"/>
      <c r="Q63" s="6">
        <f t="shared" si="2"/>
        <v>147</v>
      </c>
      <c r="R63" s="6" t="s">
        <v>1939</v>
      </c>
      <c r="S63" s="6">
        <v>1</v>
      </c>
      <c r="T63" s="6">
        <v>47</v>
      </c>
      <c r="U63" s="6">
        <f t="shared" si="3"/>
        <v>47250</v>
      </c>
      <c r="V63" s="6">
        <f t="shared" si="4"/>
        <v>4500</v>
      </c>
      <c r="W63" s="6">
        <f t="shared" si="5"/>
        <v>1350</v>
      </c>
      <c r="X63" s="6">
        <f t="shared" si="6"/>
        <v>1350</v>
      </c>
      <c r="AD63" s="5" t="s">
        <v>1891</v>
      </c>
      <c r="AE63" s="10" t="s">
        <v>1915</v>
      </c>
      <c r="AF63" s="6"/>
      <c r="AI63" s="6"/>
      <c r="AJ63" s="6"/>
      <c r="AK63" s="6"/>
      <c r="AL63" s="6"/>
    </row>
    <row r="64" ht="20.1" customHeight="1" spans="1:38">
      <c r="A64" s="6">
        <f t="shared" si="0"/>
        <v>163</v>
      </c>
      <c r="B64" s="6">
        <v>63</v>
      </c>
      <c r="C64" s="6">
        <v>1</v>
      </c>
      <c r="D64" s="6">
        <f t="shared" si="12"/>
        <v>65</v>
      </c>
      <c r="E64" s="6">
        <f t="shared" si="1"/>
        <v>65</v>
      </c>
      <c r="F64" s="6">
        <f>$D64*总表!D$4</f>
        <v>68250</v>
      </c>
      <c r="G64" s="6">
        <f>$E64*总表!E$4</f>
        <v>6500</v>
      </c>
      <c r="H64" s="6">
        <f>$E64*总表!F$4</f>
        <v>1950</v>
      </c>
      <c r="I64" s="6">
        <f>$E64*总表!G$4</f>
        <v>1950</v>
      </c>
      <c r="P64" s="6"/>
      <c r="Q64" s="6">
        <f t="shared" si="2"/>
        <v>349</v>
      </c>
      <c r="R64" s="6" t="s">
        <v>1940</v>
      </c>
      <c r="S64" s="6">
        <v>3</v>
      </c>
      <c r="T64" s="6">
        <v>49</v>
      </c>
      <c r="U64" s="6">
        <f t="shared" si="3"/>
        <v>394800</v>
      </c>
      <c r="V64" s="6">
        <f t="shared" si="4"/>
        <v>5875</v>
      </c>
      <c r="W64" s="6">
        <f t="shared" si="5"/>
        <v>1763</v>
      </c>
      <c r="X64" s="6">
        <f t="shared" si="6"/>
        <v>1763</v>
      </c>
      <c r="AD64" s="11" t="s">
        <v>1892</v>
      </c>
      <c r="AE64" s="12" t="s">
        <v>1915</v>
      </c>
      <c r="AF64" s="6"/>
      <c r="AI64" s="6"/>
      <c r="AJ64" s="6"/>
      <c r="AK64" s="6"/>
      <c r="AL64" s="6"/>
    </row>
    <row r="65" ht="20.1" customHeight="1" spans="1:38">
      <c r="A65" s="6">
        <f t="shared" si="0"/>
        <v>164</v>
      </c>
      <c r="B65" s="6">
        <v>64</v>
      </c>
      <c r="C65" s="6">
        <v>1</v>
      </c>
      <c r="D65" s="6">
        <f t="shared" si="12"/>
        <v>66</v>
      </c>
      <c r="E65" s="6">
        <f t="shared" si="1"/>
        <v>66</v>
      </c>
      <c r="F65" s="6">
        <f>$D65*总表!D$4</f>
        <v>69300</v>
      </c>
      <c r="G65" s="6">
        <f>$E65*总表!E$4</f>
        <v>6600</v>
      </c>
      <c r="H65" s="6">
        <f>$E65*总表!F$4</f>
        <v>1980</v>
      </c>
      <c r="I65" s="6">
        <f>$E65*总表!G$4</f>
        <v>1980</v>
      </c>
      <c r="P65" s="6"/>
      <c r="Q65" s="6">
        <f t="shared" si="2"/>
        <v>150</v>
      </c>
      <c r="R65" s="6" t="s">
        <v>1941</v>
      </c>
      <c r="S65" s="6">
        <v>1</v>
      </c>
      <c r="T65" s="6">
        <v>50</v>
      </c>
      <c r="U65" s="6">
        <f t="shared" si="3"/>
        <v>50400</v>
      </c>
      <c r="V65" s="6">
        <f t="shared" si="4"/>
        <v>4800</v>
      </c>
      <c r="W65" s="6">
        <f t="shared" si="5"/>
        <v>1440</v>
      </c>
      <c r="X65" s="6">
        <f t="shared" si="6"/>
        <v>1440</v>
      </c>
      <c r="AD65" s="5" t="s">
        <v>1893</v>
      </c>
      <c r="AE65" s="10" t="s">
        <v>1942</v>
      </c>
      <c r="AF65" s="6"/>
      <c r="AI65" s="6"/>
      <c r="AJ65" s="6"/>
      <c r="AK65" s="6"/>
      <c r="AL65" s="6"/>
    </row>
    <row r="66" ht="20.1" customHeight="1" spans="1:38">
      <c r="A66" s="6">
        <f t="shared" si="0"/>
        <v>165</v>
      </c>
      <c r="B66" s="6">
        <v>65</v>
      </c>
      <c r="C66" s="6">
        <v>1</v>
      </c>
      <c r="D66" s="6">
        <f t="shared" si="12"/>
        <v>67</v>
      </c>
      <c r="E66" s="6">
        <f t="shared" si="1"/>
        <v>67</v>
      </c>
      <c r="F66" s="6">
        <f>$D66*总表!D$4</f>
        <v>70350</v>
      </c>
      <c r="G66" s="6">
        <f>$E66*总表!E$4</f>
        <v>6700</v>
      </c>
      <c r="H66" s="6">
        <f>$E66*总表!F$4</f>
        <v>2010</v>
      </c>
      <c r="I66" s="6">
        <f>$E66*总表!G$4</f>
        <v>2010</v>
      </c>
      <c r="P66" s="6"/>
      <c r="Q66" s="6">
        <f t="shared" si="2"/>
        <v>151</v>
      </c>
      <c r="R66" s="6" t="s">
        <v>1943</v>
      </c>
      <c r="S66" s="6">
        <v>1</v>
      </c>
      <c r="T66" s="6">
        <v>51</v>
      </c>
      <c r="U66" s="6">
        <f t="shared" si="3"/>
        <v>55650</v>
      </c>
      <c r="V66" s="6">
        <f t="shared" si="4"/>
        <v>5300</v>
      </c>
      <c r="W66" s="6">
        <f t="shared" si="5"/>
        <v>1590</v>
      </c>
      <c r="X66" s="6">
        <f t="shared" si="6"/>
        <v>1590</v>
      </c>
      <c r="AD66" s="5" t="s">
        <v>1894</v>
      </c>
      <c r="AE66" s="10" t="s">
        <v>1915</v>
      </c>
      <c r="AF66" s="6"/>
      <c r="AI66" s="6"/>
      <c r="AJ66" s="6"/>
      <c r="AK66" s="6"/>
      <c r="AL66" s="6"/>
    </row>
    <row r="67" ht="20.1" customHeight="1" spans="1:38">
      <c r="A67" s="6">
        <f t="shared" ref="A67:A71" si="13">100+B67</f>
        <v>166</v>
      </c>
      <c r="B67" s="6">
        <v>66</v>
      </c>
      <c r="C67" s="6">
        <v>1</v>
      </c>
      <c r="D67" s="6">
        <f t="shared" si="12"/>
        <v>68</v>
      </c>
      <c r="E67" s="6">
        <f t="shared" ref="E67:E71" si="14">D67</f>
        <v>68</v>
      </c>
      <c r="F67" s="6">
        <f>$D67*总表!D$4</f>
        <v>71400</v>
      </c>
      <c r="G67" s="6">
        <f>$E67*总表!E$4</f>
        <v>6800</v>
      </c>
      <c r="H67" s="6">
        <f>$E67*总表!F$4</f>
        <v>2040</v>
      </c>
      <c r="I67" s="6">
        <f>$E67*总表!G$4</f>
        <v>2040</v>
      </c>
      <c r="P67" s="6"/>
      <c r="Q67" s="6">
        <f t="shared" ref="Q67:Q76" si="15">S67*100+T67</f>
        <v>352</v>
      </c>
      <c r="R67" s="6" t="s">
        <v>1944</v>
      </c>
      <c r="S67" s="6">
        <v>3</v>
      </c>
      <c r="T67" s="6">
        <v>52</v>
      </c>
      <c r="U67" s="6">
        <f t="shared" ref="U67:U76" si="16">LOOKUP($Q67,$A:$A,F:F)</f>
        <v>453600</v>
      </c>
      <c r="V67" s="6">
        <f t="shared" ref="V67:V76" si="17">LOOKUP($Q67,$A:$A,G:G)</f>
        <v>6750</v>
      </c>
      <c r="W67" s="6">
        <f t="shared" ref="W67:W76" si="18">LOOKUP($Q67,$A:$A,H:H)</f>
        <v>2025</v>
      </c>
      <c r="X67" s="6">
        <f t="shared" ref="X67:X76" si="19">LOOKUP($Q67,$A:$A,I:I)</f>
        <v>2025</v>
      </c>
      <c r="AD67" s="5" t="s">
        <v>1895</v>
      </c>
      <c r="AE67" s="10" t="s">
        <v>1915</v>
      </c>
      <c r="AF67" s="6"/>
      <c r="AI67" s="6"/>
      <c r="AJ67" s="6"/>
      <c r="AK67" s="6"/>
      <c r="AL67" s="6"/>
    </row>
    <row r="68" ht="20.1" customHeight="1" spans="1:38">
      <c r="A68" s="6">
        <f t="shared" si="13"/>
        <v>167</v>
      </c>
      <c r="B68" s="6">
        <v>67</v>
      </c>
      <c r="C68" s="6">
        <v>1</v>
      </c>
      <c r="D68" s="6">
        <f t="shared" ref="D68:D71" si="20">D67+C67</f>
        <v>69</v>
      </c>
      <c r="E68" s="6">
        <f t="shared" si="14"/>
        <v>69</v>
      </c>
      <c r="F68" s="6">
        <f>$D68*总表!D$4</f>
        <v>72450</v>
      </c>
      <c r="G68" s="6">
        <f>$E68*总表!E$4</f>
        <v>6900</v>
      </c>
      <c r="H68" s="6">
        <f>$E68*总表!F$4</f>
        <v>2070</v>
      </c>
      <c r="I68" s="6">
        <f>$E68*总表!G$4</f>
        <v>2070</v>
      </c>
      <c r="P68" s="6"/>
      <c r="Q68" s="6">
        <f t="shared" si="15"/>
        <v>354</v>
      </c>
      <c r="R68" s="6" t="s">
        <v>1945</v>
      </c>
      <c r="S68" s="6">
        <v>3</v>
      </c>
      <c r="T68" s="6">
        <v>54</v>
      </c>
      <c r="U68" s="6">
        <f t="shared" si="16"/>
        <v>470400</v>
      </c>
      <c r="V68" s="6">
        <f t="shared" si="17"/>
        <v>7000</v>
      </c>
      <c r="W68" s="6">
        <f t="shared" si="18"/>
        <v>2100</v>
      </c>
      <c r="X68" s="6">
        <f t="shared" si="19"/>
        <v>2100</v>
      </c>
      <c r="AD68" s="5" t="s">
        <v>1896</v>
      </c>
      <c r="AE68" s="10" t="s">
        <v>1946</v>
      </c>
      <c r="AF68" s="6"/>
      <c r="AI68" s="6"/>
      <c r="AJ68" s="6"/>
      <c r="AK68" s="6"/>
      <c r="AL68" s="6"/>
    </row>
    <row r="69" ht="20.1" customHeight="1" spans="1:38">
      <c r="A69" s="6">
        <f t="shared" si="13"/>
        <v>168</v>
      </c>
      <c r="B69" s="6">
        <v>68</v>
      </c>
      <c r="C69" s="6">
        <v>1</v>
      </c>
      <c r="D69" s="6">
        <f t="shared" si="20"/>
        <v>70</v>
      </c>
      <c r="E69" s="6">
        <f t="shared" si="14"/>
        <v>70</v>
      </c>
      <c r="F69" s="6">
        <f>$D69*总表!D$4</f>
        <v>73500</v>
      </c>
      <c r="G69" s="6">
        <f>$E69*总表!E$4</f>
        <v>7000</v>
      </c>
      <c r="H69" s="6">
        <f>$E69*总表!F$4</f>
        <v>2100</v>
      </c>
      <c r="I69" s="6">
        <f>$E69*总表!G$4</f>
        <v>2100</v>
      </c>
      <c r="P69" s="6"/>
      <c r="Q69" s="6">
        <f t="shared" si="15"/>
        <v>152</v>
      </c>
      <c r="R69" s="6" t="s">
        <v>1947</v>
      </c>
      <c r="S69" s="6">
        <v>1</v>
      </c>
      <c r="T69" s="6">
        <v>52</v>
      </c>
      <c r="U69" s="6">
        <f t="shared" si="16"/>
        <v>56700</v>
      </c>
      <c r="V69" s="6">
        <f t="shared" si="17"/>
        <v>5400</v>
      </c>
      <c r="W69" s="6">
        <f t="shared" si="18"/>
        <v>1620</v>
      </c>
      <c r="X69" s="6">
        <f t="shared" si="19"/>
        <v>1620</v>
      </c>
      <c r="AD69" s="5" t="s">
        <v>1897</v>
      </c>
      <c r="AE69" s="10" t="s">
        <v>1915</v>
      </c>
      <c r="AF69" s="6"/>
      <c r="AI69" s="6"/>
      <c r="AJ69" s="6"/>
      <c r="AK69" s="6"/>
      <c r="AL69" s="6"/>
    </row>
    <row r="70" ht="20.1" customHeight="1" spans="1:38">
      <c r="A70" s="6">
        <f t="shared" si="13"/>
        <v>169</v>
      </c>
      <c r="B70" s="6">
        <v>69</v>
      </c>
      <c r="C70" s="6">
        <v>1</v>
      </c>
      <c r="D70" s="6">
        <f t="shared" si="20"/>
        <v>71</v>
      </c>
      <c r="E70" s="6">
        <f t="shared" si="14"/>
        <v>71</v>
      </c>
      <c r="F70" s="6">
        <f>$D70*总表!D$4</f>
        <v>74550</v>
      </c>
      <c r="G70" s="6">
        <f>$E70*总表!E$4</f>
        <v>7100</v>
      </c>
      <c r="H70" s="6">
        <f>$E70*总表!F$4</f>
        <v>2130</v>
      </c>
      <c r="I70" s="6">
        <f>$E70*总表!G$4</f>
        <v>2130</v>
      </c>
      <c r="P70" s="6"/>
      <c r="Q70" s="6">
        <f t="shared" si="15"/>
        <v>150</v>
      </c>
      <c r="R70" s="6" t="s">
        <v>1948</v>
      </c>
      <c r="S70" s="6">
        <v>1</v>
      </c>
      <c r="T70" s="6">
        <v>50</v>
      </c>
      <c r="U70" s="6">
        <f t="shared" si="16"/>
        <v>50400</v>
      </c>
      <c r="V70" s="6">
        <f t="shared" si="17"/>
        <v>4800</v>
      </c>
      <c r="W70" s="6">
        <f t="shared" si="18"/>
        <v>1440</v>
      </c>
      <c r="X70" s="6">
        <f t="shared" si="19"/>
        <v>1440</v>
      </c>
      <c r="AD70" s="5" t="s">
        <v>1898</v>
      </c>
      <c r="AE70" s="10" t="s">
        <v>1915</v>
      </c>
      <c r="AF70" s="6"/>
      <c r="AI70" s="6"/>
      <c r="AJ70" s="6"/>
      <c r="AK70" s="6"/>
      <c r="AL70" s="6"/>
    </row>
    <row r="71" ht="20.1" customHeight="1" spans="1:38">
      <c r="A71" s="6">
        <f t="shared" si="13"/>
        <v>170</v>
      </c>
      <c r="B71" s="6">
        <v>70</v>
      </c>
      <c r="C71" s="6">
        <v>1</v>
      </c>
      <c r="D71" s="6">
        <f t="shared" si="20"/>
        <v>72</v>
      </c>
      <c r="E71" s="6">
        <f t="shared" si="14"/>
        <v>72</v>
      </c>
      <c r="F71" s="6">
        <f>$D71*总表!D$4</f>
        <v>75600</v>
      </c>
      <c r="G71" s="6">
        <f>$E71*总表!E$4</f>
        <v>7200</v>
      </c>
      <c r="H71" s="6">
        <f>$E71*总表!F$4</f>
        <v>2160</v>
      </c>
      <c r="I71" s="6">
        <f>$E71*总表!G$4</f>
        <v>2160</v>
      </c>
      <c r="P71" s="6"/>
      <c r="Q71" s="6">
        <f t="shared" si="15"/>
        <v>150</v>
      </c>
      <c r="R71" s="6" t="s">
        <v>1949</v>
      </c>
      <c r="S71" s="6">
        <v>1</v>
      </c>
      <c r="T71" s="6">
        <v>50</v>
      </c>
      <c r="U71" s="6">
        <f t="shared" si="16"/>
        <v>50400</v>
      </c>
      <c r="V71" s="6">
        <f t="shared" si="17"/>
        <v>4800</v>
      </c>
      <c r="W71" s="6">
        <f t="shared" si="18"/>
        <v>1440</v>
      </c>
      <c r="X71" s="6">
        <f t="shared" si="19"/>
        <v>1440</v>
      </c>
      <c r="AD71" s="5" t="s">
        <v>1899</v>
      </c>
      <c r="AE71" s="10" t="s">
        <v>1950</v>
      </c>
      <c r="AF71" s="6"/>
      <c r="AI71" s="6"/>
      <c r="AJ71" s="6"/>
      <c r="AK71" s="6"/>
      <c r="AL71" s="6"/>
    </row>
    <row r="72" ht="20.1" customHeight="1" spans="17:38">
      <c r="Q72" s="6">
        <f t="shared" si="15"/>
        <v>150</v>
      </c>
      <c r="R72" s="6" t="s">
        <v>1951</v>
      </c>
      <c r="S72" s="6">
        <v>1</v>
      </c>
      <c r="T72" s="6">
        <v>50</v>
      </c>
      <c r="U72" s="6">
        <f t="shared" si="16"/>
        <v>50400</v>
      </c>
      <c r="V72" s="6">
        <f t="shared" si="17"/>
        <v>4800</v>
      </c>
      <c r="W72" s="6">
        <f t="shared" si="18"/>
        <v>1440</v>
      </c>
      <c r="X72" s="6">
        <f t="shared" si="19"/>
        <v>1440</v>
      </c>
      <c r="AD72" s="5" t="s">
        <v>1900</v>
      </c>
      <c r="AE72" s="10" t="s">
        <v>1952</v>
      </c>
      <c r="AF72" s="6"/>
      <c r="AI72" s="6"/>
      <c r="AJ72" s="6"/>
      <c r="AK72" s="6"/>
      <c r="AL72" s="6"/>
    </row>
    <row r="73" ht="20.1" customHeight="1" spans="17:38">
      <c r="Q73" s="6">
        <f t="shared" si="15"/>
        <v>155</v>
      </c>
      <c r="R73" s="6" t="s">
        <v>1953</v>
      </c>
      <c r="S73" s="6">
        <v>1</v>
      </c>
      <c r="T73" s="6">
        <v>55</v>
      </c>
      <c r="U73" s="6">
        <f t="shared" si="16"/>
        <v>59850</v>
      </c>
      <c r="V73" s="6">
        <f t="shared" si="17"/>
        <v>5700</v>
      </c>
      <c r="W73" s="6">
        <f t="shared" si="18"/>
        <v>1710</v>
      </c>
      <c r="X73" s="6">
        <f t="shared" si="19"/>
        <v>1710</v>
      </c>
      <c r="AD73" s="5" t="s">
        <v>1901</v>
      </c>
      <c r="AE73" s="10" t="s">
        <v>1915</v>
      </c>
      <c r="AF73" s="6"/>
      <c r="AI73" s="6"/>
      <c r="AJ73" s="6"/>
      <c r="AK73" s="6"/>
      <c r="AL73" s="6"/>
    </row>
    <row r="74" ht="20.1" customHeight="1" spans="2:38">
      <c r="B74" s="9" t="s">
        <v>1866</v>
      </c>
      <c r="D74" s="9" t="s">
        <v>1954</v>
      </c>
      <c r="E74" s="9" t="s">
        <v>1955</v>
      </c>
      <c r="F74" s="9" t="s">
        <v>2</v>
      </c>
      <c r="G74" s="9" t="s">
        <v>3</v>
      </c>
      <c r="H74" s="9" t="s">
        <v>28</v>
      </c>
      <c r="I74" s="9" t="s">
        <v>29</v>
      </c>
      <c r="Q74" s="6">
        <f t="shared" si="15"/>
        <v>356</v>
      </c>
      <c r="R74" s="6" t="s">
        <v>1956</v>
      </c>
      <c r="S74" s="6">
        <v>3</v>
      </c>
      <c r="T74" s="6">
        <v>56</v>
      </c>
      <c r="U74" s="6">
        <f t="shared" si="16"/>
        <v>487200</v>
      </c>
      <c r="V74" s="6">
        <f t="shared" si="17"/>
        <v>7250</v>
      </c>
      <c r="W74" s="6">
        <f t="shared" si="18"/>
        <v>2175</v>
      </c>
      <c r="X74" s="6">
        <f t="shared" si="19"/>
        <v>2175</v>
      </c>
      <c r="AD74" s="5" t="s">
        <v>1902</v>
      </c>
      <c r="AE74" s="10" t="s">
        <v>1915</v>
      </c>
      <c r="AF74" s="6"/>
      <c r="AI74" s="6"/>
      <c r="AJ74" s="6"/>
      <c r="AK74" s="6"/>
      <c r="AL74" s="6"/>
    </row>
    <row r="75" ht="20.1" customHeight="1" spans="1:38">
      <c r="A75" s="6">
        <f>B75+300</f>
        <v>301</v>
      </c>
      <c r="B75" s="6">
        <v>1</v>
      </c>
      <c r="D75" s="6">
        <v>8</v>
      </c>
      <c r="E75" s="6">
        <v>1.25</v>
      </c>
      <c r="F75" s="6">
        <f t="shared" ref="F75:F106" si="21">D75*F2</f>
        <v>8400</v>
      </c>
      <c r="G75" s="6">
        <f t="shared" ref="G75:I94" si="22">ROUND($E75*G2,0)</f>
        <v>125</v>
      </c>
      <c r="H75" s="6">
        <f t="shared" si="22"/>
        <v>38</v>
      </c>
      <c r="I75" s="6">
        <f t="shared" si="22"/>
        <v>38</v>
      </c>
      <c r="Q75" s="6">
        <f t="shared" si="15"/>
        <v>358</v>
      </c>
      <c r="R75" s="6" t="s">
        <v>1957</v>
      </c>
      <c r="S75" s="6">
        <v>3</v>
      </c>
      <c r="T75" s="6">
        <v>58</v>
      </c>
      <c r="U75" s="6">
        <f t="shared" si="16"/>
        <v>504000</v>
      </c>
      <c r="V75" s="6">
        <f t="shared" si="17"/>
        <v>7500</v>
      </c>
      <c r="W75" s="6">
        <f t="shared" si="18"/>
        <v>2250</v>
      </c>
      <c r="X75" s="6">
        <f t="shared" si="19"/>
        <v>2250</v>
      </c>
      <c r="AD75" s="5" t="s">
        <v>1903</v>
      </c>
      <c r="AE75" s="10" t="s">
        <v>1915</v>
      </c>
      <c r="AF75" s="6"/>
      <c r="AI75" s="6"/>
      <c r="AJ75" s="6"/>
      <c r="AK75" s="6"/>
      <c r="AL75" s="6"/>
    </row>
    <row r="76" ht="20.1" customHeight="1" spans="1:38">
      <c r="A76" s="6">
        <f t="shared" ref="A76:A139" si="23">B76+300</f>
        <v>302</v>
      </c>
      <c r="B76" s="6">
        <v>2</v>
      </c>
      <c r="D76" s="6">
        <v>8</v>
      </c>
      <c r="E76" s="6">
        <v>1.25</v>
      </c>
      <c r="F76" s="6">
        <f t="shared" si="21"/>
        <v>12600</v>
      </c>
      <c r="G76" s="6">
        <f t="shared" si="22"/>
        <v>188</v>
      </c>
      <c r="H76" s="6">
        <f t="shared" si="22"/>
        <v>56</v>
      </c>
      <c r="I76" s="6">
        <f t="shared" si="22"/>
        <v>56</v>
      </c>
      <c r="Q76" s="6">
        <f t="shared" si="15"/>
        <v>360</v>
      </c>
      <c r="R76" s="6" t="s">
        <v>1958</v>
      </c>
      <c r="S76" s="6">
        <v>3</v>
      </c>
      <c r="T76" s="6">
        <v>60</v>
      </c>
      <c r="U76" s="6">
        <f t="shared" si="16"/>
        <v>520800</v>
      </c>
      <c r="V76" s="6">
        <f t="shared" si="17"/>
        <v>7750</v>
      </c>
      <c r="W76" s="6">
        <f t="shared" si="18"/>
        <v>2325</v>
      </c>
      <c r="X76" s="6">
        <f t="shared" si="19"/>
        <v>2325</v>
      </c>
      <c r="AD76" s="5" t="s">
        <v>1904</v>
      </c>
      <c r="AE76" s="10" t="s">
        <v>1915</v>
      </c>
      <c r="AF76" s="6"/>
      <c r="AI76" s="6"/>
      <c r="AJ76" s="6"/>
      <c r="AK76" s="6"/>
      <c r="AL76" s="6"/>
    </row>
    <row r="77" ht="20.1" customHeight="1" spans="1:31">
      <c r="A77" s="6">
        <f t="shared" si="23"/>
        <v>303</v>
      </c>
      <c r="B77" s="6">
        <v>3</v>
      </c>
      <c r="D77" s="6">
        <v>8</v>
      </c>
      <c r="E77" s="6">
        <v>1.25</v>
      </c>
      <c r="F77" s="6">
        <f t="shared" si="21"/>
        <v>16800</v>
      </c>
      <c r="G77" s="6">
        <f t="shared" si="22"/>
        <v>250</v>
      </c>
      <c r="H77" s="6">
        <f t="shared" si="22"/>
        <v>75</v>
      </c>
      <c r="I77" s="6">
        <f t="shared" si="22"/>
        <v>75</v>
      </c>
      <c r="Q77" s="6"/>
      <c r="R77" s="6"/>
      <c r="S77" s="6"/>
      <c r="T77" s="6"/>
      <c r="AD77" s="5" t="s">
        <v>1905</v>
      </c>
      <c r="AE77" s="10" t="s">
        <v>1959</v>
      </c>
    </row>
    <row r="78" ht="20.1" customHeight="1" spans="1:31">
      <c r="A78" s="6">
        <f t="shared" si="23"/>
        <v>304</v>
      </c>
      <c r="B78" s="6">
        <v>4</v>
      </c>
      <c r="D78" s="6">
        <v>8</v>
      </c>
      <c r="E78" s="6">
        <v>1.25</v>
      </c>
      <c r="F78" s="6">
        <f t="shared" si="21"/>
        <v>21000</v>
      </c>
      <c r="G78" s="6">
        <f t="shared" si="22"/>
        <v>313</v>
      </c>
      <c r="H78" s="6">
        <f t="shared" si="22"/>
        <v>94</v>
      </c>
      <c r="I78" s="6">
        <f t="shared" si="22"/>
        <v>94</v>
      </c>
      <c r="Q78" s="6"/>
      <c r="R78" s="6"/>
      <c r="S78" s="6"/>
      <c r="T78" s="6"/>
      <c r="AD78" s="5" t="s">
        <v>1906</v>
      </c>
      <c r="AE78" s="10" t="s">
        <v>1915</v>
      </c>
    </row>
    <row r="79" ht="20.1" customHeight="1" spans="1:31">
      <c r="A79" s="6">
        <f t="shared" si="23"/>
        <v>305</v>
      </c>
      <c r="B79" s="6">
        <v>5</v>
      </c>
      <c r="D79" s="6">
        <v>8</v>
      </c>
      <c r="E79" s="6">
        <v>1.25</v>
      </c>
      <c r="F79" s="6">
        <f t="shared" si="21"/>
        <v>25200</v>
      </c>
      <c r="G79" s="6">
        <f t="shared" si="22"/>
        <v>375</v>
      </c>
      <c r="H79" s="6">
        <f t="shared" si="22"/>
        <v>113</v>
      </c>
      <c r="I79" s="6">
        <f t="shared" si="22"/>
        <v>113</v>
      </c>
      <c r="Q79" s="6" t="s">
        <v>1865</v>
      </c>
      <c r="R79" s="6" t="s">
        <v>1868</v>
      </c>
      <c r="S79" s="6" t="s">
        <v>1841</v>
      </c>
      <c r="T79" s="6" t="s">
        <v>25</v>
      </c>
      <c r="U79" s="9" t="s">
        <v>2</v>
      </c>
      <c r="V79" s="9" t="s">
        <v>3</v>
      </c>
      <c r="W79" s="9" t="s">
        <v>28</v>
      </c>
      <c r="X79" s="9" t="s">
        <v>29</v>
      </c>
      <c r="AD79" s="5" t="s">
        <v>1907</v>
      </c>
      <c r="AE79" s="10" t="s">
        <v>1915</v>
      </c>
    </row>
    <row r="80" ht="20.1" customHeight="1" spans="1:31">
      <c r="A80" s="6">
        <f t="shared" si="23"/>
        <v>306</v>
      </c>
      <c r="B80" s="6">
        <v>6</v>
      </c>
      <c r="D80" s="6">
        <v>8</v>
      </c>
      <c r="E80" s="6">
        <v>1.25</v>
      </c>
      <c r="F80" s="6">
        <f t="shared" si="21"/>
        <v>29400</v>
      </c>
      <c r="G80" s="6">
        <f t="shared" si="22"/>
        <v>438</v>
      </c>
      <c r="H80" s="6">
        <f t="shared" si="22"/>
        <v>131</v>
      </c>
      <c r="I80" s="6">
        <f t="shared" si="22"/>
        <v>131</v>
      </c>
      <c r="Q80" s="6">
        <f t="shared" ref="Q80:Q129" si="24">S80*100+T80</f>
        <v>145</v>
      </c>
      <c r="R80" s="6" t="s">
        <v>1872</v>
      </c>
      <c r="S80" s="6">
        <v>1</v>
      </c>
      <c r="T80" s="6">
        <v>45</v>
      </c>
      <c r="U80" s="6">
        <f t="shared" ref="U80:U111" si="25">LOOKUP($Q80,$A:$A,F:F)</f>
        <v>45150</v>
      </c>
      <c r="V80" s="6">
        <f t="shared" ref="V80:V111" si="26">LOOKUP($Q80,$A:$A,G:G)</f>
        <v>4300</v>
      </c>
      <c r="W80" s="6">
        <f t="shared" ref="W80:W111" si="27">LOOKUP($Q80,$A:$A,H:H)</f>
        <v>1290</v>
      </c>
      <c r="X80" s="6">
        <f t="shared" ref="X80:X111" si="28">LOOKUP($Q80,$A:$A,I:I)</f>
        <v>1290</v>
      </c>
      <c r="AD80" s="5" t="s">
        <v>1908</v>
      </c>
      <c r="AE80" s="10" t="s">
        <v>1960</v>
      </c>
    </row>
    <row r="81" ht="20.1" customHeight="1" spans="1:31">
      <c r="A81" s="6">
        <f t="shared" si="23"/>
        <v>307</v>
      </c>
      <c r="B81" s="6">
        <v>7</v>
      </c>
      <c r="D81" s="6">
        <v>8</v>
      </c>
      <c r="E81" s="6">
        <v>1.25</v>
      </c>
      <c r="F81" s="6">
        <f t="shared" si="21"/>
        <v>33600</v>
      </c>
      <c r="G81" s="6">
        <f t="shared" si="22"/>
        <v>500</v>
      </c>
      <c r="H81" s="6">
        <f t="shared" si="22"/>
        <v>150</v>
      </c>
      <c r="I81" s="6">
        <f t="shared" si="22"/>
        <v>150</v>
      </c>
      <c r="Q81" s="6">
        <f t="shared" si="24"/>
        <v>145</v>
      </c>
      <c r="R81" s="6" t="s">
        <v>1873</v>
      </c>
      <c r="S81" s="6">
        <v>1</v>
      </c>
      <c r="T81" s="6">
        <v>45</v>
      </c>
      <c r="U81" s="6">
        <f t="shared" si="25"/>
        <v>45150</v>
      </c>
      <c r="V81" s="6">
        <f t="shared" si="26"/>
        <v>4300</v>
      </c>
      <c r="W81" s="6">
        <f t="shared" si="27"/>
        <v>1290</v>
      </c>
      <c r="X81" s="6">
        <f t="shared" si="28"/>
        <v>1290</v>
      </c>
      <c r="AD81" s="5" t="s">
        <v>1909</v>
      </c>
      <c r="AE81" s="10" t="s">
        <v>1915</v>
      </c>
    </row>
    <row r="82" ht="20.1" customHeight="1" spans="1:31">
      <c r="A82" s="6">
        <f t="shared" si="23"/>
        <v>308</v>
      </c>
      <c r="B82" s="6">
        <v>8</v>
      </c>
      <c r="D82" s="6">
        <v>8</v>
      </c>
      <c r="E82" s="6">
        <v>1.25</v>
      </c>
      <c r="F82" s="6">
        <f t="shared" si="21"/>
        <v>37800</v>
      </c>
      <c r="G82" s="6">
        <f t="shared" si="22"/>
        <v>563</v>
      </c>
      <c r="H82" s="6">
        <f t="shared" si="22"/>
        <v>169</v>
      </c>
      <c r="I82" s="6">
        <f t="shared" si="22"/>
        <v>169</v>
      </c>
      <c r="Q82" s="6">
        <f t="shared" si="24"/>
        <v>145</v>
      </c>
      <c r="R82" s="6" t="s">
        <v>1874</v>
      </c>
      <c r="S82" s="6">
        <v>1</v>
      </c>
      <c r="T82" s="6">
        <v>45</v>
      </c>
      <c r="U82" s="6">
        <f t="shared" si="25"/>
        <v>45150</v>
      </c>
      <c r="V82" s="6">
        <f t="shared" si="26"/>
        <v>4300</v>
      </c>
      <c r="W82" s="6">
        <f t="shared" si="27"/>
        <v>1290</v>
      </c>
      <c r="X82" s="6">
        <f t="shared" si="28"/>
        <v>1290</v>
      </c>
      <c r="AD82" s="5" t="s">
        <v>1910</v>
      </c>
      <c r="AE82" s="10" t="s">
        <v>1915</v>
      </c>
    </row>
    <row r="83" ht="20.1" customHeight="1" spans="1:31">
      <c r="A83" s="6">
        <f t="shared" si="23"/>
        <v>309</v>
      </c>
      <c r="B83" s="6">
        <v>9</v>
      </c>
      <c r="D83" s="6">
        <v>8</v>
      </c>
      <c r="E83" s="6">
        <v>1.25</v>
      </c>
      <c r="F83" s="6">
        <f t="shared" si="21"/>
        <v>42000</v>
      </c>
      <c r="G83" s="6">
        <f t="shared" si="22"/>
        <v>625</v>
      </c>
      <c r="H83" s="6">
        <f t="shared" si="22"/>
        <v>188</v>
      </c>
      <c r="I83" s="6">
        <f t="shared" si="22"/>
        <v>188</v>
      </c>
      <c r="Q83" s="6">
        <f t="shared" si="24"/>
        <v>146</v>
      </c>
      <c r="R83" s="6" t="s">
        <v>1875</v>
      </c>
      <c r="S83" s="6">
        <v>1</v>
      </c>
      <c r="T83" s="6">
        <f t="shared" ref="T83:T112" si="29">T80+1</f>
        <v>46</v>
      </c>
      <c r="U83" s="6">
        <f t="shared" si="25"/>
        <v>46200</v>
      </c>
      <c r="V83" s="6">
        <f t="shared" si="26"/>
        <v>4400</v>
      </c>
      <c r="W83" s="6">
        <f t="shared" si="27"/>
        <v>1320</v>
      </c>
      <c r="X83" s="6">
        <f t="shared" si="28"/>
        <v>1320</v>
      </c>
      <c r="AD83" s="5" t="s">
        <v>1911</v>
      </c>
      <c r="AE83" s="10" t="s">
        <v>1961</v>
      </c>
    </row>
    <row r="84" ht="20.1" customHeight="1" spans="1:31">
      <c r="A84" s="6">
        <f t="shared" si="23"/>
        <v>310</v>
      </c>
      <c r="B84" s="6">
        <v>10</v>
      </c>
      <c r="D84" s="6">
        <v>8</v>
      </c>
      <c r="E84" s="6">
        <v>1.25</v>
      </c>
      <c r="F84" s="6">
        <f t="shared" si="21"/>
        <v>46200</v>
      </c>
      <c r="G84" s="6">
        <f t="shared" si="22"/>
        <v>688</v>
      </c>
      <c r="H84" s="6">
        <f t="shared" si="22"/>
        <v>206</v>
      </c>
      <c r="I84" s="6">
        <f t="shared" si="22"/>
        <v>206</v>
      </c>
      <c r="Q84" s="6">
        <f t="shared" si="24"/>
        <v>146</v>
      </c>
      <c r="R84" s="6" t="s">
        <v>1876</v>
      </c>
      <c r="S84" s="6">
        <v>1</v>
      </c>
      <c r="T84" s="6">
        <f t="shared" si="29"/>
        <v>46</v>
      </c>
      <c r="U84" s="6">
        <f t="shared" si="25"/>
        <v>46200</v>
      </c>
      <c r="V84" s="6">
        <f t="shared" si="26"/>
        <v>4400</v>
      </c>
      <c r="W84" s="6">
        <f t="shared" si="27"/>
        <v>1320</v>
      </c>
      <c r="X84" s="6">
        <f t="shared" si="28"/>
        <v>1320</v>
      </c>
      <c r="AD84" s="5" t="s">
        <v>1912</v>
      </c>
      <c r="AE84" s="10" t="s">
        <v>1915</v>
      </c>
    </row>
    <row r="85" ht="20.1" customHeight="1" spans="1:31">
      <c r="A85" s="6">
        <f t="shared" si="23"/>
        <v>311</v>
      </c>
      <c r="B85" s="6">
        <v>11</v>
      </c>
      <c r="D85" s="6">
        <v>8</v>
      </c>
      <c r="E85" s="6">
        <v>1.25</v>
      </c>
      <c r="F85" s="6">
        <f t="shared" si="21"/>
        <v>50400</v>
      </c>
      <c r="G85" s="6">
        <f t="shared" si="22"/>
        <v>750</v>
      </c>
      <c r="H85" s="6">
        <f t="shared" si="22"/>
        <v>225</v>
      </c>
      <c r="I85" s="6">
        <f t="shared" si="22"/>
        <v>225</v>
      </c>
      <c r="Q85" s="6">
        <f t="shared" si="24"/>
        <v>146</v>
      </c>
      <c r="R85" s="6" t="s">
        <v>1877</v>
      </c>
      <c r="S85" s="6">
        <v>1</v>
      </c>
      <c r="T85" s="6">
        <f t="shared" si="29"/>
        <v>46</v>
      </c>
      <c r="U85" s="6">
        <f t="shared" si="25"/>
        <v>46200</v>
      </c>
      <c r="V85" s="6">
        <f t="shared" si="26"/>
        <v>4400</v>
      </c>
      <c r="W85" s="6">
        <f t="shared" si="27"/>
        <v>1320</v>
      </c>
      <c r="X85" s="6">
        <f t="shared" si="28"/>
        <v>1320</v>
      </c>
      <c r="AD85" s="5" t="s">
        <v>1913</v>
      </c>
      <c r="AE85" s="10" t="s">
        <v>1915</v>
      </c>
    </row>
    <row r="86" ht="20.1" customHeight="1" spans="1:31">
      <c r="A86" s="6">
        <f t="shared" si="23"/>
        <v>312</v>
      </c>
      <c r="B86" s="6">
        <v>12</v>
      </c>
      <c r="D86" s="6">
        <v>8</v>
      </c>
      <c r="E86" s="6">
        <v>1.25</v>
      </c>
      <c r="F86" s="6">
        <f t="shared" si="21"/>
        <v>54600</v>
      </c>
      <c r="G86" s="6">
        <f t="shared" si="22"/>
        <v>813</v>
      </c>
      <c r="H86" s="6">
        <f t="shared" si="22"/>
        <v>244</v>
      </c>
      <c r="I86" s="6">
        <f t="shared" si="22"/>
        <v>244</v>
      </c>
      <c r="Q86" s="6">
        <f t="shared" si="24"/>
        <v>147</v>
      </c>
      <c r="R86" s="6" t="s">
        <v>1878</v>
      </c>
      <c r="S86" s="6">
        <v>1</v>
      </c>
      <c r="T86" s="6">
        <f t="shared" si="29"/>
        <v>47</v>
      </c>
      <c r="U86" s="6">
        <f t="shared" si="25"/>
        <v>47250</v>
      </c>
      <c r="V86" s="6">
        <f t="shared" si="26"/>
        <v>4500</v>
      </c>
      <c r="W86" s="6">
        <f t="shared" si="27"/>
        <v>1350</v>
      </c>
      <c r="X86" s="6">
        <f t="shared" si="28"/>
        <v>1350</v>
      </c>
      <c r="AD86" s="5" t="s">
        <v>1914</v>
      </c>
      <c r="AE86" s="10" t="s">
        <v>1915</v>
      </c>
    </row>
    <row r="87" ht="20.1" customHeight="1" spans="1:31">
      <c r="A87" s="6">
        <f t="shared" si="23"/>
        <v>313</v>
      </c>
      <c r="B87" s="6">
        <v>13</v>
      </c>
      <c r="D87" s="6">
        <v>8</v>
      </c>
      <c r="E87" s="6">
        <v>1.25</v>
      </c>
      <c r="F87" s="6">
        <f t="shared" si="21"/>
        <v>58800</v>
      </c>
      <c r="G87" s="6">
        <f t="shared" si="22"/>
        <v>875</v>
      </c>
      <c r="H87" s="6">
        <f t="shared" si="22"/>
        <v>263</v>
      </c>
      <c r="I87" s="6">
        <f t="shared" si="22"/>
        <v>263</v>
      </c>
      <c r="Q87" s="6">
        <f t="shared" si="24"/>
        <v>147</v>
      </c>
      <c r="R87" s="6" t="s">
        <v>1879</v>
      </c>
      <c r="S87" s="6">
        <v>1</v>
      </c>
      <c r="T87" s="6">
        <f t="shared" si="29"/>
        <v>47</v>
      </c>
      <c r="U87" s="6">
        <f t="shared" si="25"/>
        <v>47250</v>
      </c>
      <c r="V87" s="6">
        <f t="shared" si="26"/>
        <v>4500</v>
      </c>
      <c r="W87" s="6">
        <f t="shared" si="27"/>
        <v>1350</v>
      </c>
      <c r="X87" s="6">
        <f t="shared" si="28"/>
        <v>1350</v>
      </c>
      <c r="AD87" s="5" t="s">
        <v>1916</v>
      </c>
      <c r="AE87" s="10" t="s">
        <v>1915</v>
      </c>
    </row>
    <row r="88" ht="20.1" customHeight="1" spans="1:31">
      <c r="A88" s="6">
        <f t="shared" si="23"/>
        <v>314</v>
      </c>
      <c r="B88" s="6">
        <v>14</v>
      </c>
      <c r="D88" s="6">
        <v>8</v>
      </c>
      <c r="E88" s="6">
        <v>1.25</v>
      </c>
      <c r="F88" s="6">
        <f t="shared" si="21"/>
        <v>63000</v>
      </c>
      <c r="G88" s="6">
        <f t="shared" si="22"/>
        <v>938</v>
      </c>
      <c r="H88" s="6">
        <f t="shared" si="22"/>
        <v>281</v>
      </c>
      <c r="I88" s="6">
        <f t="shared" si="22"/>
        <v>281</v>
      </c>
      <c r="Q88" s="6">
        <f t="shared" si="24"/>
        <v>147</v>
      </c>
      <c r="R88" s="6" t="s">
        <v>1880</v>
      </c>
      <c r="S88" s="6">
        <v>1</v>
      </c>
      <c r="T88" s="6">
        <f t="shared" si="29"/>
        <v>47</v>
      </c>
      <c r="U88" s="6">
        <f t="shared" si="25"/>
        <v>47250</v>
      </c>
      <c r="V88" s="6">
        <f t="shared" si="26"/>
        <v>4500</v>
      </c>
      <c r="W88" s="6">
        <f t="shared" si="27"/>
        <v>1350</v>
      </c>
      <c r="X88" s="6">
        <f t="shared" si="28"/>
        <v>1350</v>
      </c>
      <c r="AD88" s="5" t="s">
        <v>1917</v>
      </c>
      <c r="AE88" s="10" t="s">
        <v>1915</v>
      </c>
    </row>
    <row r="89" ht="20.1" customHeight="1" spans="1:31">
      <c r="A89" s="6">
        <f t="shared" si="23"/>
        <v>315</v>
      </c>
      <c r="B89" s="6">
        <v>15</v>
      </c>
      <c r="D89" s="6">
        <v>8</v>
      </c>
      <c r="E89" s="6">
        <v>1.25</v>
      </c>
      <c r="F89" s="6">
        <f t="shared" si="21"/>
        <v>67200</v>
      </c>
      <c r="G89" s="6">
        <f t="shared" si="22"/>
        <v>1000</v>
      </c>
      <c r="H89" s="6">
        <f t="shared" si="22"/>
        <v>300</v>
      </c>
      <c r="I89" s="6">
        <f t="shared" si="22"/>
        <v>300</v>
      </c>
      <c r="Q89" s="6">
        <f t="shared" si="24"/>
        <v>348</v>
      </c>
      <c r="R89" s="6" t="s">
        <v>1881</v>
      </c>
      <c r="S89" s="6">
        <v>3</v>
      </c>
      <c r="T89" s="6">
        <f t="shared" si="29"/>
        <v>48</v>
      </c>
      <c r="U89" s="6">
        <f t="shared" si="25"/>
        <v>386400</v>
      </c>
      <c r="V89" s="6">
        <f t="shared" si="26"/>
        <v>5750</v>
      </c>
      <c r="W89" s="6">
        <f t="shared" si="27"/>
        <v>1725</v>
      </c>
      <c r="X89" s="6">
        <f t="shared" si="28"/>
        <v>1725</v>
      </c>
      <c r="AD89" s="5" t="s">
        <v>1918</v>
      </c>
      <c r="AE89" s="10" t="s">
        <v>1962</v>
      </c>
    </row>
    <row r="90" ht="20.1" customHeight="1" spans="1:31">
      <c r="A90" s="6">
        <f t="shared" si="23"/>
        <v>316</v>
      </c>
      <c r="B90" s="6">
        <v>16</v>
      </c>
      <c r="D90" s="6">
        <v>8</v>
      </c>
      <c r="E90" s="6">
        <v>1.25</v>
      </c>
      <c r="F90" s="6">
        <f t="shared" si="21"/>
        <v>71400</v>
      </c>
      <c r="G90" s="6">
        <f t="shared" si="22"/>
        <v>1063</v>
      </c>
      <c r="H90" s="6">
        <f t="shared" si="22"/>
        <v>319</v>
      </c>
      <c r="I90" s="6">
        <f t="shared" si="22"/>
        <v>319</v>
      </c>
      <c r="Q90" s="6">
        <f t="shared" si="24"/>
        <v>148</v>
      </c>
      <c r="R90" s="6" t="s">
        <v>1882</v>
      </c>
      <c r="S90" s="6">
        <v>1</v>
      </c>
      <c r="T90" s="6">
        <f t="shared" si="29"/>
        <v>48</v>
      </c>
      <c r="U90" s="6">
        <f t="shared" si="25"/>
        <v>48300</v>
      </c>
      <c r="V90" s="6">
        <f t="shared" si="26"/>
        <v>4600</v>
      </c>
      <c r="W90" s="6">
        <f t="shared" si="27"/>
        <v>1380</v>
      </c>
      <c r="X90" s="6">
        <f t="shared" si="28"/>
        <v>1380</v>
      </c>
      <c r="AD90" s="5" t="s">
        <v>1920</v>
      </c>
      <c r="AE90" s="10" t="s">
        <v>1915</v>
      </c>
    </row>
    <row r="91" ht="20.1" customHeight="1" spans="1:31">
      <c r="A91" s="6">
        <f t="shared" si="23"/>
        <v>317</v>
      </c>
      <c r="B91" s="6">
        <v>17</v>
      </c>
      <c r="D91" s="6">
        <v>8</v>
      </c>
      <c r="E91" s="6">
        <v>1.25</v>
      </c>
      <c r="F91" s="6">
        <f t="shared" si="21"/>
        <v>75600</v>
      </c>
      <c r="G91" s="6">
        <f t="shared" si="22"/>
        <v>1125</v>
      </c>
      <c r="H91" s="6">
        <f t="shared" si="22"/>
        <v>338</v>
      </c>
      <c r="I91" s="6">
        <f t="shared" si="22"/>
        <v>338</v>
      </c>
      <c r="Q91" s="6">
        <f t="shared" si="24"/>
        <v>148</v>
      </c>
      <c r="R91" s="6" t="s">
        <v>1883</v>
      </c>
      <c r="S91" s="6">
        <v>1</v>
      </c>
      <c r="T91" s="6">
        <f t="shared" si="29"/>
        <v>48</v>
      </c>
      <c r="U91" s="6">
        <f t="shared" si="25"/>
        <v>48300</v>
      </c>
      <c r="V91" s="6">
        <f t="shared" si="26"/>
        <v>4600</v>
      </c>
      <c r="W91" s="6">
        <f t="shared" si="27"/>
        <v>1380</v>
      </c>
      <c r="X91" s="6">
        <f t="shared" si="28"/>
        <v>1380</v>
      </c>
      <c r="AD91" s="5" t="s">
        <v>1921</v>
      </c>
      <c r="AE91" s="10" t="s">
        <v>1915</v>
      </c>
    </row>
    <row r="92" ht="20.1" customHeight="1" spans="1:31">
      <c r="A92" s="6">
        <f t="shared" si="23"/>
        <v>318</v>
      </c>
      <c r="B92" s="6">
        <v>18</v>
      </c>
      <c r="D92" s="6">
        <v>8</v>
      </c>
      <c r="E92" s="6">
        <v>1.25</v>
      </c>
      <c r="F92" s="6">
        <f t="shared" si="21"/>
        <v>79800</v>
      </c>
      <c r="G92" s="6">
        <f t="shared" si="22"/>
        <v>1188</v>
      </c>
      <c r="H92" s="6">
        <f t="shared" si="22"/>
        <v>356</v>
      </c>
      <c r="I92" s="6">
        <f t="shared" si="22"/>
        <v>356</v>
      </c>
      <c r="Q92" s="6">
        <f t="shared" si="24"/>
        <v>149</v>
      </c>
      <c r="R92" s="6" t="s">
        <v>1884</v>
      </c>
      <c r="S92" s="6">
        <v>1</v>
      </c>
      <c r="T92" s="6">
        <f t="shared" si="29"/>
        <v>49</v>
      </c>
      <c r="U92" s="6">
        <f t="shared" si="25"/>
        <v>49350</v>
      </c>
      <c r="V92" s="6">
        <f t="shared" si="26"/>
        <v>4700</v>
      </c>
      <c r="W92" s="6">
        <f t="shared" si="27"/>
        <v>1410</v>
      </c>
      <c r="X92" s="6">
        <f t="shared" si="28"/>
        <v>1410</v>
      </c>
      <c r="AD92" s="5" t="s">
        <v>1922</v>
      </c>
      <c r="AE92" s="10" t="s">
        <v>1915</v>
      </c>
    </row>
    <row r="93" ht="20.1" customHeight="1" spans="1:31">
      <c r="A93" s="6">
        <f t="shared" si="23"/>
        <v>319</v>
      </c>
      <c r="B93" s="6">
        <v>19</v>
      </c>
      <c r="D93" s="6">
        <v>8</v>
      </c>
      <c r="E93" s="6">
        <v>1.25</v>
      </c>
      <c r="F93" s="6">
        <f t="shared" si="21"/>
        <v>84000</v>
      </c>
      <c r="G93" s="6">
        <f t="shared" si="22"/>
        <v>1250</v>
      </c>
      <c r="H93" s="6">
        <f t="shared" si="22"/>
        <v>375</v>
      </c>
      <c r="I93" s="6">
        <f t="shared" si="22"/>
        <v>375</v>
      </c>
      <c r="Q93" s="6">
        <f t="shared" si="24"/>
        <v>149</v>
      </c>
      <c r="R93" s="6" t="s">
        <v>1885</v>
      </c>
      <c r="S93" s="6">
        <v>1</v>
      </c>
      <c r="T93" s="6">
        <f t="shared" si="29"/>
        <v>49</v>
      </c>
      <c r="U93" s="6">
        <f t="shared" si="25"/>
        <v>49350</v>
      </c>
      <c r="V93" s="6">
        <f t="shared" si="26"/>
        <v>4700</v>
      </c>
      <c r="W93" s="6">
        <f t="shared" si="27"/>
        <v>1410</v>
      </c>
      <c r="X93" s="6">
        <f t="shared" si="28"/>
        <v>1410</v>
      </c>
      <c r="AD93" s="5" t="s">
        <v>1924</v>
      </c>
      <c r="AE93" s="10" t="s">
        <v>1963</v>
      </c>
    </row>
    <row r="94" ht="20.1" customHeight="1" spans="1:31">
      <c r="A94" s="6">
        <f t="shared" si="23"/>
        <v>320</v>
      </c>
      <c r="B94" s="6">
        <v>20</v>
      </c>
      <c r="D94" s="6">
        <v>8</v>
      </c>
      <c r="E94" s="6">
        <v>1.25</v>
      </c>
      <c r="F94" s="6">
        <f t="shared" si="21"/>
        <v>88200</v>
      </c>
      <c r="G94" s="6">
        <f t="shared" si="22"/>
        <v>1313</v>
      </c>
      <c r="H94" s="6">
        <f t="shared" si="22"/>
        <v>394</v>
      </c>
      <c r="I94" s="6">
        <f t="shared" si="22"/>
        <v>394</v>
      </c>
      <c r="Q94" s="6">
        <f t="shared" si="24"/>
        <v>149</v>
      </c>
      <c r="R94" s="6" t="s">
        <v>1886</v>
      </c>
      <c r="S94" s="6">
        <v>1</v>
      </c>
      <c r="T94" s="6">
        <f t="shared" si="29"/>
        <v>49</v>
      </c>
      <c r="U94" s="6">
        <f t="shared" si="25"/>
        <v>49350</v>
      </c>
      <c r="V94" s="6">
        <f t="shared" si="26"/>
        <v>4700</v>
      </c>
      <c r="W94" s="6">
        <f t="shared" si="27"/>
        <v>1410</v>
      </c>
      <c r="X94" s="6">
        <f t="shared" si="28"/>
        <v>1410</v>
      </c>
      <c r="AD94" s="5" t="s">
        <v>1925</v>
      </c>
      <c r="AE94" s="10" t="s">
        <v>1915</v>
      </c>
    </row>
    <row r="95" ht="20.1" customHeight="1" spans="1:31">
      <c r="A95" s="6">
        <f t="shared" si="23"/>
        <v>321</v>
      </c>
      <c r="B95" s="6">
        <v>21</v>
      </c>
      <c r="D95" s="6">
        <v>8</v>
      </c>
      <c r="E95" s="6">
        <v>1.25</v>
      </c>
      <c r="F95" s="6">
        <f t="shared" si="21"/>
        <v>92400</v>
      </c>
      <c r="G95" s="6">
        <f t="shared" ref="G95:I114" si="30">ROUND($E95*G22,0)</f>
        <v>1375</v>
      </c>
      <c r="H95" s="6">
        <f t="shared" si="30"/>
        <v>413</v>
      </c>
      <c r="I95" s="6">
        <f t="shared" si="30"/>
        <v>413</v>
      </c>
      <c r="Q95" s="6">
        <f t="shared" si="24"/>
        <v>150</v>
      </c>
      <c r="R95" s="6" t="s">
        <v>1887</v>
      </c>
      <c r="S95" s="6">
        <v>1</v>
      </c>
      <c r="T95" s="6">
        <f t="shared" si="29"/>
        <v>50</v>
      </c>
      <c r="U95" s="6">
        <f t="shared" si="25"/>
        <v>50400</v>
      </c>
      <c r="V95" s="6">
        <f t="shared" si="26"/>
        <v>4800</v>
      </c>
      <c r="W95" s="6">
        <f t="shared" si="27"/>
        <v>1440</v>
      </c>
      <c r="X95" s="6">
        <f t="shared" si="28"/>
        <v>1440</v>
      </c>
      <c r="AD95" s="5" t="s">
        <v>1920</v>
      </c>
      <c r="AE95" s="10" t="s">
        <v>1915</v>
      </c>
    </row>
    <row r="96" ht="20.1" customHeight="1" spans="1:31">
      <c r="A96" s="6">
        <f t="shared" si="23"/>
        <v>322</v>
      </c>
      <c r="B96" s="6">
        <v>22</v>
      </c>
      <c r="D96" s="6">
        <v>8</v>
      </c>
      <c r="E96" s="6">
        <v>1.25</v>
      </c>
      <c r="F96" s="6">
        <f t="shared" si="21"/>
        <v>100800</v>
      </c>
      <c r="G96" s="6">
        <f t="shared" si="30"/>
        <v>1500</v>
      </c>
      <c r="H96" s="6">
        <f t="shared" si="30"/>
        <v>450</v>
      </c>
      <c r="I96" s="6">
        <f t="shared" si="30"/>
        <v>450</v>
      </c>
      <c r="Q96" s="6">
        <f t="shared" si="24"/>
        <v>150</v>
      </c>
      <c r="R96" s="6" t="s">
        <v>1888</v>
      </c>
      <c r="S96" s="6">
        <v>1</v>
      </c>
      <c r="T96" s="6">
        <f t="shared" si="29"/>
        <v>50</v>
      </c>
      <c r="U96" s="6">
        <f t="shared" si="25"/>
        <v>50400</v>
      </c>
      <c r="V96" s="6">
        <f t="shared" si="26"/>
        <v>4800</v>
      </c>
      <c r="W96" s="6">
        <f t="shared" si="27"/>
        <v>1440</v>
      </c>
      <c r="X96" s="6">
        <f t="shared" si="28"/>
        <v>1440</v>
      </c>
      <c r="AD96" s="5" t="s">
        <v>1927</v>
      </c>
      <c r="AE96" s="10" t="s">
        <v>1964</v>
      </c>
    </row>
    <row r="97" ht="20.1" customHeight="1" spans="1:31">
      <c r="A97" s="6">
        <f t="shared" si="23"/>
        <v>323</v>
      </c>
      <c r="B97" s="6">
        <v>23</v>
      </c>
      <c r="D97" s="6">
        <v>8</v>
      </c>
      <c r="E97" s="6">
        <v>1.25</v>
      </c>
      <c r="F97" s="6">
        <f t="shared" si="21"/>
        <v>109200</v>
      </c>
      <c r="G97" s="6">
        <f t="shared" si="30"/>
        <v>1625</v>
      </c>
      <c r="H97" s="6">
        <f t="shared" si="30"/>
        <v>488</v>
      </c>
      <c r="I97" s="6">
        <f t="shared" si="30"/>
        <v>488</v>
      </c>
      <c r="Q97" s="6">
        <f t="shared" si="24"/>
        <v>150</v>
      </c>
      <c r="R97" s="6" t="s">
        <v>1889</v>
      </c>
      <c r="S97" s="6">
        <v>1</v>
      </c>
      <c r="T97" s="6">
        <f t="shared" si="29"/>
        <v>50</v>
      </c>
      <c r="U97" s="6">
        <f t="shared" si="25"/>
        <v>50400</v>
      </c>
      <c r="V97" s="6">
        <f t="shared" si="26"/>
        <v>4800</v>
      </c>
      <c r="W97" s="6">
        <f t="shared" si="27"/>
        <v>1440</v>
      </c>
      <c r="X97" s="6">
        <f t="shared" si="28"/>
        <v>1440</v>
      </c>
      <c r="AD97" s="5" t="s">
        <v>1928</v>
      </c>
      <c r="AE97" s="10" t="s">
        <v>1915</v>
      </c>
    </row>
    <row r="98" ht="20.1" customHeight="1" spans="1:31">
      <c r="A98" s="6">
        <f t="shared" si="23"/>
        <v>324</v>
      </c>
      <c r="B98" s="6">
        <v>24</v>
      </c>
      <c r="D98" s="6">
        <v>8</v>
      </c>
      <c r="E98" s="6">
        <v>1.25</v>
      </c>
      <c r="F98" s="6">
        <f t="shared" si="21"/>
        <v>117600</v>
      </c>
      <c r="G98" s="6">
        <f t="shared" si="30"/>
        <v>1750</v>
      </c>
      <c r="H98" s="6">
        <f t="shared" si="30"/>
        <v>525</v>
      </c>
      <c r="I98" s="6">
        <f t="shared" si="30"/>
        <v>525</v>
      </c>
      <c r="Q98" s="6">
        <f t="shared" si="24"/>
        <v>151</v>
      </c>
      <c r="R98" s="6" t="s">
        <v>1890</v>
      </c>
      <c r="S98" s="6">
        <v>1</v>
      </c>
      <c r="T98" s="6">
        <f t="shared" si="29"/>
        <v>51</v>
      </c>
      <c r="U98" s="6">
        <f t="shared" si="25"/>
        <v>55650</v>
      </c>
      <c r="V98" s="6">
        <f t="shared" si="26"/>
        <v>5300</v>
      </c>
      <c r="W98" s="6">
        <f t="shared" si="27"/>
        <v>1590</v>
      </c>
      <c r="X98" s="6">
        <f t="shared" si="28"/>
        <v>1590</v>
      </c>
      <c r="AD98" s="5" t="s">
        <v>1929</v>
      </c>
      <c r="AE98" s="10" t="s">
        <v>1915</v>
      </c>
    </row>
    <row r="99" ht="20.1" customHeight="1" spans="1:31">
      <c r="A99" s="6">
        <f t="shared" si="23"/>
        <v>325</v>
      </c>
      <c r="B99" s="6">
        <v>25</v>
      </c>
      <c r="D99" s="6">
        <v>8</v>
      </c>
      <c r="E99" s="6">
        <v>1.25</v>
      </c>
      <c r="F99" s="6">
        <f t="shared" si="21"/>
        <v>126000</v>
      </c>
      <c r="G99" s="6">
        <f t="shared" si="30"/>
        <v>1875</v>
      </c>
      <c r="H99" s="6">
        <f t="shared" si="30"/>
        <v>563</v>
      </c>
      <c r="I99" s="6">
        <f t="shared" si="30"/>
        <v>563</v>
      </c>
      <c r="Q99" s="6">
        <f t="shared" si="24"/>
        <v>351</v>
      </c>
      <c r="R99" s="6" t="s">
        <v>1891</v>
      </c>
      <c r="S99" s="6">
        <v>3</v>
      </c>
      <c r="T99" s="6">
        <f t="shared" si="29"/>
        <v>51</v>
      </c>
      <c r="U99" s="6">
        <f t="shared" si="25"/>
        <v>445200</v>
      </c>
      <c r="V99" s="6">
        <f t="shared" si="26"/>
        <v>6625</v>
      </c>
      <c r="W99" s="6">
        <f t="shared" si="27"/>
        <v>1988</v>
      </c>
      <c r="X99" s="6">
        <f t="shared" si="28"/>
        <v>1988</v>
      </c>
      <c r="AD99" s="5" t="s">
        <v>1931</v>
      </c>
      <c r="AE99" s="10" t="s">
        <v>1965</v>
      </c>
    </row>
    <row r="100" ht="20.1" customHeight="1" spans="1:31">
      <c r="A100" s="6">
        <f t="shared" si="23"/>
        <v>326</v>
      </c>
      <c r="B100" s="6">
        <v>26</v>
      </c>
      <c r="D100" s="6">
        <v>8</v>
      </c>
      <c r="E100" s="6">
        <v>1.25</v>
      </c>
      <c r="F100" s="6">
        <f t="shared" si="21"/>
        <v>134400</v>
      </c>
      <c r="G100" s="6">
        <f t="shared" si="30"/>
        <v>2000</v>
      </c>
      <c r="H100" s="6">
        <f t="shared" si="30"/>
        <v>600</v>
      </c>
      <c r="I100" s="6">
        <f t="shared" si="30"/>
        <v>600</v>
      </c>
      <c r="Q100" s="6">
        <f t="shared" si="24"/>
        <v>151</v>
      </c>
      <c r="R100" s="6" t="s">
        <v>1892</v>
      </c>
      <c r="S100" s="6">
        <v>1</v>
      </c>
      <c r="T100" s="6">
        <f t="shared" si="29"/>
        <v>51</v>
      </c>
      <c r="U100" s="6">
        <f t="shared" si="25"/>
        <v>55650</v>
      </c>
      <c r="V100" s="6">
        <f t="shared" si="26"/>
        <v>5300</v>
      </c>
      <c r="W100" s="6">
        <f t="shared" si="27"/>
        <v>1590</v>
      </c>
      <c r="X100" s="6">
        <f t="shared" si="28"/>
        <v>1590</v>
      </c>
      <c r="AD100" s="5" t="s">
        <v>1932</v>
      </c>
      <c r="AE100" s="10" t="s">
        <v>1915</v>
      </c>
    </row>
    <row r="101" ht="20.1" customHeight="1" spans="1:31">
      <c r="A101" s="6">
        <f t="shared" si="23"/>
        <v>327</v>
      </c>
      <c r="B101" s="6">
        <v>27</v>
      </c>
      <c r="D101" s="6">
        <v>8</v>
      </c>
      <c r="E101" s="6">
        <v>1.25</v>
      </c>
      <c r="F101" s="6">
        <f t="shared" si="21"/>
        <v>142800</v>
      </c>
      <c r="G101" s="6">
        <f t="shared" si="30"/>
        <v>2125</v>
      </c>
      <c r="H101" s="6">
        <f t="shared" si="30"/>
        <v>638</v>
      </c>
      <c r="I101" s="6">
        <f t="shared" si="30"/>
        <v>638</v>
      </c>
      <c r="Q101" s="6">
        <f t="shared" si="24"/>
        <v>152</v>
      </c>
      <c r="R101" s="6" t="s">
        <v>1893</v>
      </c>
      <c r="S101" s="6">
        <v>1</v>
      </c>
      <c r="T101" s="6">
        <f t="shared" si="29"/>
        <v>52</v>
      </c>
      <c r="U101" s="6">
        <f t="shared" si="25"/>
        <v>56700</v>
      </c>
      <c r="V101" s="6">
        <f t="shared" si="26"/>
        <v>5400</v>
      </c>
      <c r="W101" s="6">
        <f t="shared" si="27"/>
        <v>1620</v>
      </c>
      <c r="X101" s="6">
        <f t="shared" si="28"/>
        <v>1620</v>
      </c>
      <c r="AD101" s="5" t="s">
        <v>1933</v>
      </c>
      <c r="AE101" s="10" t="s">
        <v>1915</v>
      </c>
    </row>
    <row r="102" ht="20.1" customHeight="1" spans="1:31">
      <c r="A102" s="6">
        <f t="shared" si="23"/>
        <v>328</v>
      </c>
      <c r="B102" s="6">
        <v>28</v>
      </c>
      <c r="D102" s="6">
        <v>8</v>
      </c>
      <c r="E102" s="6">
        <v>1.25</v>
      </c>
      <c r="F102" s="6">
        <f t="shared" si="21"/>
        <v>151200</v>
      </c>
      <c r="G102" s="6">
        <f t="shared" si="30"/>
        <v>2250</v>
      </c>
      <c r="H102" s="6">
        <f t="shared" si="30"/>
        <v>675</v>
      </c>
      <c r="I102" s="6">
        <f t="shared" si="30"/>
        <v>675</v>
      </c>
      <c r="Q102" s="6">
        <f t="shared" si="24"/>
        <v>152</v>
      </c>
      <c r="R102" s="6" t="s">
        <v>1894</v>
      </c>
      <c r="S102" s="6">
        <v>1</v>
      </c>
      <c r="T102" s="6">
        <f t="shared" si="29"/>
        <v>52</v>
      </c>
      <c r="U102" s="6">
        <f t="shared" si="25"/>
        <v>56700</v>
      </c>
      <c r="V102" s="6">
        <f t="shared" si="26"/>
        <v>5400</v>
      </c>
      <c r="W102" s="6">
        <f t="shared" si="27"/>
        <v>1620</v>
      </c>
      <c r="X102" s="6">
        <f t="shared" si="28"/>
        <v>1620</v>
      </c>
      <c r="AD102" s="5" t="s">
        <v>1934</v>
      </c>
      <c r="AE102" s="10" t="s">
        <v>1915</v>
      </c>
    </row>
    <row r="103" ht="20.1" customHeight="1" spans="1:31">
      <c r="A103" s="6">
        <f t="shared" si="23"/>
        <v>329</v>
      </c>
      <c r="B103" s="6">
        <v>29</v>
      </c>
      <c r="D103" s="6">
        <v>8</v>
      </c>
      <c r="E103" s="6">
        <v>1.25</v>
      </c>
      <c r="F103" s="6">
        <f t="shared" si="21"/>
        <v>159600</v>
      </c>
      <c r="G103" s="6">
        <f t="shared" si="30"/>
        <v>2375</v>
      </c>
      <c r="H103" s="6">
        <f t="shared" si="30"/>
        <v>713</v>
      </c>
      <c r="I103" s="6">
        <f t="shared" si="30"/>
        <v>713</v>
      </c>
      <c r="Q103" s="6">
        <f t="shared" si="24"/>
        <v>152</v>
      </c>
      <c r="R103" s="6" t="s">
        <v>1895</v>
      </c>
      <c r="S103" s="6">
        <v>1</v>
      </c>
      <c r="T103" s="6">
        <f t="shared" si="29"/>
        <v>52</v>
      </c>
      <c r="U103" s="6">
        <f t="shared" si="25"/>
        <v>56700</v>
      </c>
      <c r="V103" s="6">
        <f t="shared" si="26"/>
        <v>5400</v>
      </c>
      <c r="W103" s="6">
        <f t="shared" si="27"/>
        <v>1620</v>
      </c>
      <c r="X103" s="6">
        <f t="shared" si="28"/>
        <v>1620</v>
      </c>
      <c r="AD103" s="5" t="s">
        <v>1935</v>
      </c>
      <c r="AE103" s="10" t="s">
        <v>1966</v>
      </c>
    </row>
    <row r="104" ht="20.1" customHeight="1" spans="1:31">
      <c r="A104" s="6">
        <f t="shared" si="23"/>
        <v>330</v>
      </c>
      <c r="B104" s="6">
        <v>30</v>
      </c>
      <c r="D104" s="6">
        <v>8</v>
      </c>
      <c r="E104" s="6">
        <v>1.25</v>
      </c>
      <c r="F104" s="6">
        <f t="shared" si="21"/>
        <v>168000</v>
      </c>
      <c r="G104" s="6">
        <f t="shared" si="30"/>
        <v>2500</v>
      </c>
      <c r="H104" s="6">
        <f t="shared" si="30"/>
        <v>750</v>
      </c>
      <c r="I104" s="6">
        <f t="shared" si="30"/>
        <v>750</v>
      </c>
      <c r="Q104" s="6">
        <f t="shared" si="24"/>
        <v>153</v>
      </c>
      <c r="R104" s="6" t="s">
        <v>1896</v>
      </c>
      <c r="S104" s="6">
        <v>1</v>
      </c>
      <c r="T104" s="6">
        <f t="shared" si="29"/>
        <v>53</v>
      </c>
      <c r="U104" s="6">
        <f t="shared" si="25"/>
        <v>57750</v>
      </c>
      <c r="V104" s="6">
        <f t="shared" si="26"/>
        <v>5500</v>
      </c>
      <c r="W104" s="6">
        <f t="shared" si="27"/>
        <v>1650</v>
      </c>
      <c r="X104" s="6">
        <f t="shared" si="28"/>
        <v>1650</v>
      </c>
      <c r="AD104" s="5" t="s">
        <v>1937</v>
      </c>
      <c r="AE104" s="10" t="s">
        <v>1915</v>
      </c>
    </row>
    <row r="105" ht="20.1" customHeight="1" spans="1:31">
      <c r="A105" s="6">
        <f t="shared" si="23"/>
        <v>331</v>
      </c>
      <c r="B105" s="6">
        <v>31</v>
      </c>
      <c r="D105" s="6">
        <v>8</v>
      </c>
      <c r="E105" s="6">
        <v>1.25</v>
      </c>
      <c r="F105" s="6">
        <f t="shared" si="21"/>
        <v>210000</v>
      </c>
      <c r="G105" s="6">
        <f t="shared" si="30"/>
        <v>3125</v>
      </c>
      <c r="H105" s="6">
        <f t="shared" si="30"/>
        <v>938</v>
      </c>
      <c r="I105" s="6">
        <f t="shared" si="30"/>
        <v>938</v>
      </c>
      <c r="Q105" s="6">
        <f t="shared" si="24"/>
        <v>153</v>
      </c>
      <c r="R105" s="6" t="s">
        <v>1897</v>
      </c>
      <c r="S105" s="6">
        <v>1</v>
      </c>
      <c r="T105" s="6">
        <f t="shared" si="29"/>
        <v>53</v>
      </c>
      <c r="U105" s="6">
        <f t="shared" si="25"/>
        <v>57750</v>
      </c>
      <c r="V105" s="6">
        <f t="shared" si="26"/>
        <v>5500</v>
      </c>
      <c r="W105" s="6">
        <f t="shared" si="27"/>
        <v>1650</v>
      </c>
      <c r="X105" s="6">
        <f t="shared" si="28"/>
        <v>1650</v>
      </c>
      <c r="AD105" s="5" t="s">
        <v>1939</v>
      </c>
      <c r="AE105" s="10" t="s">
        <v>1915</v>
      </c>
    </row>
    <row r="106" ht="20.1" customHeight="1" spans="1:31">
      <c r="A106" s="6">
        <f t="shared" si="23"/>
        <v>332</v>
      </c>
      <c r="B106" s="6">
        <v>32</v>
      </c>
      <c r="D106" s="6">
        <v>8</v>
      </c>
      <c r="E106" s="6">
        <v>1.25</v>
      </c>
      <c r="F106" s="6">
        <f t="shared" si="21"/>
        <v>218400</v>
      </c>
      <c r="G106" s="6">
        <f t="shared" si="30"/>
        <v>3250</v>
      </c>
      <c r="H106" s="6">
        <f t="shared" si="30"/>
        <v>975</v>
      </c>
      <c r="I106" s="6">
        <f t="shared" si="30"/>
        <v>975</v>
      </c>
      <c r="Q106" s="6">
        <f t="shared" si="24"/>
        <v>153</v>
      </c>
      <c r="R106" s="6" t="s">
        <v>1898</v>
      </c>
      <c r="S106" s="6">
        <v>1</v>
      </c>
      <c r="T106" s="6">
        <f t="shared" si="29"/>
        <v>53</v>
      </c>
      <c r="U106" s="6">
        <f t="shared" si="25"/>
        <v>57750</v>
      </c>
      <c r="V106" s="6">
        <f t="shared" si="26"/>
        <v>5500</v>
      </c>
      <c r="W106" s="6">
        <f t="shared" si="27"/>
        <v>1650</v>
      </c>
      <c r="X106" s="6">
        <f t="shared" si="28"/>
        <v>1650</v>
      </c>
      <c r="AD106" s="5" t="s">
        <v>1940</v>
      </c>
      <c r="AE106" s="10" t="s">
        <v>1967</v>
      </c>
    </row>
    <row r="107" ht="20.1" customHeight="1" spans="1:31">
      <c r="A107" s="6">
        <f t="shared" si="23"/>
        <v>333</v>
      </c>
      <c r="B107" s="6">
        <v>33</v>
      </c>
      <c r="D107" s="6">
        <v>8</v>
      </c>
      <c r="E107" s="6">
        <v>1.25</v>
      </c>
      <c r="F107" s="6">
        <f t="shared" ref="F107:F138" si="31">D107*F34</f>
        <v>226800</v>
      </c>
      <c r="G107" s="6">
        <f t="shared" si="30"/>
        <v>3375</v>
      </c>
      <c r="H107" s="6">
        <f t="shared" si="30"/>
        <v>1013</v>
      </c>
      <c r="I107" s="6">
        <f t="shared" si="30"/>
        <v>1013</v>
      </c>
      <c r="Q107" s="6">
        <f t="shared" si="24"/>
        <v>154</v>
      </c>
      <c r="R107" s="6" t="s">
        <v>1899</v>
      </c>
      <c r="S107" s="6">
        <v>1</v>
      </c>
      <c r="T107" s="6">
        <f t="shared" si="29"/>
        <v>54</v>
      </c>
      <c r="U107" s="6">
        <f t="shared" si="25"/>
        <v>58800</v>
      </c>
      <c r="V107" s="6">
        <f t="shared" si="26"/>
        <v>5600</v>
      </c>
      <c r="W107" s="6">
        <f t="shared" si="27"/>
        <v>1680</v>
      </c>
      <c r="X107" s="6">
        <f t="shared" si="28"/>
        <v>1680</v>
      </c>
      <c r="AD107" s="5" t="s">
        <v>1941</v>
      </c>
      <c r="AE107" s="10" t="s">
        <v>1915</v>
      </c>
    </row>
    <row r="108" ht="20.1" customHeight="1" spans="1:31">
      <c r="A108" s="6">
        <f t="shared" si="23"/>
        <v>334</v>
      </c>
      <c r="B108" s="6">
        <v>34</v>
      </c>
      <c r="D108" s="6">
        <v>8</v>
      </c>
      <c r="E108" s="6">
        <v>1.25</v>
      </c>
      <c r="F108" s="6">
        <f t="shared" si="31"/>
        <v>235200</v>
      </c>
      <c r="G108" s="6">
        <f t="shared" si="30"/>
        <v>3500</v>
      </c>
      <c r="H108" s="6">
        <f t="shared" si="30"/>
        <v>1050</v>
      </c>
      <c r="I108" s="6">
        <f t="shared" si="30"/>
        <v>1050</v>
      </c>
      <c r="Q108" s="6">
        <f t="shared" si="24"/>
        <v>154</v>
      </c>
      <c r="R108" s="6" t="s">
        <v>1900</v>
      </c>
      <c r="S108" s="6">
        <v>1</v>
      </c>
      <c r="T108" s="6">
        <f t="shared" si="29"/>
        <v>54</v>
      </c>
      <c r="U108" s="6">
        <f t="shared" si="25"/>
        <v>58800</v>
      </c>
      <c r="V108" s="6">
        <f t="shared" si="26"/>
        <v>5600</v>
      </c>
      <c r="W108" s="6">
        <f t="shared" si="27"/>
        <v>1680</v>
      </c>
      <c r="X108" s="6">
        <f t="shared" si="28"/>
        <v>1680</v>
      </c>
      <c r="AD108" s="5" t="s">
        <v>1943</v>
      </c>
      <c r="AE108" s="10" t="s">
        <v>1915</v>
      </c>
    </row>
    <row r="109" ht="20.1" customHeight="1" spans="1:31">
      <c r="A109" s="6">
        <f t="shared" si="23"/>
        <v>335</v>
      </c>
      <c r="B109" s="6">
        <v>35</v>
      </c>
      <c r="D109" s="6">
        <v>8</v>
      </c>
      <c r="E109" s="6">
        <v>1.25</v>
      </c>
      <c r="F109" s="6">
        <f t="shared" si="31"/>
        <v>243600</v>
      </c>
      <c r="G109" s="6">
        <f t="shared" si="30"/>
        <v>3625</v>
      </c>
      <c r="H109" s="6">
        <f t="shared" si="30"/>
        <v>1088</v>
      </c>
      <c r="I109" s="6">
        <f t="shared" si="30"/>
        <v>1088</v>
      </c>
      <c r="Q109" s="6">
        <f t="shared" si="24"/>
        <v>354</v>
      </c>
      <c r="R109" s="6" t="s">
        <v>1901</v>
      </c>
      <c r="S109" s="6">
        <v>3</v>
      </c>
      <c r="T109" s="6">
        <f t="shared" si="29"/>
        <v>54</v>
      </c>
      <c r="U109" s="6">
        <f t="shared" si="25"/>
        <v>470400</v>
      </c>
      <c r="V109" s="6">
        <f t="shared" si="26"/>
        <v>7000</v>
      </c>
      <c r="W109" s="6">
        <f t="shared" si="27"/>
        <v>2100</v>
      </c>
      <c r="X109" s="6">
        <f t="shared" si="28"/>
        <v>2100</v>
      </c>
      <c r="AD109" s="5" t="s">
        <v>1944</v>
      </c>
      <c r="AE109" s="10" t="s">
        <v>1968</v>
      </c>
    </row>
    <row r="110" ht="20.1" customHeight="1" spans="1:31">
      <c r="A110" s="6">
        <f t="shared" si="23"/>
        <v>336</v>
      </c>
      <c r="B110" s="6">
        <v>36</v>
      </c>
      <c r="D110" s="6">
        <v>8</v>
      </c>
      <c r="E110" s="6">
        <v>1.25</v>
      </c>
      <c r="F110" s="6">
        <f t="shared" si="31"/>
        <v>252000</v>
      </c>
      <c r="G110" s="6">
        <f t="shared" si="30"/>
        <v>3750</v>
      </c>
      <c r="H110" s="6">
        <f t="shared" si="30"/>
        <v>1125</v>
      </c>
      <c r="I110" s="6">
        <f t="shared" si="30"/>
        <v>1125</v>
      </c>
      <c r="Q110" s="6">
        <f t="shared" si="24"/>
        <v>155</v>
      </c>
      <c r="R110" s="6" t="s">
        <v>1902</v>
      </c>
      <c r="S110" s="6">
        <v>1</v>
      </c>
      <c r="T110" s="6">
        <f t="shared" si="29"/>
        <v>55</v>
      </c>
      <c r="U110" s="6">
        <f t="shared" si="25"/>
        <v>59850</v>
      </c>
      <c r="V110" s="6">
        <f t="shared" si="26"/>
        <v>5700</v>
      </c>
      <c r="W110" s="6">
        <f t="shared" si="27"/>
        <v>1710</v>
      </c>
      <c r="X110" s="6">
        <f t="shared" si="28"/>
        <v>1710</v>
      </c>
      <c r="AD110" s="5" t="s">
        <v>1945</v>
      </c>
      <c r="AE110" s="10" t="s">
        <v>1969</v>
      </c>
    </row>
    <row r="111" ht="20.1" customHeight="1" spans="1:31">
      <c r="A111" s="6">
        <f t="shared" si="23"/>
        <v>337</v>
      </c>
      <c r="B111" s="6">
        <v>37</v>
      </c>
      <c r="D111" s="6">
        <v>8</v>
      </c>
      <c r="E111" s="6">
        <v>1.25</v>
      </c>
      <c r="F111" s="6">
        <f t="shared" si="31"/>
        <v>260400</v>
      </c>
      <c r="G111" s="6">
        <f t="shared" si="30"/>
        <v>3875</v>
      </c>
      <c r="H111" s="6">
        <f t="shared" si="30"/>
        <v>1163</v>
      </c>
      <c r="I111" s="6">
        <f t="shared" si="30"/>
        <v>1163</v>
      </c>
      <c r="Q111" s="6">
        <f t="shared" si="24"/>
        <v>155</v>
      </c>
      <c r="R111" s="6" t="s">
        <v>1903</v>
      </c>
      <c r="S111" s="6">
        <v>1</v>
      </c>
      <c r="T111" s="6">
        <f t="shared" si="29"/>
        <v>55</v>
      </c>
      <c r="U111" s="6">
        <f t="shared" si="25"/>
        <v>59850</v>
      </c>
      <c r="V111" s="6">
        <f t="shared" si="26"/>
        <v>5700</v>
      </c>
      <c r="W111" s="6">
        <f t="shared" si="27"/>
        <v>1710</v>
      </c>
      <c r="X111" s="6">
        <f t="shared" si="28"/>
        <v>1710</v>
      </c>
      <c r="AD111" s="5" t="s">
        <v>1947</v>
      </c>
      <c r="AE111" s="10" t="s">
        <v>1915</v>
      </c>
    </row>
    <row r="112" ht="20.1" customHeight="1" spans="1:31">
      <c r="A112" s="6">
        <f t="shared" si="23"/>
        <v>338</v>
      </c>
      <c r="B112" s="6">
        <v>38</v>
      </c>
      <c r="D112" s="6">
        <v>8</v>
      </c>
      <c r="E112" s="6">
        <v>1.25</v>
      </c>
      <c r="F112" s="6">
        <f t="shared" si="31"/>
        <v>268800</v>
      </c>
      <c r="G112" s="6">
        <f t="shared" si="30"/>
        <v>4000</v>
      </c>
      <c r="H112" s="6">
        <f t="shared" si="30"/>
        <v>1200</v>
      </c>
      <c r="I112" s="6">
        <f t="shared" si="30"/>
        <v>1200</v>
      </c>
      <c r="Q112" s="6">
        <f t="shared" si="24"/>
        <v>155</v>
      </c>
      <c r="R112" s="6" t="s">
        <v>1904</v>
      </c>
      <c r="S112" s="6">
        <v>1</v>
      </c>
      <c r="T112" s="6">
        <f t="shared" si="29"/>
        <v>55</v>
      </c>
      <c r="U112" s="6">
        <f t="shared" ref="U112:U129" si="32">LOOKUP($Q112,$A:$A,F:F)</f>
        <v>59850</v>
      </c>
      <c r="V112" s="6">
        <f t="shared" ref="V112:V129" si="33">LOOKUP($Q112,$A:$A,G:G)</f>
        <v>5700</v>
      </c>
      <c r="W112" s="6">
        <f t="shared" ref="W112:W129" si="34">LOOKUP($Q112,$A:$A,H:H)</f>
        <v>1710</v>
      </c>
      <c r="X112" s="6">
        <f t="shared" ref="X112:X129" si="35">LOOKUP($Q112,$A:$A,I:I)</f>
        <v>1710</v>
      </c>
      <c r="AD112" s="13" t="s">
        <v>1948</v>
      </c>
      <c r="AE112" s="14" t="s">
        <v>1915</v>
      </c>
    </row>
    <row r="113" ht="20.1" customHeight="1" spans="1:31">
      <c r="A113" s="6">
        <f t="shared" si="23"/>
        <v>339</v>
      </c>
      <c r="B113" s="6">
        <v>39</v>
      </c>
      <c r="D113" s="6">
        <v>8</v>
      </c>
      <c r="E113" s="6">
        <v>1.25</v>
      </c>
      <c r="F113" s="6">
        <f t="shared" si="31"/>
        <v>277200</v>
      </c>
      <c r="G113" s="6">
        <f t="shared" si="30"/>
        <v>4125</v>
      </c>
      <c r="H113" s="6">
        <f t="shared" si="30"/>
        <v>1238</v>
      </c>
      <c r="I113" s="6">
        <f t="shared" si="30"/>
        <v>1238</v>
      </c>
      <c r="Q113" s="6">
        <f t="shared" si="24"/>
        <v>155</v>
      </c>
      <c r="R113" s="6" t="s">
        <v>1905</v>
      </c>
      <c r="S113" s="6">
        <v>1</v>
      </c>
      <c r="T113" s="6">
        <v>55</v>
      </c>
      <c r="U113" s="6">
        <f t="shared" si="32"/>
        <v>59850</v>
      </c>
      <c r="V113" s="6">
        <f t="shared" si="33"/>
        <v>5700</v>
      </c>
      <c r="W113" s="6">
        <f t="shared" si="34"/>
        <v>1710</v>
      </c>
      <c r="X113" s="6">
        <f t="shared" si="35"/>
        <v>1710</v>
      </c>
      <c r="AD113" s="13" t="s">
        <v>1949</v>
      </c>
      <c r="AE113" s="14" t="s">
        <v>1915</v>
      </c>
    </row>
    <row r="114" ht="20.1" customHeight="1" spans="1:31">
      <c r="A114" s="6">
        <f t="shared" si="23"/>
        <v>340</v>
      </c>
      <c r="B114" s="6">
        <v>40</v>
      </c>
      <c r="D114" s="6">
        <v>8</v>
      </c>
      <c r="E114" s="6">
        <v>1.25</v>
      </c>
      <c r="F114" s="6">
        <f t="shared" si="31"/>
        <v>285600</v>
      </c>
      <c r="G114" s="6">
        <f t="shared" si="30"/>
        <v>4250</v>
      </c>
      <c r="H114" s="6">
        <f t="shared" si="30"/>
        <v>1275</v>
      </c>
      <c r="I114" s="6">
        <f t="shared" si="30"/>
        <v>1275</v>
      </c>
      <c r="Q114" s="6">
        <f t="shared" si="24"/>
        <v>156</v>
      </c>
      <c r="R114" s="6" t="s">
        <v>1906</v>
      </c>
      <c r="S114" s="6">
        <v>1</v>
      </c>
      <c r="T114" s="6">
        <f t="shared" ref="T114:T127" si="36">T111+1</f>
        <v>56</v>
      </c>
      <c r="U114" s="6">
        <f t="shared" si="32"/>
        <v>60900</v>
      </c>
      <c r="V114" s="6">
        <f t="shared" si="33"/>
        <v>5800</v>
      </c>
      <c r="W114" s="6">
        <f t="shared" si="34"/>
        <v>1740</v>
      </c>
      <c r="X114" s="6">
        <f t="shared" si="35"/>
        <v>1740</v>
      </c>
      <c r="AD114" s="13" t="s">
        <v>1951</v>
      </c>
      <c r="AE114" s="14" t="s">
        <v>1915</v>
      </c>
    </row>
    <row r="115" ht="20.1" customHeight="1" spans="1:31">
      <c r="A115" s="6">
        <f t="shared" si="23"/>
        <v>341</v>
      </c>
      <c r="B115" s="6">
        <v>41</v>
      </c>
      <c r="D115" s="6">
        <v>8</v>
      </c>
      <c r="E115" s="6">
        <v>1.25</v>
      </c>
      <c r="F115" s="6">
        <f t="shared" si="31"/>
        <v>327600</v>
      </c>
      <c r="G115" s="6">
        <f t="shared" ref="G115:I134" si="37">ROUND($E115*G42,0)</f>
        <v>4875</v>
      </c>
      <c r="H115" s="6">
        <f t="shared" si="37"/>
        <v>1463</v>
      </c>
      <c r="I115" s="6">
        <f t="shared" si="37"/>
        <v>1463</v>
      </c>
      <c r="Q115" s="6">
        <f t="shared" si="24"/>
        <v>156</v>
      </c>
      <c r="R115" s="6" t="s">
        <v>1907</v>
      </c>
      <c r="S115" s="6">
        <v>1</v>
      </c>
      <c r="T115" s="6">
        <f t="shared" si="36"/>
        <v>56</v>
      </c>
      <c r="U115" s="6">
        <f t="shared" si="32"/>
        <v>60900</v>
      </c>
      <c r="V115" s="6">
        <f t="shared" si="33"/>
        <v>5800</v>
      </c>
      <c r="W115" s="6">
        <f t="shared" si="34"/>
        <v>1740</v>
      </c>
      <c r="X115" s="6">
        <f t="shared" si="35"/>
        <v>1740</v>
      </c>
      <c r="AD115" s="5" t="s">
        <v>1953</v>
      </c>
      <c r="AE115" s="10" t="s">
        <v>1915</v>
      </c>
    </row>
    <row r="116" ht="20.1" customHeight="1" spans="1:31">
      <c r="A116" s="6">
        <f t="shared" si="23"/>
        <v>342</v>
      </c>
      <c r="B116" s="6">
        <v>42</v>
      </c>
      <c r="D116" s="6">
        <v>8</v>
      </c>
      <c r="E116" s="6">
        <v>1.25</v>
      </c>
      <c r="F116" s="6">
        <f t="shared" si="31"/>
        <v>336000</v>
      </c>
      <c r="G116" s="6">
        <f t="shared" si="37"/>
        <v>5000</v>
      </c>
      <c r="H116" s="6">
        <f t="shared" si="37"/>
        <v>1500</v>
      </c>
      <c r="I116" s="6">
        <f t="shared" si="37"/>
        <v>1500</v>
      </c>
      <c r="Q116" s="6">
        <f t="shared" si="24"/>
        <v>156</v>
      </c>
      <c r="R116" s="6" t="s">
        <v>1908</v>
      </c>
      <c r="S116" s="6">
        <v>1</v>
      </c>
      <c r="T116" s="6">
        <f t="shared" si="36"/>
        <v>56</v>
      </c>
      <c r="U116" s="6">
        <f t="shared" si="32"/>
        <v>60900</v>
      </c>
      <c r="V116" s="6">
        <f t="shared" si="33"/>
        <v>5800</v>
      </c>
      <c r="W116" s="6">
        <f t="shared" si="34"/>
        <v>1740</v>
      </c>
      <c r="X116" s="6">
        <f t="shared" si="35"/>
        <v>1740</v>
      </c>
      <c r="AD116" s="5" t="s">
        <v>1956</v>
      </c>
      <c r="AE116" s="10" t="s">
        <v>1915</v>
      </c>
    </row>
    <row r="117" ht="20.1" customHeight="1" spans="1:31">
      <c r="A117" s="6">
        <f t="shared" si="23"/>
        <v>343</v>
      </c>
      <c r="B117" s="6">
        <v>43</v>
      </c>
      <c r="D117" s="6">
        <v>8</v>
      </c>
      <c r="E117" s="6">
        <v>1.25</v>
      </c>
      <c r="F117" s="6">
        <f t="shared" si="31"/>
        <v>344400</v>
      </c>
      <c r="G117" s="6">
        <f t="shared" si="37"/>
        <v>5125</v>
      </c>
      <c r="H117" s="6">
        <f t="shared" si="37"/>
        <v>1538</v>
      </c>
      <c r="I117" s="6">
        <f t="shared" si="37"/>
        <v>1538</v>
      </c>
      <c r="Q117" s="6">
        <f t="shared" si="24"/>
        <v>157</v>
      </c>
      <c r="R117" s="6" t="s">
        <v>1909</v>
      </c>
      <c r="S117" s="6">
        <v>1</v>
      </c>
      <c r="T117" s="6">
        <f t="shared" si="36"/>
        <v>57</v>
      </c>
      <c r="U117" s="6">
        <f t="shared" si="32"/>
        <v>61950</v>
      </c>
      <c r="V117" s="6">
        <f t="shared" si="33"/>
        <v>5900</v>
      </c>
      <c r="W117" s="6">
        <f t="shared" si="34"/>
        <v>1770</v>
      </c>
      <c r="X117" s="6">
        <f t="shared" si="35"/>
        <v>1770</v>
      </c>
      <c r="AD117" s="5" t="s">
        <v>1957</v>
      </c>
      <c r="AE117" s="10" t="s">
        <v>1970</v>
      </c>
    </row>
    <row r="118" ht="20.1" customHeight="1" spans="1:31">
      <c r="A118" s="6">
        <f t="shared" si="23"/>
        <v>344</v>
      </c>
      <c r="B118" s="6">
        <v>44</v>
      </c>
      <c r="D118" s="6">
        <v>8</v>
      </c>
      <c r="E118" s="6">
        <v>1.25</v>
      </c>
      <c r="F118" s="6">
        <f t="shared" si="31"/>
        <v>352800</v>
      </c>
      <c r="G118" s="6">
        <f t="shared" si="37"/>
        <v>5250</v>
      </c>
      <c r="H118" s="6">
        <f t="shared" si="37"/>
        <v>1575</v>
      </c>
      <c r="I118" s="6">
        <f t="shared" si="37"/>
        <v>1575</v>
      </c>
      <c r="Q118" s="6">
        <f t="shared" si="24"/>
        <v>157</v>
      </c>
      <c r="R118" s="6" t="s">
        <v>1910</v>
      </c>
      <c r="S118" s="6">
        <v>1</v>
      </c>
      <c r="T118" s="6">
        <f t="shared" si="36"/>
        <v>57</v>
      </c>
      <c r="U118" s="6">
        <f t="shared" si="32"/>
        <v>61950</v>
      </c>
      <c r="V118" s="6">
        <f t="shared" si="33"/>
        <v>5900</v>
      </c>
      <c r="W118" s="6">
        <f t="shared" si="34"/>
        <v>1770</v>
      </c>
      <c r="X118" s="6">
        <f t="shared" si="35"/>
        <v>1770</v>
      </c>
      <c r="AD118" s="5" t="s">
        <v>1958</v>
      </c>
      <c r="AE118" s="10" t="s">
        <v>1971</v>
      </c>
    </row>
    <row r="119" ht="20.1" customHeight="1" spans="1:24">
      <c r="A119" s="6">
        <f t="shared" si="23"/>
        <v>345</v>
      </c>
      <c r="B119" s="6">
        <v>45</v>
      </c>
      <c r="D119" s="6">
        <v>8</v>
      </c>
      <c r="E119" s="6">
        <v>1.25</v>
      </c>
      <c r="F119" s="6">
        <f t="shared" si="31"/>
        <v>361200</v>
      </c>
      <c r="G119" s="6">
        <f t="shared" si="37"/>
        <v>5375</v>
      </c>
      <c r="H119" s="6">
        <f t="shared" si="37"/>
        <v>1613</v>
      </c>
      <c r="I119" s="6">
        <f t="shared" si="37"/>
        <v>1613</v>
      </c>
      <c r="Q119" s="6">
        <f t="shared" si="24"/>
        <v>357</v>
      </c>
      <c r="R119" s="6" t="s">
        <v>1911</v>
      </c>
      <c r="S119" s="6">
        <v>3</v>
      </c>
      <c r="T119" s="6">
        <f t="shared" si="36"/>
        <v>57</v>
      </c>
      <c r="U119" s="6">
        <f t="shared" si="32"/>
        <v>495600</v>
      </c>
      <c r="V119" s="6">
        <f t="shared" si="33"/>
        <v>7375</v>
      </c>
      <c r="W119" s="6">
        <f t="shared" si="34"/>
        <v>2213</v>
      </c>
      <c r="X119" s="6">
        <f t="shared" si="35"/>
        <v>2213</v>
      </c>
    </row>
    <row r="120" ht="20.1" customHeight="1" spans="1:24">
      <c r="A120" s="6">
        <f t="shared" si="23"/>
        <v>346</v>
      </c>
      <c r="B120" s="6">
        <v>46</v>
      </c>
      <c r="D120" s="6">
        <v>8</v>
      </c>
      <c r="E120" s="6">
        <v>1.25</v>
      </c>
      <c r="F120" s="6">
        <f t="shared" si="31"/>
        <v>369600</v>
      </c>
      <c r="G120" s="6">
        <f t="shared" si="37"/>
        <v>5500</v>
      </c>
      <c r="H120" s="6">
        <f t="shared" si="37"/>
        <v>1650</v>
      </c>
      <c r="I120" s="6">
        <f t="shared" si="37"/>
        <v>1650</v>
      </c>
      <c r="Q120" s="6">
        <f t="shared" si="24"/>
        <v>158</v>
      </c>
      <c r="R120" s="6" t="s">
        <v>1912</v>
      </c>
      <c r="S120" s="6">
        <v>1</v>
      </c>
      <c r="T120" s="6">
        <f t="shared" si="36"/>
        <v>58</v>
      </c>
      <c r="U120" s="6">
        <f t="shared" si="32"/>
        <v>63000</v>
      </c>
      <c r="V120" s="6">
        <f t="shared" si="33"/>
        <v>6000</v>
      </c>
      <c r="W120" s="6">
        <f t="shared" si="34"/>
        <v>1800</v>
      </c>
      <c r="X120" s="6">
        <f t="shared" si="35"/>
        <v>1800</v>
      </c>
    </row>
    <row r="121" ht="20.1" customHeight="1" spans="1:24">
      <c r="A121" s="6">
        <f t="shared" si="23"/>
        <v>347</v>
      </c>
      <c r="B121" s="6">
        <v>47</v>
      </c>
      <c r="D121" s="6">
        <v>8</v>
      </c>
      <c r="E121" s="6">
        <v>1.25</v>
      </c>
      <c r="F121" s="6">
        <f t="shared" si="31"/>
        <v>378000</v>
      </c>
      <c r="G121" s="6">
        <f t="shared" si="37"/>
        <v>5625</v>
      </c>
      <c r="H121" s="6">
        <f t="shared" si="37"/>
        <v>1688</v>
      </c>
      <c r="I121" s="6">
        <f t="shared" si="37"/>
        <v>1688</v>
      </c>
      <c r="Q121" s="6">
        <f t="shared" si="24"/>
        <v>158</v>
      </c>
      <c r="R121" s="6" t="s">
        <v>1913</v>
      </c>
      <c r="S121" s="6">
        <v>1</v>
      </c>
      <c r="T121" s="6">
        <f t="shared" si="36"/>
        <v>58</v>
      </c>
      <c r="U121" s="6">
        <f t="shared" si="32"/>
        <v>63000</v>
      </c>
      <c r="V121" s="6">
        <f t="shared" si="33"/>
        <v>6000</v>
      </c>
      <c r="W121" s="6">
        <f t="shared" si="34"/>
        <v>1800</v>
      </c>
      <c r="X121" s="6">
        <f t="shared" si="35"/>
        <v>1800</v>
      </c>
    </row>
    <row r="122" ht="20.1" customHeight="1" spans="1:24">
      <c r="A122" s="6">
        <f t="shared" si="23"/>
        <v>348</v>
      </c>
      <c r="B122" s="6">
        <v>48</v>
      </c>
      <c r="D122" s="6">
        <v>8</v>
      </c>
      <c r="E122" s="6">
        <v>1.25</v>
      </c>
      <c r="F122" s="6">
        <f t="shared" si="31"/>
        <v>386400</v>
      </c>
      <c r="G122" s="6">
        <f t="shared" si="37"/>
        <v>5750</v>
      </c>
      <c r="H122" s="6">
        <f t="shared" si="37"/>
        <v>1725</v>
      </c>
      <c r="I122" s="6">
        <f t="shared" si="37"/>
        <v>1725</v>
      </c>
      <c r="Q122" s="6">
        <f t="shared" si="24"/>
        <v>158</v>
      </c>
      <c r="R122" s="6" t="s">
        <v>1914</v>
      </c>
      <c r="S122" s="6">
        <v>1</v>
      </c>
      <c r="T122" s="6">
        <f t="shared" si="36"/>
        <v>58</v>
      </c>
      <c r="U122" s="6">
        <f t="shared" si="32"/>
        <v>63000</v>
      </c>
      <c r="V122" s="6">
        <f t="shared" si="33"/>
        <v>6000</v>
      </c>
      <c r="W122" s="6">
        <f t="shared" si="34"/>
        <v>1800</v>
      </c>
      <c r="X122" s="6">
        <f t="shared" si="35"/>
        <v>1800</v>
      </c>
    </row>
    <row r="123" ht="20.1" customHeight="1" spans="1:24">
      <c r="A123" s="6">
        <f t="shared" si="23"/>
        <v>349</v>
      </c>
      <c r="B123" s="6">
        <v>49</v>
      </c>
      <c r="D123" s="6">
        <v>8</v>
      </c>
      <c r="E123" s="6">
        <v>1.25</v>
      </c>
      <c r="F123" s="6">
        <f t="shared" si="31"/>
        <v>394800</v>
      </c>
      <c r="G123" s="6">
        <f t="shared" si="37"/>
        <v>5875</v>
      </c>
      <c r="H123" s="6">
        <f t="shared" si="37"/>
        <v>1763</v>
      </c>
      <c r="I123" s="6">
        <f t="shared" si="37"/>
        <v>1763</v>
      </c>
      <c r="Q123" s="6">
        <f t="shared" si="24"/>
        <v>159</v>
      </c>
      <c r="R123" s="6" t="s">
        <v>1916</v>
      </c>
      <c r="S123" s="6">
        <v>1</v>
      </c>
      <c r="T123" s="6">
        <f t="shared" si="36"/>
        <v>59</v>
      </c>
      <c r="U123" s="6">
        <f t="shared" si="32"/>
        <v>64050</v>
      </c>
      <c r="V123" s="6">
        <f t="shared" si="33"/>
        <v>6100</v>
      </c>
      <c r="W123" s="6">
        <f t="shared" si="34"/>
        <v>1830</v>
      </c>
      <c r="X123" s="6">
        <f t="shared" si="35"/>
        <v>1830</v>
      </c>
    </row>
    <row r="124" ht="20.1" customHeight="1" spans="1:24">
      <c r="A124" s="6">
        <f t="shared" si="23"/>
        <v>350</v>
      </c>
      <c r="B124" s="6">
        <v>50</v>
      </c>
      <c r="D124" s="6">
        <v>8</v>
      </c>
      <c r="E124" s="6">
        <v>1.25</v>
      </c>
      <c r="F124" s="6">
        <f t="shared" si="31"/>
        <v>403200</v>
      </c>
      <c r="G124" s="6">
        <f t="shared" si="37"/>
        <v>6000</v>
      </c>
      <c r="H124" s="6">
        <f t="shared" si="37"/>
        <v>1800</v>
      </c>
      <c r="I124" s="6">
        <f t="shared" si="37"/>
        <v>1800</v>
      </c>
      <c r="Q124" s="6">
        <f t="shared" si="24"/>
        <v>159</v>
      </c>
      <c r="R124" s="6" t="s">
        <v>1917</v>
      </c>
      <c r="S124" s="6">
        <v>1</v>
      </c>
      <c r="T124" s="6">
        <f t="shared" si="36"/>
        <v>59</v>
      </c>
      <c r="U124" s="6">
        <f t="shared" si="32"/>
        <v>64050</v>
      </c>
      <c r="V124" s="6">
        <f t="shared" si="33"/>
        <v>6100</v>
      </c>
      <c r="W124" s="6">
        <f t="shared" si="34"/>
        <v>1830</v>
      </c>
      <c r="X124" s="6">
        <f t="shared" si="35"/>
        <v>1830</v>
      </c>
    </row>
    <row r="125" ht="20.1" customHeight="1" spans="1:24">
      <c r="A125" s="6">
        <f t="shared" si="23"/>
        <v>351</v>
      </c>
      <c r="B125" s="6">
        <v>51</v>
      </c>
      <c r="D125" s="6">
        <v>8</v>
      </c>
      <c r="E125" s="6">
        <v>1.25</v>
      </c>
      <c r="F125" s="6">
        <f t="shared" si="31"/>
        <v>445200</v>
      </c>
      <c r="G125" s="6">
        <f t="shared" si="37"/>
        <v>6625</v>
      </c>
      <c r="H125" s="6">
        <f t="shared" si="37"/>
        <v>1988</v>
      </c>
      <c r="I125" s="6">
        <f t="shared" si="37"/>
        <v>1988</v>
      </c>
      <c r="Q125" s="6">
        <f t="shared" si="24"/>
        <v>159</v>
      </c>
      <c r="R125" s="6" t="s">
        <v>1918</v>
      </c>
      <c r="S125" s="6">
        <v>1</v>
      </c>
      <c r="T125" s="6">
        <f t="shared" si="36"/>
        <v>59</v>
      </c>
      <c r="U125" s="6">
        <f t="shared" si="32"/>
        <v>64050</v>
      </c>
      <c r="V125" s="6">
        <f t="shared" si="33"/>
        <v>6100</v>
      </c>
      <c r="W125" s="6">
        <f t="shared" si="34"/>
        <v>1830</v>
      </c>
      <c r="X125" s="6">
        <f t="shared" si="35"/>
        <v>1830</v>
      </c>
    </row>
    <row r="126" ht="20.1" customHeight="1" spans="1:24">
      <c r="A126" s="6">
        <f t="shared" si="23"/>
        <v>352</v>
      </c>
      <c r="B126" s="6">
        <v>52</v>
      </c>
      <c r="D126" s="6">
        <v>8</v>
      </c>
      <c r="E126" s="6">
        <v>1.25</v>
      </c>
      <c r="F126" s="6">
        <f t="shared" si="31"/>
        <v>453600</v>
      </c>
      <c r="G126" s="6">
        <f t="shared" si="37"/>
        <v>6750</v>
      </c>
      <c r="H126" s="6">
        <f t="shared" si="37"/>
        <v>2025</v>
      </c>
      <c r="I126" s="6">
        <f t="shared" si="37"/>
        <v>2025</v>
      </c>
      <c r="Q126" s="6">
        <f t="shared" si="24"/>
        <v>160</v>
      </c>
      <c r="R126" s="6" t="s">
        <v>1920</v>
      </c>
      <c r="S126" s="6">
        <v>1</v>
      </c>
      <c r="T126" s="6">
        <f t="shared" si="36"/>
        <v>60</v>
      </c>
      <c r="U126" s="6">
        <f t="shared" si="32"/>
        <v>65100</v>
      </c>
      <c r="V126" s="6">
        <f t="shared" si="33"/>
        <v>6200</v>
      </c>
      <c r="W126" s="6">
        <f t="shared" si="34"/>
        <v>1860</v>
      </c>
      <c r="X126" s="6">
        <f t="shared" si="35"/>
        <v>1860</v>
      </c>
    </row>
    <row r="127" ht="20.1" customHeight="1" spans="1:24">
      <c r="A127" s="6">
        <f t="shared" si="23"/>
        <v>353</v>
      </c>
      <c r="B127" s="6">
        <v>53</v>
      </c>
      <c r="D127" s="6">
        <v>8</v>
      </c>
      <c r="E127" s="6">
        <v>1.25</v>
      </c>
      <c r="F127" s="6">
        <f t="shared" si="31"/>
        <v>462000</v>
      </c>
      <c r="G127" s="6">
        <f t="shared" si="37"/>
        <v>6875</v>
      </c>
      <c r="H127" s="6">
        <f t="shared" si="37"/>
        <v>2063</v>
      </c>
      <c r="I127" s="6">
        <f t="shared" si="37"/>
        <v>2063</v>
      </c>
      <c r="Q127" s="6">
        <f t="shared" si="24"/>
        <v>160</v>
      </c>
      <c r="R127" s="6" t="s">
        <v>1921</v>
      </c>
      <c r="S127" s="6">
        <v>1</v>
      </c>
      <c r="T127" s="6">
        <f t="shared" si="36"/>
        <v>60</v>
      </c>
      <c r="U127" s="6">
        <f t="shared" si="32"/>
        <v>65100</v>
      </c>
      <c r="V127" s="6">
        <f t="shared" si="33"/>
        <v>6200</v>
      </c>
      <c r="W127" s="6">
        <f t="shared" si="34"/>
        <v>1860</v>
      </c>
      <c r="X127" s="6">
        <f t="shared" si="35"/>
        <v>1860</v>
      </c>
    </row>
    <row r="128" ht="20.1" customHeight="1" spans="1:24">
      <c r="A128" s="6">
        <f t="shared" si="23"/>
        <v>354</v>
      </c>
      <c r="B128" s="6">
        <v>54</v>
      </c>
      <c r="D128" s="6">
        <v>8</v>
      </c>
      <c r="E128" s="6">
        <v>1.25</v>
      </c>
      <c r="F128" s="6">
        <f t="shared" si="31"/>
        <v>470400</v>
      </c>
      <c r="G128" s="6">
        <f t="shared" si="37"/>
        <v>7000</v>
      </c>
      <c r="H128" s="6">
        <f t="shared" si="37"/>
        <v>2100</v>
      </c>
      <c r="I128" s="6">
        <f t="shared" si="37"/>
        <v>2100</v>
      </c>
      <c r="Q128" s="6">
        <f t="shared" si="24"/>
        <v>160</v>
      </c>
      <c r="R128" s="6" t="s">
        <v>1922</v>
      </c>
      <c r="S128" s="6">
        <v>1</v>
      </c>
      <c r="T128" s="6">
        <v>60</v>
      </c>
      <c r="U128" s="6">
        <f t="shared" si="32"/>
        <v>65100</v>
      </c>
      <c r="V128" s="6">
        <f t="shared" si="33"/>
        <v>6200</v>
      </c>
      <c r="W128" s="6">
        <f t="shared" si="34"/>
        <v>1860</v>
      </c>
      <c r="X128" s="6">
        <f t="shared" si="35"/>
        <v>1860</v>
      </c>
    </row>
    <row r="129" ht="20.1" customHeight="1" spans="1:24">
      <c r="A129" s="6">
        <f t="shared" si="23"/>
        <v>355</v>
      </c>
      <c r="B129" s="6">
        <v>55</v>
      </c>
      <c r="D129" s="6">
        <v>8</v>
      </c>
      <c r="E129" s="6">
        <v>1.25</v>
      </c>
      <c r="F129" s="6">
        <f t="shared" si="31"/>
        <v>478800</v>
      </c>
      <c r="G129" s="6">
        <f t="shared" si="37"/>
        <v>7125</v>
      </c>
      <c r="H129" s="6">
        <f t="shared" si="37"/>
        <v>2138</v>
      </c>
      <c r="I129" s="6">
        <f t="shared" si="37"/>
        <v>2138</v>
      </c>
      <c r="Q129" s="6">
        <f t="shared" si="24"/>
        <v>360</v>
      </c>
      <c r="R129" s="6" t="s">
        <v>1924</v>
      </c>
      <c r="S129" s="6">
        <v>3</v>
      </c>
      <c r="T129" s="6">
        <v>60</v>
      </c>
      <c r="U129" s="6">
        <f t="shared" si="32"/>
        <v>520800</v>
      </c>
      <c r="V129" s="6">
        <f t="shared" si="33"/>
        <v>7750</v>
      </c>
      <c r="W129" s="6">
        <f t="shared" si="34"/>
        <v>2325</v>
      </c>
      <c r="X129" s="6">
        <f t="shared" si="35"/>
        <v>2325</v>
      </c>
    </row>
    <row r="130" ht="20.1" customHeight="1" spans="1:24">
      <c r="A130" s="6">
        <f t="shared" si="23"/>
        <v>356</v>
      </c>
      <c r="B130" s="6">
        <v>56</v>
      </c>
      <c r="D130" s="6">
        <v>8</v>
      </c>
      <c r="E130" s="6">
        <v>1.25</v>
      </c>
      <c r="F130" s="6">
        <f t="shared" si="31"/>
        <v>487200</v>
      </c>
      <c r="G130" s="6">
        <f t="shared" si="37"/>
        <v>7250</v>
      </c>
      <c r="H130" s="6">
        <f t="shared" si="37"/>
        <v>2175</v>
      </c>
      <c r="I130" s="6">
        <f t="shared" si="37"/>
        <v>2175</v>
      </c>
      <c r="Q130" s="6"/>
      <c r="R130" s="6"/>
      <c r="S130" s="6"/>
      <c r="T130" s="6"/>
      <c r="U130" s="6"/>
      <c r="V130" s="6"/>
      <c r="W130" s="6"/>
      <c r="X130" s="6"/>
    </row>
    <row r="131" ht="20.1" customHeight="1" spans="1:24">
      <c r="A131" s="6">
        <f t="shared" si="23"/>
        <v>357</v>
      </c>
      <c r="B131" s="6">
        <v>57</v>
      </c>
      <c r="D131" s="6">
        <v>8</v>
      </c>
      <c r="E131" s="6">
        <v>1.25</v>
      </c>
      <c r="F131" s="6">
        <f t="shared" si="31"/>
        <v>495600</v>
      </c>
      <c r="G131" s="6">
        <f t="shared" si="37"/>
        <v>7375</v>
      </c>
      <c r="H131" s="6">
        <f t="shared" si="37"/>
        <v>2213</v>
      </c>
      <c r="I131" s="6">
        <f t="shared" si="37"/>
        <v>2213</v>
      </c>
      <c r="Q131" s="6"/>
      <c r="R131" s="6"/>
      <c r="S131" s="6"/>
      <c r="T131" s="6"/>
      <c r="U131" s="6"/>
      <c r="V131" s="6"/>
      <c r="W131" s="6"/>
      <c r="X131" s="6"/>
    </row>
    <row r="132" ht="20.1" customHeight="1" spans="1:24">
      <c r="A132" s="6">
        <f t="shared" si="23"/>
        <v>358</v>
      </c>
      <c r="B132" s="6">
        <v>58</v>
      </c>
      <c r="D132" s="6">
        <v>8</v>
      </c>
      <c r="E132" s="6">
        <v>1.25</v>
      </c>
      <c r="F132" s="6">
        <f t="shared" si="31"/>
        <v>504000</v>
      </c>
      <c r="G132" s="6">
        <f t="shared" si="37"/>
        <v>7500</v>
      </c>
      <c r="H132" s="6">
        <f t="shared" si="37"/>
        <v>2250</v>
      </c>
      <c r="I132" s="6">
        <f t="shared" si="37"/>
        <v>2250</v>
      </c>
      <c r="Q132" s="6"/>
      <c r="R132" s="6"/>
      <c r="S132" s="6"/>
      <c r="T132" s="6"/>
      <c r="U132" s="6"/>
      <c r="V132" s="6"/>
      <c r="W132" s="6"/>
      <c r="X132" s="6"/>
    </row>
    <row r="133" ht="20.1" customHeight="1" spans="1:24">
      <c r="A133" s="6">
        <f t="shared" si="23"/>
        <v>359</v>
      </c>
      <c r="B133" s="6">
        <v>59</v>
      </c>
      <c r="D133" s="6">
        <v>8</v>
      </c>
      <c r="E133" s="6">
        <v>1.25</v>
      </c>
      <c r="F133" s="6">
        <f t="shared" si="31"/>
        <v>512400</v>
      </c>
      <c r="G133" s="6">
        <f t="shared" si="37"/>
        <v>7625</v>
      </c>
      <c r="H133" s="6">
        <f t="shared" si="37"/>
        <v>2288</v>
      </c>
      <c r="I133" s="6">
        <f t="shared" si="37"/>
        <v>2288</v>
      </c>
      <c r="Q133" s="6"/>
      <c r="R133" s="6"/>
      <c r="S133" s="6"/>
      <c r="T133" s="6"/>
      <c r="U133" s="6"/>
      <c r="V133" s="6"/>
      <c r="W133" s="6"/>
      <c r="X133" s="6"/>
    </row>
    <row r="134" ht="20.1" customHeight="1" spans="1:24">
      <c r="A134" s="6">
        <f t="shared" si="23"/>
        <v>360</v>
      </c>
      <c r="B134" s="6">
        <v>60</v>
      </c>
      <c r="D134" s="6">
        <v>8</v>
      </c>
      <c r="E134" s="6">
        <v>1.25</v>
      </c>
      <c r="F134" s="6">
        <f t="shared" si="31"/>
        <v>520800</v>
      </c>
      <c r="G134" s="6">
        <f t="shared" si="37"/>
        <v>7750</v>
      </c>
      <c r="H134" s="6">
        <f t="shared" si="37"/>
        <v>2325</v>
      </c>
      <c r="I134" s="6">
        <f t="shared" si="37"/>
        <v>2325</v>
      </c>
      <c r="Q134" s="6"/>
      <c r="R134" s="6"/>
      <c r="S134" s="6"/>
      <c r="T134" s="6"/>
      <c r="U134" s="6"/>
      <c r="V134" s="6"/>
      <c r="W134" s="6"/>
      <c r="X134" s="6"/>
    </row>
    <row r="135" ht="20.1" customHeight="1" spans="1:24">
      <c r="A135" s="6">
        <f t="shared" si="23"/>
        <v>361</v>
      </c>
      <c r="B135" s="6">
        <v>61</v>
      </c>
      <c r="D135" s="6">
        <v>8</v>
      </c>
      <c r="E135" s="6">
        <v>1.25</v>
      </c>
      <c r="F135" s="6">
        <f t="shared" si="31"/>
        <v>529200</v>
      </c>
      <c r="G135" s="6">
        <f t="shared" ref="G135:I144" si="38">ROUND($E135*G62,0)</f>
        <v>7875</v>
      </c>
      <c r="H135" s="6">
        <f t="shared" si="38"/>
        <v>2363</v>
      </c>
      <c r="I135" s="6">
        <f t="shared" si="38"/>
        <v>2363</v>
      </c>
      <c r="Q135" s="6"/>
      <c r="R135" s="6"/>
      <c r="S135" s="6"/>
      <c r="T135" s="6"/>
      <c r="U135" s="6"/>
      <c r="V135" s="6"/>
      <c r="W135" s="6"/>
      <c r="X135" s="6"/>
    </row>
    <row r="136" ht="20.1" customHeight="1" spans="1:24">
      <c r="A136" s="6">
        <f t="shared" si="23"/>
        <v>362</v>
      </c>
      <c r="B136" s="6">
        <v>62</v>
      </c>
      <c r="D136" s="6">
        <v>8</v>
      </c>
      <c r="E136" s="6">
        <v>1.25</v>
      </c>
      <c r="F136" s="6">
        <f t="shared" si="31"/>
        <v>537600</v>
      </c>
      <c r="G136" s="6">
        <f t="shared" si="38"/>
        <v>8000</v>
      </c>
      <c r="H136" s="6">
        <f t="shared" si="38"/>
        <v>2400</v>
      </c>
      <c r="I136" s="6">
        <f t="shared" si="38"/>
        <v>2400</v>
      </c>
      <c r="Q136" s="6"/>
      <c r="R136" s="6"/>
      <c r="S136" s="6"/>
      <c r="T136" s="6"/>
      <c r="U136" s="6"/>
      <c r="V136" s="6"/>
      <c r="W136" s="6"/>
      <c r="X136" s="6"/>
    </row>
    <row r="137" ht="20.1" customHeight="1" spans="1:24">
      <c r="A137" s="6">
        <f t="shared" si="23"/>
        <v>363</v>
      </c>
      <c r="B137" s="6">
        <v>63</v>
      </c>
      <c r="D137" s="6">
        <v>8</v>
      </c>
      <c r="E137" s="6">
        <v>1.25</v>
      </c>
      <c r="F137" s="6">
        <f t="shared" si="31"/>
        <v>546000</v>
      </c>
      <c r="G137" s="6">
        <f t="shared" si="38"/>
        <v>8125</v>
      </c>
      <c r="H137" s="6">
        <f t="shared" si="38"/>
        <v>2438</v>
      </c>
      <c r="I137" s="6">
        <f t="shared" si="38"/>
        <v>2438</v>
      </c>
      <c r="Q137" s="6"/>
      <c r="R137" s="6"/>
      <c r="S137" s="6"/>
      <c r="T137" s="6"/>
      <c r="U137" s="6"/>
      <c r="V137" s="6"/>
      <c r="W137" s="6"/>
      <c r="X137" s="6"/>
    </row>
    <row r="138" ht="20.1" customHeight="1" spans="1:24">
      <c r="A138" s="6">
        <f t="shared" si="23"/>
        <v>364</v>
      </c>
      <c r="B138" s="6">
        <v>64</v>
      </c>
      <c r="D138" s="6">
        <v>8</v>
      </c>
      <c r="E138" s="6">
        <v>1.25</v>
      </c>
      <c r="F138" s="6">
        <f t="shared" si="31"/>
        <v>554400</v>
      </c>
      <c r="G138" s="6">
        <f t="shared" si="38"/>
        <v>8250</v>
      </c>
      <c r="H138" s="6">
        <f t="shared" si="38"/>
        <v>2475</v>
      </c>
      <c r="I138" s="6">
        <f t="shared" si="38"/>
        <v>2475</v>
      </c>
      <c r="Q138" s="6"/>
      <c r="R138" s="6"/>
      <c r="S138" s="6"/>
      <c r="T138" s="6"/>
      <c r="U138" s="6"/>
      <c r="V138" s="6"/>
      <c r="W138" s="6"/>
      <c r="X138" s="6"/>
    </row>
    <row r="139" ht="20.1" customHeight="1" spans="1:24">
      <c r="A139" s="6">
        <f t="shared" si="23"/>
        <v>365</v>
      </c>
      <c r="B139" s="6">
        <v>65</v>
      </c>
      <c r="D139" s="6">
        <v>8</v>
      </c>
      <c r="E139" s="6">
        <v>1.25</v>
      </c>
      <c r="F139" s="6">
        <f t="shared" ref="F139:F144" si="39">D139*F66</f>
        <v>562800</v>
      </c>
      <c r="G139" s="6">
        <f t="shared" si="38"/>
        <v>8375</v>
      </c>
      <c r="H139" s="6">
        <f t="shared" si="38"/>
        <v>2513</v>
      </c>
      <c r="I139" s="6">
        <f t="shared" si="38"/>
        <v>2513</v>
      </c>
      <c r="Q139" s="6"/>
      <c r="R139" s="6"/>
      <c r="S139" s="6"/>
      <c r="T139" s="6"/>
      <c r="U139" s="6"/>
      <c r="V139" s="6"/>
      <c r="W139" s="6"/>
      <c r="X139" s="6"/>
    </row>
    <row r="140" ht="20.1" customHeight="1" spans="1:24">
      <c r="A140" s="6">
        <f t="shared" ref="A140:A144" si="40">B140+300</f>
        <v>366</v>
      </c>
      <c r="B140" s="6">
        <v>66</v>
      </c>
      <c r="D140" s="6">
        <v>8</v>
      </c>
      <c r="E140" s="6">
        <v>1.25</v>
      </c>
      <c r="F140" s="6">
        <f t="shared" si="39"/>
        <v>571200</v>
      </c>
      <c r="G140" s="6">
        <f t="shared" si="38"/>
        <v>8500</v>
      </c>
      <c r="H140" s="6">
        <f t="shared" si="38"/>
        <v>2550</v>
      </c>
      <c r="I140" s="6">
        <f t="shared" si="38"/>
        <v>2550</v>
      </c>
      <c r="Q140" s="6"/>
      <c r="R140" s="6"/>
      <c r="S140" s="6"/>
      <c r="T140" s="6"/>
      <c r="U140" s="6"/>
      <c r="V140" s="6"/>
      <c r="W140" s="6"/>
      <c r="X140" s="6"/>
    </row>
    <row r="141" ht="20.1" customHeight="1" spans="1:24">
      <c r="A141" s="6">
        <f t="shared" si="40"/>
        <v>367</v>
      </c>
      <c r="B141" s="6">
        <v>67</v>
      </c>
      <c r="D141" s="6">
        <v>8</v>
      </c>
      <c r="E141" s="6">
        <v>1.25</v>
      </c>
      <c r="F141" s="6">
        <f t="shared" si="39"/>
        <v>579600</v>
      </c>
      <c r="G141" s="6">
        <f t="shared" si="38"/>
        <v>8625</v>
      </c>
      <c r="H141" s="6">
        <f t="shared" si="38"/>
        <v>2588</v>
      </c>
      <c r="I141" s="6">
        <f t="shared" si="38"/>
        <v>2588</v>
      </c>
      <c r="Q141" s="6"/>
      <c r="R141" s="6"/>
      <c r="S141" s="6"/>
      <c r="T141" s="6"/>
      <c r="U141" s="6"/>
      <c r="V141" s="6"/>
      <c r="W141" s="6"/>
      <c r="X141" s="6"/>
    </row>
    <row r="142" ht="20.1" customHeight="1" spans="1:24">
      <c r="A142" s="6">
        <f t="shared" si="40"/>
        <v>368</v>
      </c>
      <c r="B142" s="6">
        <v>68</v>
      </c>
      <c r="D142" s="6">
        <v>8</v>
      </c>
      <c r="E142" s="6">
        <v>1.25</v>
      </c>
      <c r="F142" s="6">
        <f t="shared" si="39"/>
        <v>588000</v>
      </c>
      <c r="G142" s="6">
        <f t="shared" si="38"/>
        <v>8750</v>
      </c>
      <c r="H142" s="6">
        <f t="shared" si="38"/>
        <v>2625</v>
      </c>
      <c r="I142" s="6">
        <f t="shared" si="38"/>
        <v>2625</v>
      </c>
      <c r="Q142" s="6"/>
      <c r="R142" s="6"/>
      <c r="S142" s="6"/>
      <c r="T142" s="6"/>
      <c r="U142" s="6"/>
      <c r="V142" s="6"/>
      <c r="W142" s="6"/>
      <c r="X142" s="6"/>
    </row>
    <row r="143" ht="20.1" customHeight="1" spans="1:24">
      <c r="A143" s="6">
        <f t="shared" si="40"/>
        <v>369</v>
      </c>
      <c r="B143" s="6">
        <v>69</v>
      </c>
      <c r="D143" s="6">
        <v>8</v>
      </c>
      <c r="E143" s="6">
        <v>1.25</v>
      </c>
      <c r="F143" s="6">
        <f t="shared" si="39"/>
        <v>596400</v>
      </c>
      <c r="G143" s="6">
        <f t="shared" si="38"/>
        <v>8875</v>
      </c>
      <c r="H143" s="6">
        <f t="shared" si="38"/>
        <v>2663</v>
      </c>
      <c r="I143" s="6">
        <f t="shared" si="38"/>
        <v>2663</v>
      </c>
      <c r="Q143" s="6"/>
      <c r="R143" s="6"/>
      <c r="S143" s="6"/>
      <c r="T143" s="6"/>
      <c r="U143" s="6"/>
      <c r="V143" s="6"/>
      <c r="W143" s="6"/>
      <c r="X143" s="6"/>
    </row>
    <row r="144" ht="20.1" customHeight="1" spans="1:24">
      <c r="A144" s="6">
        <f t="shared" si="40"/>
        <v>370</v>
      </c>
      <c r="B144" s="6">
        <v>70</v>
      </c>
      <c r="D144" s="6">
        <v>8</v>
      </c>
      <c r="E144" s="6">
        <v>1.25</v>
      </c>
      <c r="F144" s="6">
        <f t="shared" si="39"/>
        <v>604800</v>
      </c>
      <c r="G144" s="6">
        <f t="shared" si="38"/>
        <v>9000</v>
      </c>
      <c r="H144" s="6">
        <f t="shared" si="38"/>
        <v>2700</v>
      </c>
      <c r="I144" s="6">
        <f t="shared" si="38"/>
        <v>2700</v>
      </c>
      <c r="Q144" s="6"/>
      <c r="R144" s="6"/>
      <c r="S144" s="6"/>
      <c r="T144" s="6"/>
      <c r="U144" s="6"/>
      <c r="V144" s="6"/>
      <c r="W144" s="6"/>
      <c r="X144" s="6"/>
    </row>
    <row r="145" ht="20.1" customHeight="1" spans="17:24">
      <c r="Q145" s="6"/>
      <c r="R145" s="6"/>
      <c r="S145" s="6"/>
      <c r="T145" s="6"/>
      <c r="U145" s="6"/>
      <c r="V145" s="6"/>
      <c r="W145" s="6"/>
      <c r="X145" s="6"/>
    </row>
    <row r="146" ht="20.1" customHeight="1" spans="17:24">
      <c r="Q146" s="6"/>
      <c r="R146" s="6"/>
      <c r="S146" s="6"/>
      <c r="T146" s="6"/>
      <c r="U146" s="6"/>
      <c r="V146" s="6"/>
      <c r="W146" s="6"/>
      <c r="X146" s="6"/>
    </row>
    <row r="147" ht="20.1" customHeight="1" spans="17:24">
      <c r="Q147" s="6"/>
      <c r="R147" s="6"/>
      <c r="S147" s="6"/>
      <c r="T147" s="6"/>
      <c r="U147" s="6"/>
      <c r="V147" s="6"/>
      <c r="W147" s="6"/>
      <c r="X147" s="6"/>
    </row>
    <row r="148" ht="20.1" customHeight="1" spans="17:24">
      <c r="Q148" s="6"/>
      <c r="R148" s="6"/>
      <c r="S148" s="6"/>
      <c r="T148" s="6"/>
      <c r="U148" s="6"/>
      <c r="V148" s="6"/>
      <c r="W148" s="6"/>
      <c r="X148" s="6"/>
    </row>
    <row r="149" ht="20.1" customHeight="1" spans="17:24">
      <c r="Q149" s="6"/>
      <c r="R149" s="6"/>
      <c r="S149" s="6"/>
      <c r="T149" s="6"/>
      <c r="U149" s="6"/>
      <c r="V149" s="6"/>
      <c r="W149" s="6"/>
      <c r="X149" s="6"/>
    </row>
    <row r="150" ht="20.1" customHeight="1" spans="17:24">
      <c r="Q150" s="6"/>
      <c r="R150" s="6"/>
      <c r="S150" s="6"/>
      <c r="T150" s="6"/>
      <c r="U150" s="6"/>
      <c r="V150" s="6"/>
      <c r="W150" s="6"/>
      <c r="X150" s="6"/>
    </row>
    <row r="151" spans="17:24">
      <c r="Q151" s="6"/>
      <c r="R151" s="6"/>
      <c r="S151" s="6"/>
      <c r="T151" s="6"/>
      <c r="U151" s="6"/>
      <c r="V151" s="6"/>
      <c r="W151" s="6"/>
      <c r="X151" s="6"/>
    </row>
    <row r="152" spans="17:24">
      <c r="Q152" s="6"/>
      <c r="R152" s="6"/>
      <c r="S152" s="6"/>
      <c r="T152" s="6"/>
      <c r="U152" s="6"/>
      <c r="V152" s="6"/>
      <c r="W152" s="6"/>
      <c r="X152" s="6"/>
    </row>
    <row r="153" spans="17:24">
      <c r="Q153" s="6"/>
      <c r="R153" s="6"/>
      <c r="S153" s="6"/>
      <c r="T153" s="6"/>
      <c r="U153" s="6"/>
      <c r="V153" s="6"/>
      <c r="W153" s="6"/>
      <c r="X153" s="6"/>
    </row>
    <row r="154" spans="17:24">
      <c r="Q154" s="6"/>
      <c r="R154" s="6"/>
      <c r="S154" s="6"/>
      <c r="T154" s="6"/>
      <c r="U154" s="6"/>
      <c r="V154" s="6"/>
      <c r="W154" s="6"/>
      <c r="X154" s="6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4" customFormat="1" ht="20.1" customHeight="1"/>
    <row r="2" s="4" customFormat="1" ht="20.1" customHeight="1" spans="2:20">
      <c r="B2" s="5">
        <v>72001011</v>
      </c>
      <c r="C2" s="5" t="s">
        <v>1972</v>
      </c>
      <c r="H2" s="5">
        <v>72002011</v>
      </c>
      <c r="I2" s="5" t="s">
        <v>1973</v>
      </c>
      <c r="N2" s="5">
        <v>72003011</v>
      </c>
      <c r="O2" s="5" t="s">
        <v>1974</v>
      </c>
      <c r="S2" s="5">
        <v>72004011</v>
      </c>
      <c r="T2" s="5" t="s">
        <v>1975</v>
      </c>
    </row>
    <row r="3" s="4" customFormat="1" ht="20.1" customHeight="1" spans="9:21">
      <c r="I3" s="6" t="s">
        <v>1976</v>
      </c>
      <c r="P3" s="7" t="s">
        <v>1977</v>
      </c>
      <c r="U3" s="4" t="s">
        <v>1978</v>
      </c>
    </row>
    <row r="4" s="4" customFormat="1" ht="20.1" customHeight="1" spans="3:21">
      <c r="C4" s="6" t="s">
        <v>1689</v>
      </c>
      <c r="I4" s="6" t="s">
        <v>1979</v>
      </c>
      <c r="P4" s="7" t="s">
        <v>1980</v>
      </c>
      <c r="U4" s="4" t="s">
        <v>1981</v>
      </c>
    </row>
    <row r="5" s="4" customFormat="1" ht="20.1" customHeight="1" spans="3:21">
      <c r="C5" s="6" t="s">
        <v>94</v>
      </c>
      <c r="I5" s="6" t="s">
        <v>1982</v>
      </c>
      <c r="P5" s="4" t="s">
        <v>1983</v>
      </c>
      <c r="U5" s="4" t="s">
        <v>81</v>
      </c>
    </row>
    <row r="6" s="4" customFormat="1" ht="20.1" customHeight="1" spans="3:16">
      <c r="C6" s="6" t="s">
        <v>1984</v>
      </c>
      <c r="I6" s="6" t="s">
        <v>1700</v>
      </c>
      <c r="O6" s="6" t="s">
        <v>159</v>
      </c>
      <c r="P6" s="7" t="s">
        <v>1985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 spans="2:24">
      <c r="B11" s="5">
        <v>72001012</v>
      </c>
      <c r="C11" s="5" t="s">
        <v>1986</v>
      </c>
      <c r="H11" s="5">
        <v>72002012</v>
      </c>
      <c r="I11" s="5" t="s">
        <v>1987</v>
      </c>
      <c r="N11" s="5">
        <v>72003012</v>
      </c>
      <c r="O11" s="5" t="s">
        <v>1988</v>
      </c>
      <c r="S11" s="5">
        <v>72004012</v>
      </c>
      <c r="T11" s="5" t="s">
        <v>1989</v>
      </c>
      <c r="X11" s="4" t="s">
        <v>1990</v>
      </c>
    </row>
    <row r="12" s="4" customFormat="1" ht="20.1" customHeight="1" spans="9:21">
      <c r="I12" s="4" t="s">
        <v>1991</v>
      </c>
      <c r="O12" s="6"/>
      <c r="P12" s="8" t="s">
        <v>1992</v>
      </c>
      <c r="U12" s="4" t="s">
        <v>1993</v>
      </c>
    </row>
    <row r="13" s="4" customFormat="1" ht="20.1" customHeight="1" spans="3:21">
      <c r="C13" s="6" t="s">
        <v>1994</v>
      </c>
      <c r="O13" s="6" t="s">
        <v>1995</v>
      </c>
      <c r="P13" s="8" t="s">
        <v>1996</v>
      </c>
      <c r="U13" s="4" t="s">
        <v>159</v>
      </c>
    </row>
    <row r="14" s="4" customFormat="1" ht="20.1" customHeight="1" spans="3:21">
      <c r="C14" s="6" t="s">
        <v>1997</v>
      </c>
      <c r="O14" s="6"/>
      <c r="P14" s="7" t="s">
        <v>1998</v>
      </c>
      <c r="U14" s="4" t="s">
        <v>1999</v>
      </c>
    </row>
    <row r="15" s="4" customFormat="1" ht="20.1" customHeight="1" spans="3:21">
      <c r="C15" s="6" t="s">
        <v>2000</v>
      </c>
      <c r="P15" s="4" t="s">
        <v>2001</v>
      </c>
      <c r="U15" s="4" t="s">
        <v>2002</v>
      </c>
    </row>
    <row r="16" s="4" customFormat="1" ht="20.1" customHeight="1" spans="3:16">
      <c r="C16" s="6" t="s">
        <v>2003</v>
      </c>
      <c r="P16" s="7"/>
    </row>
    <row r="17" s="4" customFormat="1" ht="20.1" customHeight="1" spans="3:3">
      <c r="C17" s="6" t="s">
        <v>81</v>
      </c>
    </row>
    <row r="18" s="4" customFormat="1" ht="20.1" customHeight="1"/>
    <row r="19" s="4" customFormat="1" ht="20.1" customHeight="1"/>
    <row r="20" s="4" customFormat="1" ht="20.1" customHeight="1"/>
    <row r="21" s="4" customFormat="1" ht="20.1" customHeight="1" spans="2:20">
      <c r="B21" s="5">
        <v>72001013</v>
      </c>
      <c r="C21" s="5" t="s">
        <v>2004</v>
      </c>
      <c r="H21" s="5">
        <v>72002013</v>
      </c>
      <c r="I21" s="5" t="s">
        <v>2005</v>
      </c>
      <c r="M21" s="7" t="s">
        <v>2006</v>
      </c>
      <c r="N21" s="5">
        <v>72003013</v>
      </c>
      <c r="O21" s="5" t="s">
        <v>2007</v>
      </c>
      <c r="S21" s="5">
        <v>72004013</v>
      </c>
      <c r="T21" s="5" t="s">
        <v>2008</v>
      </c>
    </row>
    <row r="22" s="4" customFormat="1" ht="20.1" customHeight="1" spans="9:21">
      <c r="I22" s="6" t="s">
        <v>2009</v>
      </c>
      <c r="J22" s="8" t="s">
        <v>2010</v>
      </c>
      <c r="P22" s="7" t="s">
        <v>2011</v>
      </c>
      <c r="U22" s="4" t="s">
        <v>2012</v>
      </c>
    </row>
    <row r="23" s="4" customFormat="1" ht="20.1" customHeight="1" spans="3:21">
      <c r="C23" s="6" t="s">
        <v>2013</v>
      </c>
      <c r="I23" s="6" t="s">
        <v>1997</v>
      </c>
      <c r="O23" s="6" t="s">
        <v>2014</v>
      </c>
      <c r="P23" s="8" t="s">
        <v>2015</v>
      </c>
      <c r="U23" s="4" t="s">
        <v>2016</v>
      </c>
    </row>
    <row r="24" s="4" customFormat="1" ht="20.1" customHeight="1" spans="3:21">
      <c r="C24" s="6" t="s">
        <v>2017</v>
      </c>
      <c r="I24" s="4" t="s">
        <v>2018</v>
      </c>
      <c r="O24" s="6" t="s">
        <v>2019</v>
      </c>
      <c r="P24" s="8" t="s">
        <v>2020</v>
      </c>
      <c r="U24" s="4" t="s">
        <v>2021</v>
      </c>
    </row>
    <row r="25" s="4" customFormat="1" ht="20.1" customHeight="1" spans="3:21">
      <c r="C25" s="6" t="s">
        <v>2022</v>
      </c>
      <c r="I25" s="6" t="s">
        <v>2023</v>
      </c>
      <c r="P25" s="7" t="s">
        <v>2024</v>
      </c>
      <c r="T25" s="4" t="s">
        <v>2025</v>
      </c>
      <c r="U25" s="4" t="s">
        <v>2026</v>
      </c>
    </row>
    <row r="26" s="4" customFormat="1" ht="20.1" customHeight="1" spans="3:21">
      <c r="C26" s="6" t="s">
        <v>2023</v>
      </c>
      <c r="I26" s="6" t="s">
        <v>2027</v>
      </c>
      <c r="P26" s="4" t="s">
        <v>2028</v>
      </c>
      <c r="U26" s="7" t="s">
        <v>2028</v>
      </c>
    </row>
    <row r="27" s="4" customFormat="1" ht="20.1" customHeight="1" spans="3:21">
      <c r="C27" s="6" t="s">
        <v>2027</v>
      </c>
      <c r="P27" s="7" t="s">
        <v>2029</v>
      </c>
      <c r="U27" s="8" t="s">
        <v>2023</v>
      </c>
    </row>
    <row r="28" s="4" customFormat="1" ht="20.1" customHeight="1" spans="3:21">
      <c r="C28" s="6" t="s">
        <v>2030</v>
      </c>
      <c r="U28" s="8" t="s">
        <v>2027</v>
      </c>
    </row>
    <row r="29" s="4" customFormat="1" ht="20.1" customHeight="1"/>
    <row r="30" s="4" customFormat="1" ht="20.1" customHeight="1"/>
    <row r="31" s="4" customFormat="1" ht="20.1" customHeight="1"/>
    <row r="32" s="4" customFormat="1" ht="20.1" customHeight="1"/>
    <row r="33" s="4" customFormat="1" ht="20.1" customHeight="1"/>
    <row r="34" s="4" customFormat="1" ht="20.1" customHeight="1"/>
    <row r="35" s="4" customFormat="1" ht="20.1" customHeight="1"/>
    <row r="36" s="4" customFormat="1" ht="20.1" customHeight="1"/>
    <row r="37" s="4" customFormat="1" ht="20.1" customHeight="1"/>
    <row r="38" s="4" customFormat="1" ht="20.1" customHeight="1"/>
    <row r="39" s="4" customFormat="1" ht="20.1" customHeight="1"/>
    <row r="40" s="4" customFormat="1" ht="20.1" customHeight="1"/>
    <row r="41" s="4" customFormat="1" ht="20.1" customHeight="1"/>
    <row r="42" s="4" customFormat="1" ht="20.1" customHeight="1"/>
    <row r="43" s="4" customFormat="1" ht="20.1" customHeight="1"/>
    <row r="44" s="4" customFormat="1" ht="20.1" customHeight="1"/>
    <row r="45" s="4" customFormat="1" ht="20.1" customHeight="1"/>
    <row r="46" s="4" customFormat="1" ht="20.1" customHeight="1"/>
    <row r="47" s="4" customFormat="1" ht="20.1" customHeight="1"/>
    <row r="48" s="4" customFormat="1" ht="20.1" customHeight="1"/>
    <row r="49" s="4" customFormat="1" ht="20.1" customHeight="1"/>
    <row r="50" s="4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24"/>
  <sheetViews>
    <sheetView tabSelected="1" workbookViewId="0">
      <selection activeCell="F24" sqref="F24"/>
    </sheetView>
  </sheetViews>
  <sheetFormatPr defaultColWidth="9" defaultRowHeight="14.25" outlineLevelCol="2"/>
  <cols>
    <col min="1" max="1" width="12.875" customWidth="1"/>
    <col min="2" max="2" width="16.25" style="1" customWidth="1"/>
  </cols>
  <sheetData>
    <row r="3" spans="2:3">
      <c r="B3" s="2" t="s">
        <v>855</v>
      </c>
      <c r="C3" s="1"/>
    </row>
    <row r="4" spans="2:3">
      <c r="B4" s="2" t="s">
        <v>2031</v>
      </c>
      <c r="C4" s="1"/>
    </row>
    <row r="5" spans="2:3">
      <c r="B5" s="2" t="s">
        <v>2032</v>
      </c>
      <c r="C5" s="1"/>
    </row>
    <row r="6" spans="2:3">
      <c r="B6" s="2" t="s">
        <v>2032</v>
      </c>
      <c r="C6" s="1"/>
    </row>
    <row r="7" spans="2:3">
      <c r="B7" s="2" t="s">
        <v>2033</v>
      </c>
      <c r="C7" s="1"/>
    </row>
    <row r="8" spans="2:3">
      <c r="B8" s="2" t="s">
        <v>2034</v>
      </c>
      <c r="C8" s="1"/>
    </row>
    <row r="9" spans="2:3">
      <c r="B9" s="2" t="s">
        <v>2035</v>
      </c>
      <c r="C9" s="1"/>
    </row>
    <row r="10" spans="2:3">
      <c r="B10" s="2" t="s">
        <v>2036</v>
      </c>
      <c r="C10" s="1"/>
    </row>
    <row r="11" spans="2:3">
      <c r="B11" s="2" t="s">
        <v>2037</v>
      </c>
      <c r="C11" s="1"/>
    </row>
    <row r="12" spans="2:3">
      <c r="B12" s="2" t="s">
        <v>2037</v>
      </c>
      <c r="C12" s="1"/>
    </row>
    <row r="13" spans="2:3">
      <c r="B13" s="1" t="s">
        <v>2038</v>
      </c>
      <c r="C13" s="1"/>
    </row>
    <row r="14" spans="2:3">
      <c r="B14" s="1" t="s">
        <v>2039</v>
      </c>
      <c r="C14" s="2" t="s">
        <v>2040</v>
      </c>
    </row>
    <row r="15" spans="2:3">
      <c r="B15" s="1" t="s">
        <v>2041</v>
      </c>
      <c r="C15" s="2" t="s">
        <v>2040</v>
      </c>
    </row>
    <row r="16" spans="2:3">
      <c r="B16" s="1" t="s">
        <v>2042</v>
      </c>
      <c r="C16" s="2" t="s">
        <v>2040</v>
      </c>
    </row>
    <row r="17" spans="2:3">
      <c r="B17" s="1" t="s">
        <v>2041</v>
      </c>
      <c r="C17" s="2" t="s">
        <v>2040</v>
      </c>
    </row>
    <row r="20" spans="1:2">
      <c r="A20" t="s">
        <v>2043</v>
      </c>
      <c r="B20" s="3" t="s">
        <v>2044</v>
      </c>
    </row>
    <row r="21" spans="2:2">
      <c r="B21" s="1" t="s">
        <v>2045</v>
      </c>
    </row>
    <row r="22" spans="2:2">
      <c r="B22" s="1" t="s">
        <v>2046</v>
      </c>
    </row>
    <row r="23" spans="2:2">
      <c r="B23" s="1" t="s">
        <v>2047</v>
      </c>
    </row>
    <row r="24" spans="2:2">
      <c r="B24" s="1" t="s">
        <v>2048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5"/>
  </cols>
  <sheetData>
    <row r="1" s="4" customFormat="1" ht="20.1" customHeight="1" spans="1:7">
      <c r="A1" s="9" t="s">
        <v>25</v>
      </c>
      <c r="B1" s="9" t="s">
        <v>26</v>
      </c>
      <c r="C1" s="9" t="s">
        <v>27</v>
      </c>
      <c r="D1" s="9" t="s">
        <v>2</v>
      </c>
      <c r="E1" s="9" t="s">
        <v>3</v>
      </c>
      <c r="F1" s="9" t="s">
        <v>28</v>
      </c>
      <c r="G1" s="9" t="s">
        <v>29</v>
      </c>
    </row>
    <row r="2" s="4" customFormat="1" ht="20.1" customHeight="1" spans="1:8">
      <c r="A2" s="6">
        <v>1</v>
      </c>
      <c r="B2" s="6">
        <v>5</v>
      </c>
      <c r="C2" s="6">
        <v>5</v>
      </c>
      <c r="D2" s="6">
        <f>B2*[1]属性总表!$E$5</f>
        <v>5250</v>
      </c>
      <c r="E2" s="6">
        <f>ROUND([1]等级属性!C2*[1]属性总表!$F$5,0)</f>
        <v>500</v>
      </c>
      <c r="F2" s="6">
        <f>ROUND(C2*[1]属性总表!$G$5,0)</f>
        <v>150</v>
      </c>
      <c r="G2" s="6">
        <f>ROUND(C2*[1]属性总表!$H$5,0)</f>
        <v>150</v>
      </c>
      <c r="H2" s="6"/>
    </row>
    <row r="3" s="4" customFormat="1" ht="20.1" customHeight="1" spans="1:8">
      <c r="A3" s="6">
        <v>2</v>
      </c>
      <c r="B3" s="6">
        <f>B2+0.25</f>
        <v>5.25</v>
      </c>
      <c r="C3" s="6">
        <f>C2+0.12</f>
        <v>5.12</v>
      </c>
      <c r="D3" s="6">
        <f>B3*[1]属性总表!$E$5</f>
        <v>5512.5</v>
      </c>
      <c r="E3" s="6">
        <f>ROUND([1]等级属性!C3*[1]属性总表!$F$5,0)</f>
        <v>512</v>
      </c>
      <c r="F3" s="6">
        <f>ROUND(C3*[1]属性总表!$G$5,0)</f>
        <v>154</v>
      </c>
      <c r="G3" s="6">
        <f>ROUND(C3*[1]属性总表!$H$5,0)</f>
        <v>154</v>
      </c>
      <c r="H3" s="6">
        <f>D3-D2</f>
        <v>262.5</v>
      </c>
    </row>
    <row r="4" s="4" customFormat="1" ht="20.1" customHeight="1" spans="1:8">
      <c r="A4" s="6">
        <v>3</v>
      </c>
      <c r="B4" s="6">
        <f t="shared" ref="B4:B67" si="0">B3+0.25</f>
        <v>5.5</v>
      </c>
      <c r="C4" s="6">
        <f t="shared" ref="C4:C67" si="1">C3+0.12</f>
        <v>5.24</v>
      </c>
      <c r="D4" s="6">
        <f>B4*[1]属性总表!$E$5</f>
        <v>5775</v>
      </c>
      <c r="E4" s="6">
        <f>ROUND([1]等级属性!C4*[1]属性总表!$F$5,0)</f>
        <v>524</v>
      </c>
      <c r="F4" s="6">
        <f>ROUND(C4*[1]属性总表!$G$5,0)</f>
        <v>157</v>
      </c>
      <c r="G4" s="6">
        <f>ROUND(C4*[1]属性总表!$H$5,0)</f>
        <v>157</v>
      </c>
      <c r="H4" s="6"/>
    </row>
    <row r="5" s="4" customFormat="1" ht="20.1" customHeight="1" spans="1:7">
      <c r="A5" s="6">
        <v>4</v>
      </c>
      <c r="B5" s="6">
        <f t="shared" si="0"/>
        <v>5.75</v>
      </c>
      <c r="C5" s="6">
        <f t="shared" si="1"/>
        <v>5.36</v>
      </c>
      <c r="D5" s="6">
        <f>B5*[1]属性总表!$E$5</f>
        <v>6037.5</v>
      </c>
      <c r="E5" s="6">
        <f>ROUND([1]等级属性!C5*[1]属性总表!$F$5,0)</f>
        <v>536</v>
      </c>
      <c r="F5" s="6">
        <f>ROUND(C5*[1]属性总表!$G$5,0)</f>
        <v>161</v>
      </c>
      <c r="G5" s="6">
        <f>ROUND(C5*[1]属性总表!$H$5,0)</f>
        <v>161</v>
      </c>
    </row>
    <row r="6" s="4" customFormat="1" ht="20.1" customHeight="1" spans="1:7">
      <c r="A6" s="6">
        <v>5</v>
      </c>
      <c r="B6" s="6">
        <f t="shared" si="0"/>
        <v>6</v>
      </c>
      <c r="C6" s="6">
        <f t="shared" si="1"/>
        <v>5.48</v>
      </c>
      <c r="D6" s="6">
        <f>B6*[1]属性总表!$E$5</f>
        <v>6300</v>
      </c>
      <c r="E6" s="6">
        <f>ROUND([1]等级属性!C6*[1]属性总表!$F$5,0)</f>
        <v>548</v>
      </c>
      <c r="F6" s="6">
        <f>ROUND(C6*[1]属性总表!$G$5,0)</f>
        <v>164</v>
      </c>
      <c r="G6" s="6">
        <f>ROUND(C6*[1]属性总表!$H$5,0)</f>
        <v>164</v>
      </c>
    </row>
    <row r="7" s="4" customFormat="1" ht="20.1" customHeight="1" spans="1:7">
      <c r="A7" s="6">
        <v>6</v>
      </c>
      <c r="B7" s="6">
        <f t="shared" si="0"/>
        <v>6.25</v>
      </c>
      <c r="C7" s="6">
        <f t="shared" si="1"/>
        <v>5.6</v>
      </c>
      <c r="D7" s="6">
        <f>B7*[1]属性总表!$E$5</f>
        <v>6562.5</v>
      </c>
      <c r="E7" s="6">
        <f>ROUND([1]等级属性!C7*[1]属性总表!$F$5,0)</f>
        <v>560</v>
      </c>
      <c r="F7" s="6">
        <f>ROUND(C7*[1]属性总表!$G$5,0)</f>
        <v>168</v>
      </c>
      <c r="G7" s="6">
        <f>ROUND(C7*[1]属性总表!$H$5,0)</f>
        <v>168</v>
      </c>
    </row>
    <row r="8" s="4" customFormat="1" ht="20.1" customHeight="1" spans="1:7">
      <c r="A8" s="6">
        <v>7</v>
      </c>
      <c r="B8" s="6">
        <f t="shared" si="0"/>
        <v>6.5</v>
      </c>
      <c r="C8" s="6">
        <f t="shared" si="1"/>
        <v>5.72</v>
      </c>
      <c r="D8" s="6">
        <f>B8*[1]属性总表!$E$5</f>
        <v>6825</v>
      </c>
      <c r="E8" s="6">
        <f>ROUND([1]等级属性!C8*[1]属性总表!$F$5,0)</f>
        <v>572</v>
      </c>
      <c r="F8" s="6">
        <f>ROUND(C8*[1]属性总表!$G$5,0)</f>
        <v>172</v>
      </c>
      <c r="G8" s="6">
        <f>ROUND(C8*[1]属性总表!$H$5,0)</f>
        <v>172</v>
      </c>
    </row>
    <row r="9" s="4" customFormat="1" ht="20.1" customHeight="1" spans="1:7">
      <c r="A9" s="6">
        <v>8</v>
      </c>
      <c r="B9" s="6">
        <f t="shared" si="0"/>
        <v>6.75</v>
      </c>
      <c r="C9" s="6">
        <f t="shared" si="1"/>
        <v>5.84</v>
      </c>
      <c r="D9" s="6">
        <f>B9*[1]属性总表!$E$5</f>
        <v>7087.5</v>
      </c>
      <c r="E9" s="6">
        <f>ROUND([1]等级属性!C9*[1]属性总表!$F$5,0)</f>
        <v>584</v>
      </c>
      <c r="F9" s="6">
        <f>ROUND(C9*[1]属性总表!$G$5,0)</f>
        <v>175</v>
      </c>
      <c r="G9" s="6">
        <f>ROUND(C9*[1]属性总表!$H$5,0)</f>
        <v>175</v>
      </c>
    </row>
    <row r="10" s="4" customFormat="1" ht="20.1" customHeight="1" spans="1:7">
      <c r="A10" s="6">
        <v>9</v>
      </c>
      <c r="B10" s="6">
        <f t="shared" si="0"/>
        <v>7</v>
      </c>
      <c r="C10" s="6">
        <f t="shared" si="1"/>
        <v>5.96</v>
      </c>
      <c r="D10" s="6">
        <f>B10*[1]属性总表!$E$5</f>
        <v>7350</v>
      </c>
      <c r="E10" s="6">
        <f>ROUND([1]等级属性!C10*[1]属性总表!$F$5,0)</f>
        <v>596</v>
      </c>
      <c r="F10" s="6">
        <f>ROUND(C10*[1]属性总表!$G$5,0)</f>
        <v>179</v>
      </c>
      <c r="G10" s="6">
        <f>ROUND(C10*[1]属性总表!$H$5,0)</f>
        <v>179</v>
      </c>
    </row>
    <row r="11" s="4" customFormat="1" ht="20.1" customHeight="1" spans="1:7">
      <c r="A11" s="6">
        <v>10</v>
      </c>
      <c r="B11" s="6">
        <f t="shared" si="0"/>
        <v>7.25</v>
      </c>
      <c r="C11" s="6">
        <f t="shared" si="1"/>
        <v>6.08</v>
      </c>
      <c r="D11" s="6">
        <f>B11*[1]属性总表!$E$5</f>
        <v>7612.5</v>
      </c>
      <c r="E11" s="6">
        <f>ROUND([1]等级属性!C11*[1]属性总表!$F$5,0)</f>
        <v>608</v>
      </c>
      <c r="F11" s="6">
        <f>ROUND(C11*[1]属性总表!$G$5,0)</f>
        <v>182</v>
      </c>
      <c r="G11" s="6">
        <f>ROUND(C11*[1]属性总表!$H$5,0)</f>
        <v>182</v>
      </c>
    </row>
    <row r="12" s="4" customFormat="1" ht="20.1" customHeight="1" spans="1:7">
      <c r="A12" s="6">
        <v>11</v>
      </c>
      <c r="B12" s="6">
        <f t="shared" si="0"/>
        <v>7.5</v>
      </c>
      <c r="C12" s="6">
        <f t="shared" si="1"/>
        <v>6.2</v>
      </c>
      <c r="D12" s="6">
        <f>B12*[1]属性总表!$E$5</f>
        <v>7875</v>
      </c>
      <c r="E12" s="6">
        <f>ROUND([1]等级属性!C12*[1]属性总表!$F$5,0)</f>
        <v>620</v>
      </c>
      <c r="F12" s="6">
        <f>ROUND(C12*[1]属性总表!$G$5,0)</f>
        <v>186</v>
      </c>
      <c r="G12" s="6">
        <f>ROUND(C12*[1]属性总表!$H$5,0)</f>
        <v>186</v>
      </c>
    </row>
    <row r="13" s="4" customFormat="1" ht="20.1" customHeight="1" spans="1:7">
      <c r="A13" s="6">
        <v>12</v>
      </c>
      <c r="B13" s="6">
        <f t="shared" si="0"/>
        <v>7.75</v>
      </c>
      <c r="C13" s="6">
        <f t="shared" si="1"/>
        <v>6.32</v>
      </c>
      <c r="D13" s="6">
        <f>B13*[1]属性总表!$E$5</f>
        <v>8137.5</v>
      </c>
      <c r="E13" s="6">
        <f>ROUND([1]等级属性!C13*[1]属性总表!$F$5,0)</f>
        <v>632</v>
      </c>
      <c r="F13" s="6">
        <f>ROUND(C13*[1]属性总表!$G$5,0)</f>
        <v>190</v>
      </c>
      <c r="G13" s="6">
        <f>ROUND(C13*[1]属性总表!$H$5,0)</f>
        <v>190</v>
      </c>
    </row>
    <row r="14" s="4" customFormat="1" ht="20.1" customHeight="1" spans="1:7">
      <c r="A14" s="6">
        <v>13</v>
      </c>
      <c r="B14" s="6">
        <f t="shared" si="0"/>
        <v>8</v>
      </c>
      <c r="C14" s="6">
        <f t="shared" si="1"/>
        <v>6.44</v>
      </c>
      <c r="D14" s="6">
        <f>B14*[1]属性总表!$E$5</f>
        <v>8400</v>
      </c>
      <c r="E14" s="6">
        <f>ROUND([1]等级属性!C14*[1]属性总表!$F$5,0)</f>
        <v>644</v>
      </c>
      <c r="F14" s="6">
        <f>ROUND(C14*[1]属性总表!$G$5,0)</f>
        <v>193</v>
      </c>
      <c r="G14" s="6">
        <f>ROUND(C14*[1]属性总表!$H$5,0)</f>
        <v>193</v>
      </c>
    </row>
    <row r="15" s="4" customFormat="1" ht="20.1" customHeight="1" spans="1:7">
      <c r="A15" s="6">
        <v>14</v>
      </c>
      <c r="B15" s="6">
        <f t="shared" si="0"/>
        <v>8.25</v>
      </c>
      <c r="C15" s="6">
        <f t="shared" si="1"/>
        <v>6.56</v>
      </c>
      <c r="D15" s="6">
        <f>B15*[1]属性总表!$E$5</f>
        <v>8662.5</v>
      </c>
      <c r="E15" s="6">
        <f>ROUND([1]等级属性!C15*[1]属性总表!$F$5,0)</f>
        <v>656</v>
      </c>
      <c r="F15" s="6">
        <f>ROUND(C15*[1]属性总表!$G$5,0)</f>
        <v>197</v>
      </c>
      <c r="G15" s="6">
        <f>ROUND(C15*[1]属性总表!$H$5,0)</f>
        <v>197</v>
      </c>
    </row>
    <row r="16" s="4" customFormat="1" ht="20.1" customHeight="1" spans="1:7">
      <c r="A16" s="6">
        <v>15</v>
      </c>
      <c r="B16" s="6">
        <f t="shared" si="0"/>
        <v>8.5</v>
      </c>
      <c r="C16" s="6">
        <f t="shared" si="1"/>
        <v>6.68</v>
      </c>
      <c r="D16" s="6">
        <f>B16*[1]属性总表!$E$5</f>
        <v>8925</v>
      </c>
      <c r="E16" s="6">
        <f>ROUND([1]等级属性!C16*[1]属性总表!$F$5,0)</f>
        <v>668</v>
      </c>
      <c r="F16" s="6">
        <f>ROUND(C16*[1]属性总表!$G$5,0)</f>
        <v>200</v>
      </c>
      <c r="G16" s="6">
        <f>ROUND(C16*[1]属性总表!$H$5,0)</f>
        <v>200</v>
      </c>
    </row>
    <row r="17" s="4" customFormat="1" ht="20.1" customHeight="1" spans="1:7">
      <c r="A17" s="6">
        <v>16</v>
      </c>
      <c r="B17" s="6">
        <f t="shared" si="0"/>
        <v>8.75</v>
      </c>
      <c r="C17" s="6">
        <f t="shared" si="1"/>
        <v>6.8</v>
      </c>
      <c r="D17" s="6">
        <f>B17*[1]属性总表!$E$5</f>
        <v>9187.5</v>
      </c>
      <c r="E17" s="6">
        <f>ROUND([1]等级属性!C17*[1]属性总表!$F$5,0)</f>
        <v>680</v>
      </c>
      <c r="F17" s="6">
        <f>ROUND(C17*[1]属性总表!$G$5,0)</f>
        <v>204</v>
      </c>
      <c r="G17" s="6">
        <f>ROUND(C17*[1]属性总表!$H$5,0)</f>
        <v>204</v>
      </c>
    </row>
    <row r="18" s="4" customFormat="1" ht="20.1" customHeight="1" spans="1:7">
      <c r="A18" s="6">
        <v>17</v>
      </c>
      <c r="B18" s="6">
        <f t="shared" si="0"/>
        <v>9</v>
      </c>
      <c r="C18" s="6">
        <f t="shared" si="1"/>
        <v>6.92</v>
      </c>
      <c r="D18" s="6">
        <f>B18*[1]属性总表!$E$5</f>
        <v>9450</v>
      </c>
      <c r="E18" s="6">
        <f>ROUND([1]等级属性!C18*[1]属性总表!$F$5,0)</f>
        <v>692</v>
      </c>
      <c r="F18" s="6">
        <f>ROUND(C18*[1]属性总表!$G$5,0)</f>
        <v>208</v>
      </c>
      <c r="G18" s="6">
        <f>ROUND(C18*[1]属性总表!$H$5,0)</f>
        <v>208</v>
      </c>
    </row>
    <row r="19" s="4" customFormat="1" ht="20.1" customHeight="1" spans="1:7">
      <c r="A19" s="6">
        <v>18</v>
      </c>
      <c r="B19" s="6">
        <f t="shared" si="0"/>
        <v>9.25</v>
      </c>
      <c r="C19" s="6">
        <f t="shared" si="1"/>
        <v>7.04</v>
      </c>
      <c r="D19" s="6">
        <f>B19*[1]属性总表!$E$5</f>
        <v>9712.5</v>
      </c>
      <c r="E19" s="6">
        <f>ROUND([1]等级属性!C19*[1]属性总表!$F$5,0)</f>
        <v>704</v>
      </c>
      <c r="F19" s="6">
        <f>ROUND(C19*[1]属性总表!$G$5,0)</f>
        <v>211</v>
      </c>
      <c r="G19" s="6">
        <f>ROUND(C19*[1]属性总表!$H$5,0)</f>
        <v>211</v>
      </c>
    </row>
    <row r="20" s="4" customFormat="1" ht="20.1" customHeight="1" spans="1:7">
      <c r="A20" s="6">
        <v>19</v>
      </c>
      <c r="B20" s="6">
        <f t="shared" si="0"/>
        <v>9.5</v>
      </c>
      <c r="C20" s="6">
        <f t="shared" si="1"/>
        <v>7.16</v>
      </c>
      <c r="D20" s="6">
        <f>B20*[1]属性总表!$E$5</f>
        <v>9975</v>
      </c>
      <c r="E20" s="6">
        <f>ROUND([1]等级属性!C20*[1]属性总表!$F$5,0)</f>
        <v>716</v>
      </c>
      <c r="F20" s="6">
        <f>ROUND(C20*[1]属性总表!$G$5,0)</f>
        <v>215</v>
      </c>
      <c r="G20" s="6">
        <f>ROUND(C20*[1]属性总表!$H$5,0)</f>
        <v>215</v>
      </c>
    </row>
    <row r="21" s="4" customFormat="1" ht="20.1" customHeight="1" spans="1:7">
      <c r="A21" s="6">
        <v>20</v>
      </c>
      <c r="B21" s="6">
        <f t="shared" si="0"/>
        <v>9.75</v>
      </c>
      <c r="C21" s="6">
        <f t="shared" si="1"/>
        <v>7.28</v>
      </c>
      <c r="D21" s="6">
        <f>B21*[1]属性总表!$E$5</f>
        <v>10237.5</v>
      </c>
      <c r="E21" s="6">
        <f>ROUND([1]等级属性!C21*[1]属性总表!$F$5,0)</f>
        <v>728</v>
      </c>
      <c r="F21" s="6">
        <f>ROUND(C21*[1]属性总表!$G$5,0)</f>
        <v>218</v>
      </c>
      <c r="G21" s="6">
        <f>ROUND(C21*[1]属性总表!$H$5,0)</f>
        <v>218</v>
      </c>
    </row>
    <row r="22" s="4" customFormat="1" ht="20.1" customHeight="1" spans="1:7">
      <c r="A22" s="6">
        <v>21</v>
      </c>
      <c r="B22" s="6">
        <f t="shared" si="0"/>
        <v>10</v>
      </c>
      <c r="C22" s="6">
        <f t="shared" si="1"/>
        <v>7.4</v>
      </c>
      <c r="D22" s="6">
        <f>B22*[1]属性总表!$E$5</f>
        <v>10500</v>
      </c>
      <c r="E22" s="6">
        <f>ROUND([1]等级属性!C22*[1]属性总表!$F$5,0)</f>
        <v>740</v>
      </c>
      <c r="F22" s="6">
        <f>ROUND(C22*[1]属性总表!$G$5,0)</f>
        <v>222</v>
      </c>
      <c r="G22" s="6">
        <f>ROUND(C22*[1]属性总表!$H$5,0)</f>
        <v>222</v>
      </c>
    </row>
    <row r="23" s="4" customFormat="1" ht="20.1" customHeight="1" spans="1:7">
      <c r="A23" s="6">
        <v>22</v>
      </c>
      <c r="B23" s="6">
        <f t="shared" si="0"/>
        <v>10.25</v>
      </c>
      <c r="C23" s="6">
        <f t="shared" si="1"/>
        <v>7.52</v>
      </c>
      <c r="D23" s="6">
        <f>B23*[1]属性总表!$E$5</f>
        <v>10762.5</v>
      </c>
      <c r="E23" s="6">
        <f>ROUND([1]等级属性!C23*[1]属性总表!$F$5,0)</f>
        <v>752</v>
      </c>
      <c r="F23" s="6">
        <f>ROUND(C23*[1]属性总表!$G$5,0)</f>
        <v>226</v>
      </c>
      <c r="G23" s="6">
        <f>ROUND(C23*[1]属性总表!$H$5,0)</f>
        <v>226</v>
      </c>
    </row>
    <row r="24" s="4" customFormat="1" ht="20.1" customHeight="1" spans="1:7">
      <c r="A24" s="6">
        <v>23</v>
      </c>
      <c r="B24" s="6">
        <f t="shared" si="0"/>
        <v>10.5</v>
      </c>
      <c r="C24" s="6">
        <f t="shared" si="1"/>
        <v>7.64</v>
      </c>
      <c r="D24" s="6">
        <f>B24*[1]属性总表!$E$5</f>
        <v>11025</v>
      </c>
      <c r="E24" s="6">
        <f>ROUND([1]等级属性!C24*[1]属性总表!$F$5,0)</f>
        <v>764</v>
      </c>
      <c r="F24" s="6">
        <f>ROUND(C24*[1]属性总表!$G$5,0)</f>
        <v>229</v>
      </c>
      <c r="G24" s="6">
        <f>ROUND(C24*[1]属性总表!$H$5,0)</f>
        <v>229</v>
      </c>
    </row>
    <row r="25" s="4" customFormat="1" ht="20.1" customHeight="1" spans="1:7">
      <c r="A25" s="6">
        <v>24</v>
      </c>
      <c r="B25" s="6">
        <f t="shared" si="0"/>
        <v>10.75</v>
      </c>
      <c r="C25" s="6">
        <f t="shared" si="1"/>
        <v>7.76</v>
      </c>
      <c r="D25" s="6">
        <f>B25*[1]属性总表!$E$5</f>
        <v>11287.5</v>
      </c>
      <c r="E25" s="6">
        <f>ROUND([1]等级属性!C25*[1]属性总表!$F$5,0)</f>
        <v>776</v>
      </c>
      <c r="F25" s="6">
        <f>ROUND(C25*[1]属性总表!$G$5,0)</f>
        <v>233</v>
      </c>
      <c r="G25" s="6">
        <f>ROUND(C25*[1]属性总表!$H$5,0)</f>
        <v>233</v>
      </c>
    </row>
    <row r="26" s="4" customFormat="1" ht="20.1" customHeight="1" spans="1:7">
      <c r="A26" s="6">
        <v>25</v>
      </c>
      <c r="B26" s="6">
        <f t="shared" si="0"/>
        <v>11</v>
      </c>
      <c r="C26" s="6">
        <f t="shared" si="1"/>
        <v>7.88</v>
      </c>
      <c r="D26" s="6">
        <f>B26*[1]属性总表!$E$5</f>
        <v>11550</v>
      </c>
      <c r="E26" s="6">
        <f>ROUND([1]等级属性!C26*[1]属性总表!$F$5,0)</f>
        <v>788</v>
      </c>
      <c r="F26" s="6">
        <f>ROUND(C26*[1]属性总表!$G$5,0)</f>
        <v>236</v>
      </c>
      <c r="G26" s="6">
        <f>ROUND(C26*[1]属性总表!$H$5,0)</f>
        <v>236</v>
      </c>
    </row>
    <row r="27" s="4" customFormat="1" ht="20.1" customHeight="1" spans="1:7">
      <c r="A27" s="6">
        <v>26</v>
      </c>
      <c r="B27" s="6">
        <f t="shared" si="0"/>
        <v>11.25</v>
      </c>
      <c r="C27" s="6">
        <f t="shared" si="1"/>
        <v>8</v>
      </c>
      <c r="D27" s="6">
        <f>B27*[1]属性总表!$E$5</f>
        <v>11812.5</v>
      </c>
      <c r="E27" s="6">
        <f>ROUND([1]等级属性!C27*[1]属性总表!$F$5,0)</f>
        <v>800</v>
      </c>
      <c r="F27" s="6">
        <f>ROUND(C27*[1]属性总表!$G$5,0)</f>
        <v>240</v>
      </c>
      <c r="G27" s="6">
        <f>ROUND(C27*[1]属性总表!$H$5,0)</f>
        <v>240</v>
      </c>
    </row>
    <row r="28" s="4" customFormat="1" ht="20.1" customHeight="1" spans="1:7">
      <c r="A28" s="6">
        <v>27</v>
      </c>
      <c r="B28" s="6">
        <f t="shared" si="0"/>
        <v>11.5</v>
      </c>
      <c r="C28" s="6">
        <f t="shared" si="1"/>
        <v>8.12</v>
      </c>
      <c r="D28" s="6">
        <f>B28*[1]属性总表!$E$5</f>
        <v>12075</v>
      </c>
      <c r="E28" s="6">
        <f>ROUND([1]等级属性!C28*[1]属性总表!$F$5,0)</f>
        <v>812</v>
      </c>
      <c r="F28" s="6">
        <f>ROUND(C28*[1]属性总表!$G$5,0)</f>
        <v>244</v>
      </c>
      <c r="G28" s="6">
        <f>ROUND(C28*[1]属性总表!$H$5,0)</f>
        <v>244</v>
      </c>
    </row>
    <row r="29" s="4" customFormat="1" ht="20.1" customHeight="1" spans="1:7">
      <c r="A29" s="6">
        <v>28</v>
      </c>
      <c r="B29" s="6">
        <f t="shared" si="0"/>
        <v>11.75</v>
      </c>
      <c r="C29" s="6">
        <f t="shared" si="1"/>
        <v>8.24</v>
      </c>
      <c r="D29" s="6">
        <f>B29*[1]属性总表!$E$5</f>
        <v>12337.5</v>
      </c>
      <c r="E29" s="6">
        <f>ROUND([1]等级属性!C29*[1]属性总表!$F$5,0)</f>
        <v>824</v>
      </c>
      <c r="F29" s="6">
        <f>ROUND(C29*[1]属性总表!$G$5,0)</f>
        <v>247</v>
      </c>
      <c r="G29" s="6">
        <f>ROUND(C29*[1]属性总表!$H$5,0)</f>
        <v>247</v>
      </c>
    </row>
    <row r="30" s="4" customFormat="1" ht="20.1" customHeight="1" spans="1:7">
      <c r="A30" s="6">
        <v>29</v>
      </c>
      <c r="B30" s="6">
        <f t="shared" si="0"/>
        <v>12</v>
      </c>
      <c r="C30" s="6">
        <f t="shared" si="1"/>
        <v>8.36</v>
      </c>
      <c r="D30" s="6">
        <f>B30*[1]属性总表!$E$5</f>
        <v>12600</v>
      </c>
      <c r="E30" s="6">
        <f>ROUND([1]等级属性!C30*[1]属性总表!$F$5,0)</f>
        <v>836</v>
      </c>
      <c r="F30" s="6">
        <f>ROUND(C30*[1]属性总表!$G$5,0)</f>
        <v>251</v>
      </c>
      <c r="G30" s="6">
        <f>ROUND(C30*[1]属性总表!$H$5,0)</f>
        <v>251</v>
      </c>
    </row>
    <row r="31" s="4" customFormat="1" ht="20.1" customHeight="1" spans="1:7">
      <c r="A31" s="6">
        <v>30</v>
      </c>
      <c r="B31" s="6">
        <f t="shared" si="0"/>
        <v>12.25</v>
      </c>
      <c r="C31" s="6">
        <f t="shared" si="1"/>
        <v>8.48</v>
      </c>
      <c r="D31" s="6">
        <f>B31*[1]属性总表!$E$5</f>
        <v>12862.5</v>
      </c>
      <c r="E31" s="6">
        <f>ROUND([1]等级属性!C31*[1]属性总表!$F$5,0)</f>
        <v>848</v>
      </c>
      <c r="F31" s="6">
        <f>ROUND(C31*[1]属性总表!$G$5,0)</f>
        <v>254</v>
      </c>
      <c r="G31" s="6">
        <f>ROUND(C31*[1]属性总表!$H$5,0)</f>
        <v>254</v>
      </c>
    </row>
    <row r="32" s="4" customFormat="1" ht="20.1" customHeight="1" spans="1:7">
      <c r="A32" s="6">
        <v>31</v>
      </c>
      <c r="B32" s="6">
        <f t="shared" si="0"/>
        <v>12.5</v>
      </c>
      <c r="C32" s="6">
        <f t="shared" si="1"/>
        <v>8.6</v>
      </c>
      <c r="D32" s="6">
        <f>B32*[1]属性总表!$E$5</f>
        <v>13125</v>
      </c>
      <c r="E32" s="6">
        <f>ROUND([1]等级属性!C32*[1]属性总表!$F$5,0)</f>
        <v>860</v>
      </c>
      <c r="F32" s="6">
        <f>ROUND(C32*[1]属性总表!$G$5,0)</f>
        <v>258</v>
      </c>
      <c r="G32" s="6">
        <f>ROUND(C32*[1]属性总表!$H$5,0)</f>
        <v>258</v>
      </c>
    </row>
    <row r="33" s="4" customFormat="1" ht="20.1" customHeight="1" spans="1:7">
      <c r="A33" s="6">
        <v>32</v>
      </c>
      <c r="B33" s="6">
        <f t="shared" si="0"/>
        <v>12.75</v>
      </c>
      <c r="C33" s="6">
        <f t="shared" si="1"/>
        <v>8.72</v>
      </c>
      <c r="D33" s="6">
        <f>B33*[1]属性总表!$E$5</f>
        <v>13387.5</v>
      </c>
      <c r="E33" s="6">
        <f>ROUND([1]等级属性!C33*[1]属性总表!$F$5,0)</f>
        <v>872</v>
      </c>
      <c r="F33" s="6">
        <f>ROUND(C33*[1]属性总表!$G$5,0)</f>
        <v>262</v>
      </c>
      <c r="G33" s="6">
        <f>ROUND(C33*[1]属性总表!$H$5,0)</f>
        <v>262</v>
      </c>
    </row>
    <row r="34" s="4" customFormat="1" ht="20.1" customHeight="1" spans="1:7">
      <c r="A34" s="6">
        <v>33</v>
      </c>
      <c r="B34" s="6">
        <f t="shared" si="0"/>
        <v>13</v>
      </c>
      <c r="C34" s="6">
        <f t="shared" si="1"/>
        <v>8.84</v>
      </c>
      <c r="D34" s="6">
        <f>B34*[1]属性总表!$E$5</f>
        <v>13650</v>
      </c>
      <c r="E34" s="6">
        <f>ROUND([1]等级属性!C34*[1]属性总表!$F$5,0)</f>
        <v>884</v>
      </c>
      <c r="F34" s="6">
        <f>ROUND(C34*[1]属性总表!$G$5,0)</f>
        <v>265</v>
      </c>
      <c r="G34" s="6">
        <f>ROUND(C34*[1]属性总表!$H$5,0)</f>
        <v>265</v>
      </c>
    </row>
    <row r="35" s="4" customFormat="1" ht="20.1" customHeight="1" spans="1:7">
      <c r="A35" s="6">
        <v>34</v>
      </c>
      <c r="B35" s="6">
        <f t="shared" si="0"/>
        <v>13.25</v>
      </c>
      <c r="C35" s="6">
        <f t="shared" si="1"/>
        <v>8.96</v>
      </c>
      <c r="D35" s="6">
        <f>B35*[1]属性总表!$E$5</f>
        <v>13912.5</v>
      </c>
      <c r="E35" s="6">
        <f>ROUND([1]等级属性!C35*[1]属性总表!$F$5,0)</f>
        <v>896</v>
      </c>
      <c r="F35" s="6">
        <f>ROUND(C35*[1]属性总表!$G$5,0)</f>
        <v>269</v>
      </c>
      <c r="G35" s="6">
        <f>ROUND(C35*[1]属性总表!$H$5,0)</f>
        <v>269</v>
      </c>
    </row>
    <row r="36" s="4" customFormat="1" ht="20.1" customHeight="1" spans="1:7">
      <c r="A36" s="6">
        <v>35</v>
      </c>
      <c r="B36" s="6">
        <f t="shared" si="0"/>
        <v>13.5</v>
      </c>
      <c r="C36" s="6">
        <f t="shared" si="1"/>
        <v>9.07999999999999</v>
      </c>
      <c r="D36" s="6">
        <f>B36*[1]属性总表!$E$5</f>
        <v>14175</v>
      </c>
      <c r="E36" s="6">
        <f>ROUND([1]等级属性!C36*[1]属性总表!$F$5,0)</f>
        <v>908</v>
      </c>
      <c r="F36" s="6">
        <f>ROUND(C36*[1]属性总表!$G$5,0)</f>
        <v>272</v>
      </c>
      <c r="G36" s="6">
        <f>ROUND(C36*[1]属性总表!$H$5,0)</f>
        <v>272</v>
      </c>
    </row>
    <row r="37" s="4" customFormat="1" ht="20.1" customHeight="1" spans="1:7">
      <c r="A37" s="6">
        <v>36</v>
      </c>
      <c r="B37" s="6">
        <f t="shared" si="0"/>
        <v>13.75</v>
      </c>
      <c r="C37" s="6">
        <f t="shared" si="1"/>
        <v>9.19999999999999</v>
      </c>
      <c r="D37" s="6">
        <f>B37*[1]属性总表!$E$5</f>
        <v>14437.5</v>
      </c>
      <c r="E37" s="6">
        <f>ROUND([1]等级属性!C37*[1]属性总表!$F$5,0)</f>
        <v>920</v>
      </c>
      <c r="F37" s="6">
        <f>ROUND(C37*[1]属性总表!$G$5,0)</f>
        <v>276</v>
      </c>
      <c r="G37" s="6">
        <f>ROUND(C37*[1]属性总表!$H$5,0)</f>
        <v>276</v>
      </c>
    </row>
    <row r="38" s="4" customFormat="1" ht="20.1" customHeight="1" spans="1:7">
      <c r="A38" s="6">
        <v>37</v>
      </c>
      <c r="B38" s="6">
        <f t="shared" si="0"/>
        <v>14</v>
      </c>
      <c r="C38" s="6">
        <f t="shared" si="1"/>
        <v>9.31999999999999</v>
      </c>
      <c r="D38" s="6">
        <f>B38*[1]属性总表!$E$5</f>
        <v>14700</v>
      </c>
      <c r="E38" s="6">
        <f>ROUND([1]等级属性!C38*[1]属性总表!$F$5,0)</f>
        <v>932</v>
      </c>
      <c r="F38" s="6">
        <f>ROUND(C38*[1]属性总表!$G$5,0)</f>
        <v>280</v>
      </c>
      <c r="G38" s="6">
        <f>ROUND(C38*[1]属性总表!$H$5,0)</f>
        <v>280</v>
      </c>
    </row>
    <row r="39" s="4" customFormat="1" ht="20.1" customHeight="1" spans="1:7">
      <c r="A39" s="6">
        <v>38</v>
      </c>
      <c r="B39" s="6">
        <f t="shared" si="0"/>
        <v>14.25</v>
      </c>
      <c r="C39" s="6">
        <f t="shared" si="1"/>
        <v>9.43999999999999</v>
      </c>
      <c r="D39" s="6">
        <f>B39*[1]属性总表!$E$5</f>
        <v>14962.5</v>
      </c>
      <c r="E39" s="6">
        <f>ROUND([1]等级属性!C39*[1]属性总表!$F$5,0)</f>
        <v>944</v>
      </c>
      <c r="F39" s="6">
        <f>ROUND(C39*[1]属性总表!$G$5,0)</f>
        <v>283</v>
      </c>
      <c r="G39" s="6">
        <f>ROUND(C39*[1]属性总表!$H$5,0)</f>
        <v>283</v>
      </c>
    </row>
    <row r="40" s="4" customFormat="1" ht="20.1" customHeight="1" spans="1:7">
      <c r="A40" s="6">
        <v>39</v>
      </c>
      <c r="B40" s="6">
        <f t="shared" si="0"/>
        <v>14.5</v>
      </c>
      <c r="C40" s="6">
        <f t="shared" si="1"/>
        <v>9.55999999999999</v>
      </c>
      <c r="D40" s="6">
        <f>B40*[1]属性总表!$E$5</f>
        <v>15225</v>
      </c>
      <c r="E40" s="6">
        <f>ROUND([1]等级属性!C40*[1]属性总表!$F$5,0)</f>
        <v>956</v>
      </c>
      <c r="F40" s="6">
        <f>ROUND(C40*[1]属性总表!$G$5,0)</f>
        <v>287</v>
      </c>
      <c r="G40" s="6">
        <f>ROUND(C40*[1]属性总表!$H$5,0)</f>
        <v>287</v>
      </c>
    </row>
    <row r="41" s="4" customFormat="1" ht="20.1" customHeight="1" spans="1:7">
      <c r="A41" s="6">
        <v>40</v>
      </c>
      <c r="B41" s="6">
        <f t="shared" si="0"/>
        <v>14.75</v>
      </c>
      <c r="C41" s="6">
        <f t="shared" si="1"/>
        <v>9.67999999999999</v>
      </c>
      <c r="D41" s="6">
        <f>B41*[1]属性总表!$E$5</f>
        <v>15487.5</v>
      </c>
      <c r="E41" s="6">
        <f>ROUND([1]等级属性!C41*[1]属性总表!$F$5,0)</f>
        <v>968</v>
      </c>
      <c r="F41" s="6">
        <f>ROUND(C41*[1]属性总表!$G$5,0)</f>
        <v>290</v>
      </c>
      <c r="G41" s="6">
        <f>ROUND(C41*[1]属性总表!$H$5,0)</f>
        <v>290</v>
      </c>
    </row>
    <row r="42" s="4" customFormat="1" ht="20.1" customHeight="1" spans="1:7">
      <c r="A42" s="6">
        <v>41</v>
      </c>
      <c r="B42" s="6">
        <f t="shared" si="0"/>
        <v>15</v>
      </c>
      <c r="C42" s="6">
        <f t="shared" si="1"/>
        <v>9.79999999999999</v>
      </c>
      <c r="D42" s="6">
        <f>B42*[1]属性总表!$E$5</f>
        <v>15750</v>
      </c>
      <c r="E42" s="6">
        <f>ROUND([1]等级属性!C42*[1]属性总表!$F$5,0)</f>
        <v>980</v>
      </c>
      <c r="F42" s="6">
        <f>ROUND(C42*[1]属性总表!$G$5,0)</f>
        <v>294</v>
      </c>
      <c r="G42" s="6">
        <f>ROUND(C42*[1]属性总表!$H$5,0)</f>
        <v>294</v>
      </c>
    </row>
    <row r="43" s="4" customFormat="1" ht="20.1" customHeight="1" spans="1:7">
      <c r="A43" s="6">
        <v>42</v>
      </c>
      <c r="B43" s="6">
        <f t="shared" si="0"/>
        <v>15.25</v>
      </c>
      <c r="C43" s="6">
        <f t="shared" si="1"/>
        <v>9.91999999999999</v>
      </c>
      <c r="D43" s="6">
        <f>B43*[1]属性总表!$E$5</f>
        <v>16012.5</v>
      </c>
      <c r="E43" s="6">
        <f>ROUND([1]等级属性!C43*[1]属性总表!$F$5,0)</f>
        <v>992</v>
      </c>
      <c r="F43" s="6">
        <f>ROUND(C43*[1]属性总表!$G$5,0)</f>
        <v>298</v>
      </c>
      <c r="G43" s="6">
        <f>ROUND(C43*[1]属性总表!$H$5,0)</f>
        <v>298</v>
      </c>
    </row>
    <row r="44" s="4" customFormat="1" ht="20.1" customHeight="1" spans="1:7">
      <c r="A44" s="6">
        <v>43</v>
      </c>
      <c r="B44" s="6">
        <f t="shared" si="0"/>
        <v>15.5</v>
      </c>
      <c r="C44" s="6">
        <f t="shared" si="1"/>
        <v>10.04</v>
      </c>
      <c r="D44" s="6">
        <f>B44*[1]属性总表!$E$5</f>
        <v>16275</v>
      </c>
      <c r="E44" s="6">
        <f>ROUND([1]等级属性!C44*[1]属性总表!$F$5,0)</f>
        <v>1004</v>
      </c>
      <c r="F44" s="6">
        <f>ROUND(C44*[1]属性总表!$G$5,0)</f>
        <v>301</v>
      </c>
      <c r="G44" s="6">
        <f>ROUND(C44*[1]属性总表!$H$5,0)</f>
        <v>301</v>
      </c>
    </row>
    <row r="45" s="4" customFormat="1" ht="20.1" customHeight="1" spans="1:7">
      <c r="A45" s="6">
        <v>44</v>
      </c>
      <c r="B45" s="6">
        <f t="shared" si="0"/>
        <v>15.75</v>
      </c>
      <c r="C45" s="6">
        <f t="shared" si="1"/>
        <v>10.16</v>
      </c>
      <c r="D45" s="6">
        <f>B45*[1]属性总表!$E$5</f>
        <v>16537.5</v>
      </c>
      <c r="E45" s="6">
        <f>ROUND([1]等级属性!C45*[1]属性总表!$F$5,0)</f>
        <v>1016</v>
      </c>
      <c r="F45" s="6">
        <f>ROUND(C45*[1]属性总表!$G$5,0)</f>
        <v>305</v>
      </c>
      <c r="G45" s="6">
        <f>ROUND(C45*[1]属性总表!$H$5,0)</f>
        <v>305</v>
      </c>
    </row>
    <row r="46" s="4" customFormat="1" ht="20.1" customHeight="1" spans="1:7">
      <c r="A46" s="6">
        <v>45</v>
      </c>
      <c r="B46" s="6">
        <f t="shared" si="0"/>
        <v>16</v>
      </c>
      <c r="C46" s="6">
        <f t="shared" si="1"/>
        <v>10.28</v>
      </c>
      <c r="D46" s="6">
        <f>B46*[1]属性总表!$E$5</f>
        <v>16800</v>
      </c>
      <c r="E46" s="6">
        <f>ROUND([1]等级属性!C46*[1]属性总表!$F$5,0)</f>
        <v>1028</v>
      </c>
      <c r="F46" s="6">
        <f>ROUND(C46*[1]属性总表!$G$5,0)</f>
        <v>308</v>
      </c>
      <c r="G46" s="6">
        <f>ROUND(C46*[1]属性总表!$H$5,0)</f>
        <v>308</v>
      </c>
    </row>
    <row r="47" s="4" customFormat="1" ht="20.1" customHeight="1" spans="1:7">
      <c r="A47" s="6">
        <v>46</v>
      </c>
      <c r="B47" s="6">
        <f t="shared" si="0"/>
        <v>16.25</v>
      </c>
      <c r="C47" s="6">
        <f t="shared" si="1"/>
        <v>10.4</v>
      </c>
      <c r="D47" s="6">
        <f>B47*[1]属性总表!$E$5</f>
        <v>17062.5</v>
      </c>
      <c r="E47" s="6">
        <f>ROUND([1]等级属性!C47*[1]属性总表!$F$5,0)</f>
        <v>1040</v>
      </c>
      <c r="F47" s="6">
        <f>ROUND(C47*[1]属性总表!$G$5,0)</f>
        <v>312</v>
      </c>
      <c r="G47" s="6">
        <f>ROUND(C47*[1]属性总表!$H$5,0)</f>
        <v>312</v>
      </c>
    </row>
    <row r="48" s="4" customFormat="1" ht="20.1" customHeight="1" spans="1:7">
      <c r="A48" s="6">
        <v>47</v>
      </c>
      <c r="B48" s="6">
        <f t="shared" si="0"/>
        <v>16.5</v>
      </c>
      <c r="C48" s="6">
        <f t="shared" si="1"/>
        <v>10.52</v>
      </c>
      <c r="D48" s="6">
        <f>B48*[1]属性总表!$E$5</f>
        <v>17325</v>
      </c>
      <c r="E48" s="6">
        <f>ROUND([1]等级属性!C48*[1]属性总表!$F$5,0)</f>
        <v>1052</v>
      </c>
      <c r="F48" s="6">
        <f>ROUND(C48*[1]属性总表!$G$5,0)</f>
        <v>316</v>
      </c>
      <c r="G48" s="6">
        <f>ROUND(C48*[1]属性总表!$H$5,0)</f>
        <v>316</v>
      </c>
    </row>
    <row r="49" s="4" customFormat="1" ht="20.1" customHeight="1" spans="1:7">
      <c r="A49" s="6">
        <v>48</v>
      </c>
      <c r="B49" s="6">
        <f t="shared" si="0"/>
        <v>16.75</v>
      </c>
      <c r="C49" s="6">
        <f t="shared" si="1"/>
        <v>10.64</v>
      </c>
      <c r="D49" s="6">
        <f>B49*[1]属性总表!$E$5</f>
        <v>17587.5</v>
      </c>
      <c r="E49" s="6">
        <f>ROUND([1]等级属性!C49*[1]属性总表!$F$5,0)</f>
        <v>1064</v>
      </c>
      <c r="F49" s="6">
        <f>ROUND(C49*[1]属性总表!$G$5,0)</f>
        <v>319</v>
      </c>
      <c r="G49" s="6">
        <f>ROUND(C49*[1]属性总表!$H$5,0)</f>
        <v>319</v>
      </c>
    </row>
    <row r="50" s="4" customFormat="1" ht="20.1" customHeight="1" spans="1:7">
      <c r="A50" s="6">
        <v>49</v>
      </c>
      <c r="B50" s="6">
        <f t="shared" si="0"/>
        <v>17</v>
      </c>
      <c r="C50" s="6">
        <f t="shared" si="1"/>
        <v>10.76</v>
      </c>
      <c r="D50" s="6">
        <f>B50*[1]属性总表!$E$5</f>
        <v>17850</v>
      </c>
      <c r="E50" s="6">
        <f>ROUND([1]等级属性!C50*[1]属性总表!$F$5,0)</f>
        <v>1076</v>
      </c>
      <c r="F50" s="6">
        <f>ROUND(C50*[1]属性总表!$G$5,0)</f>
        <v>323</v>
      </c>
      <c r="G50" s="6">
        <f>ROUND(C50*[1]属性总表!$H$5,0)</f>
        <v>323</v>
      </c>
    </row>
    <row r="51" s="4" customFormat="1" ht="20.1" customHeight="1" spans="1:7">
      <c r="A51" s="6">
        <v>50</v>
      </c>
      <c r="B51" s="6">
        <f t="shared" si="0"/>
        <v>17.25</v>
      </c>
      <c r="C51" s="6">
        <f t="shared" si="1"/>
        <v>10.88</v>
      </c>
      <c r="D51" s="6">
        <f>B51*[1]属性总表!$E$5</f>
        <v>18112.5</v>
      </c>
      <c r="E51" s="6">
        <f>ROUND([1]等级属性!C51*[1]属性总表!$F$5,0)</f>
        <v>1088</v>
      </c>
      <c r="F51" s="6">
        <f>ROUND(C51*[1]属性总表!$G$5,0)</f>
        <v>326</v>
      </c>
      <c r="G51" s="6">
        <f>ROUND(C51*[1]属性总表!$H$5,0)</f>
        <v>326</v>
      </c>
    </row>
    <row r="52" s="4" customFormat="1" ht="20.1" customHeight="1" spans="1:7">
      <c r="A52" s="6">
        <v>51</v>
      </c>
      <c r="B52" s="6">
        <f t="shared" si="0"/>
        <v>17.5</v>
      </c>
      <c r="C52" s="6">
        <f t="shared" si="1"/>
        <v>11</v>
      </c>
      <c r="D52" s="6">
        <f>B52*[1]属性总表!$E$5</f>
        <v>18375</v>
      </c>
      <c r="E52" s="6">
        <f>ROUND([1]等级属性!C52*[1]属性总表!$F$5,0)</f>
        <v>1100</v>
      </c>
      <c r="F52" s="6">
        <f>ROUND(C52*[1]属性总表!$G$5,0)</f>
        <v>330</v>
      </c>
      <c r="G52" s="6">
        <f>ROUND(C52*[1]属性总表!$H$5,0)</f>
        <v>330</v>
      </c>
    </row>
    <row r="53" ht="20.1" customHeight="1" spans="1:7">
      <c r="A53" s="6">
        <v>52</v>
      </c>
      <c r="B53" s="6">
        <f t="shared" si="0"/>
        <v>17.75</v>
      </c>
      <c r="C53" s="6">
        <f t="shared" si="1"/>
        <v>11.12</v>
      </c>
      <c r="D53" s="6">
        <f>B53*[1]属性总表!$E$5</f>
        <v>18637.5</v>
      </c>
      <c r="E53" s="6">
        <f>ROUND([1]等级属性!C53*[1]属性总表!$F$5,0)</f>
        <v>1112</v>
      </c>
      <c r="F53" s="6">
        <f>ROUND(C53*[1]属性总表!$G$5,0)</f>
        <v>334</v>
      </c>
      <c r="G53" s="6">
        <f>ROUND(C53*[1]属性总表!$H$5,0)</f>
        <v>334</v>
      </c>
    </row>
    <row r="54" ht="20.1" customHeight="1" spans="1:7">
      <c r="A54" s="6">
        <v>53</v>
      </c>
      <c r="B54" s="6">
        <f t="shared" si="0"/>
        <v>18</v>
      </c>
      <c r="C54" s="6">
        <f t="shared" si="1"/>
        <v>11.24</v>
      </c>
      <c r="D54" s="6">
        <f>B54*[1]属性总表!$E$5</f>
        <v>18900</v>
      </c>
      <c r="E54" s="6">
        <f>ROUND([1]等级属性!C54*[1]属性总表!$F$5,0)</f>
        <v>1124</v>
      </c>
      <c r="F54" s="6">
        <f>ROUND(C54*[1]属性总表!$G$5,0)</f>
        <v>337</v>
      </c>
      <c r="G54" s="6">
        <f>ROUND(C54*[1]属性总表!$H$5,0)</f>
        <v>337</v>
      </c>
    </row>
    <row r="55" ht="20.1" customHeight="1" spans="1:7">
      <c r="A55" s="6">
        <v>54</v>
      </c>
      <c r="B55" s="6">
        <f t="shared" si="0"/>
        <v>18.25</v>
      </c>
      <c r="C55" s="6">
        <f t="shared" si="1"/>
        <v>11.36</v>
      </c>
      <c r="D55" s="6">
        <f>B55*[1]属性总表!$E$5</f>
        <v>19162.5</v>
      </c>
      <c r="E55" s="6">
        <f>ROUND([1]等级属性!C55*[1]属性总表!$F$5,0)</f>
        <v>1136</v>
      </c>
      <c r="F55" s="6">
        <f>ROUND(C55*[1]属性总表!$G$5,0)</f>
        <v>341</v>
      </c>
      <c r="G55" s="6">
        <f>ROUND(C55*[1]属性总表!$H$5,0)</f>
        <v>341</v>
      </c>
    </row>
    <row r="56" ht="20.1" customHeight="1" spans="1:7">
      <c r="A56" s="6">
        <v>55</v>
      </c>
      <c r="B56" s="6">
        <f t="shared" si="0"/>
        <v>18.5</v>
      </c>
      <c r="C56" s="6">
        <f t="shared" si="1"/>
        <v>11.48</v>
      </c>
      <c r="D56" s="6">
        <f>B56*[1]属性总表!$E$5</f>
        <v>19425</v>
      </c>
      <c r="E56" s="6">
        <f>ROUND([1]等级属性!C56*[1]属性总表!$F$5,0)</f>
        <v>1148</v>
      </c>
      <c r="F56" s="6">
        <f>ROUND(C56*[1]属性总表!$G$5,0)</f>
        <v>344</v>
      </c>
      <c r="G56" s="6">
        <f>ROUND(C56*[1]属性总表!$H$5,0)</f>
        <v>344</v>
      </c>
    </row>
    <row r="57" ht="20.1" customHeight="1" spans="1:7">
      <c r="A57" s="6">
        <v>56</v>
      </c>
      <c r="B57" s="6">
        <f t="shared" si="0"/>
        <v>18.75</v>
      </c>
      <c r="C57" s="6">
        <f t="shared" si="1"/>
        <v>11.6</v>
      </c>
      <c r="D57" s="6">
        <f>B57*[1]属性总表!$E$5</f>
        <v>19687.5</v>
      </c>
      <c r="E57" s="6">
        <f>ROUND([1]等级属性!C57*[1]属性总表!$F$5,0)</f>
        <v>1160</v>
      </c>
      <c r="F57" s="6">
        <f>ROUND(C57*[1]属性总表!$G$5,0)</f>
        <v>348</v>
      </c>
      <c r="G57" s="6">
        <f>ROUND(C57*[1]属性总表!$H$5,0)</f>
        <v>348</v>
      </c>
    </row>
    <row r="58" ht="20.1" customHeight="1" spans="1:7">
      <c r="A58" s="6">
        <v>57</v>
      </c>
      <c r="B58" s="6">
        <f t="shared" si="0"/>
        <v>19</v>
      </c>
      <c r="C58" s="6">
        <f t="shared" si="1"/>
        <v>11.72</v>
      </c>
      <c r="D58" s="6">
        <f>B58*[1]属性总表!$E$5</f>
        <v>19950</v>
      </c>
      <c r="E58" s="6">
        <f>ROUND([1]等级属性!C58*[1]属性总表!$F$5,0)</f>
        <v>1172</v>
      </c>
      <c r="F58" s="6">
        <f>ROUND(C58*[1]属性总表!$G$5,0)</f>
        <v>352</v>
      </c>
      <c r="G58" s="6">
        <f>ROUND(C58*[1]属性总表!$H$5,0)</f>
        <v>352</v>
      </c>
    </row>
    <row r="59" ht="20.1" customHeight="1" spans="1:7">
      <c r="A59" s="6">
        <v>58</v>
      </c>
      <c r="B59" s="6">
        <f t="shared" si="0"/>
        <v>19.25</v>
      </c>
      <c r="C59" s="6">
        <f t="shared" si="1"/>
        <v>11.84</v>
      </c>
      <c r="D59" s="6">
        <f>B59*[1]属性总表!$E$5</f>
        <v>20212.5</v>
      </c>
      <c r="E59" s="6">
        <f>ROUND([1]等级属性!C59*[1]属性总表!$F$5,0)</f>
        <v>1184</v>
      </c>
      <c r="F59" s="6">
        <f>ROUND(C59*[1]属性总表!$G$5,0)</f>
        <v>355</v>
      </c>
      <c r="G59" s="6">
        <f>ROUND(C59*[1]属性总表!$H$5,0)</f>
        <v>355</v>
      </c>
    </row>
    <row r="60" ht="20.1" customHeight="1" spans="1:7">
      <c r="A60" s="6">
        <v>59</v>
      </c>
      <c r="B60" s="6">
        <f t="shared" si="0"/>
        <v>19.5</v>
      </c>
      <c r="C60" s="6">
        <f t="shared" si="1"/>
        <v>11.96</v>
      </c>
      <c r="D60" s="6">
        <f>B60*[1]属性总表!$E$5</f>
        <v>20475</v>
      </c>
      <c r="E60" s="6">
        <f>ROUND([1]等级属性!C60*[1]属性总表!$F$5,0)</f>
        <v>1196</v>
      </c>
      <c r="F60" s="6">
        <f>ROUND(C60*[1]属性总表!$G$5,0)</f>
        <v>359</v>
      </c>
      <c r="G60" s="6">
        <f>ROUND(C60*[1]属性总表!$H$5,0)</f>
        <v>359</v>
      </c>
    </row>
    <row r="61" ht="20.1" customHeight="1" spans="1:7">
      <c r="A61" s="6">
        <v>60</v>
      </c>
      <c r="B61" s="6">
        <f t="shared" si="0"/>
        <v>19.75</v>
      </c>
      <c r="C61" s="6">
        <f t="shared" si="1"/>
        <v>12.08</v>
      </c>
      <c r="D61" s="6">
        <f>B61*[1]属性总表!$E$5</f>
        <v>20737.5</v>
      </c>
      <c r="E61" s="6">
        <f>ROUND([1]等级属性!C61*[1]属性总表!$F$5,0)</f>
        <v>1208</v>
      </c>
      <c r="F61" s="6">
        <f>ROUND(C61*[1]属性总表!$G$5,0)</f>
        <v>362</v>
      </c>
      <c r="G61" s="6">
        <f>ROUND(C61*[1]属性总表!$H$5,0)</f>
        <v>362</v>
      </c>
    </row>
    <row r="62" ht="20.1" customHeight="1" spans="1:7">
      <c r="A62" s="6">
        <v>61</v>
      </c>
      <c r="B62" s="6">
        <f t="shared" si="0"/>
        <v>20</v>
      </c>
      <c r="C62" s="6">
        <f t="shared" si="1"/>
        <v>12.2</v>
      </c>
      <c r="D62" s="6">
        <f>B62*[1]属性总表!$E$5</f>
        <v>21000</v>
      </c>
      <c r="E62" s="6">
        <f>ROUND([1]等级属性!C62*[1]属性总表!$F$5,0)</f>
        <v>1220</v>
      </c>
      <c r="F62" s="6">
        <f>ROUND(C62*[1]属性总表!$G$5,0)</f>
        <v>366</v>
      </c>
      <c r="G62" s="6">
        <f>ROUND(C62*[1]属性总表!$H$5,0)</f>
        <v>366</v>
      </c>
    </row>
    <row r="63" ht="20.1" customHeight="1" spans="1:7">
      <c r="A63" s="6">
        <v>62</v>
      </c>
      <c r="B63" s="6">
        <f t="shared" si="0"/>
        <v>20.25</v>
      </c>
      <c r="C63" s="6">
        <f t="shared" si="1"/>
        <v>12.32</v>
      </c>
      <c r="D63" s="6">
        <f>B63*[1]属性总表!$E$5</f>
        <v>21262.5</v>
      </c>
      <c r="E63" s="6">
        <f>ROUND([1]等级属性!C63*[1]属性总表!$F$5,0)</f>
        <v>1232</v>
      </c>
      <c r="F63" s="6">
        <f>ROUND(C63*[1]属性总表!$G$5,0)</f>
        <v>370</v>
      </c>
      <c r="G63" s="6">
        <f>ROUND(C63*[1]属性总表!$H$5,0)</f>
        <v>370</v>
      </c>
    </row>
    <row r="64" ht="20.1" customHeight="1" spans="1:7">
      <c r="A64" s="6">
        <v>63</v>
      </c>
      <c r="B64" s="6">
        <f t="shared" si="0"/>
        <v>20.5</v>
      </c>
      <c r="C64" s="6">
        <f t="shared" si="1"/>
        <v>12.44</v>
      </c>
      <c r="D64" s="6">
        <f>B64*[1]属性总表!$E$5</f>
        <v>21525</v>
      </c>
      <c r="E64" s="6">
        <f>ROUND([1]等级属性!C64*[1]属性总表!$F$5,0)</f>
        <v>1244</v>
      </c>
      <c r="F64" s="6">
        <f>ROUND(C64*[1]属性总表!$G$5,0)</f>
        <v>373</v>
      </c>
      <c r="G64" s="6">
        <f>ROUND(C64*[1]属性总表!$H$5,0)</f>
        <v>373</v>
      </c>
    </row>
    <row r="65" ht="20.1" customHeight="1" spans="1:7">
      <c r="A65" s="6">
        <v>64</v>
      </c>
      <c r="B65" s="6">
        <f t="shared" si="0"/>
        <v>20.75</v>
      </c>
      <c r="C65" s="6">
        <f t="shared" si="1"/>
        <v>12.56</v>
      </c>
      <c r="D65" s="6">
        <f>B65*[1]属性总表!$E$5</f>
        <v>21787.5</v>
      </c>
      <c r="E65" s="6">
        <f>ROUND([1]等级属性!C65*[1]属性总表!$F$5,0)</f>
        <v>1256</v>
      </c>
      <c r="F65" s="6">
        <f>ROUND(C65*[1]属性总表!$G$5,0)</f>
        <v>377</v>
      </c>
      <c r="G65" s="6">
        <f>ROUND(C65*[1]属性总表!$H$5,0)</f>
        <v>377</v>
      </c>
    </row>
    <row r="66" ht="20.1" customHeight="1" spans="1:7">
      <c r="A66" s="6">
        <v>65</v>
      </c>
      <c r="B66" s="6">
        <f t="shared" si="0"/>
        <v>21</v>
      </c>
      <c r="C66" s="6">
        <f t="shared" si="1"/>
        <v>12.68</v>
      </c>
      <c r="D66" s="6">
        <f>B66*[1]属性总表!$E$5</f>
        <v>22050</v>
      </c>
      <c r="E66" s="6">
        <f>ROUND([1]等级属性!C66*[1]属性总表!$F$5,0)</f>
        <v>1268</v>
      </c>
      <c r="F66" s="6">
        <f>ROUND(C66*[1]属性总表!$G$5,0)</f>
        <v>380</v>
      </c>
      <c r="G66" s="6">
        <f>ROUND(C66*[1]属性总表!$H$5,0)</f>
        <v>380</v>
      </c>
    </row>
    <row r="67" ht="20.1" customHeight="1" spans="1:7">
      <c r="A67" s="6">
        <v>66</v>
      </c>
      <c r="B67" s="6">
        <f t="shared" si="0"/>
        <v>21.25</v>
      </c>
      <c r="C67" s="6">
        <f t="shared" si="1"/>
        <v>12.8</v>
      </c>
      <c r="D67" s="6">
        <f>B67*[1]属性总表!$E$5</f>
        <v>22312.5</v>
      </c>
      <c r="E67" s="6">
        <f>ROUND([1]等级属性!C67*[1]属性总表!$F$5,0)</f>
        <v>1280</v>
      </c>
      <c r="F67" s="6">
        <f>ROUND(C67*[1]属性总表!$G$5,0)</f>
        <v>384</v>
      </c>
      <c r="G67" s="6">
        <f>ROUND(C67*[1]属性总表!$H$5,0)</f>
        <v>384</v>
      </c>
    </row>
    <row r="68" ht="20.1" customHeight="1" spans="1:7">
      <c r="A68" s="6">
        <v>67</v>
      </c>
      <c r="B68" s="6">
        <f t="shared" ref="B68:B71" si="2">B67+0.25</f>
        <v>21.5</v>
      </c>
      <c r="C68" s="6">
        <f t="shared" ref="C68:C71" si="3">C67+0.12</f>
        <v>12.92</v>
      </c>
      <c r="D68" s="6">
        <f>B68*[1]属性总表!$E$5</f>
        <v>22575</v>
      </c>
      <c r="E68" s="6">
        <f>ROUND([1]等级属性!C68*[1]属性总表!$F$5,0)</f>
        <v>1292</v>
      </c>
      <c r="F68" s="6">
        <f>ROUND(C68*[1]属性总表!$G$5,0)</f>
        <v>388</v>
      </c>
      <c r="G68" s="6">
        <f>ROUND(C68*[1]属性总表!$H$5,0)</f>
        <v>388</v>
      </c>
    </row>
    <row r="69" ht="20.1" customHeight="1" spans="1:7">
      <c r="A69" s="6">
        <v>68</v>
      </c>
      <c r="B69" s="6">
        <f t="shared" si="2"/>
        <v>21.75</v>
      </c>
      <c r="C69" s="6">
        <f t="shared" si="3"/>
        <v>13.04</v>
      </c>
      <c r="D69" s="6">
        <f>B69*[1]属性总表!$E$5</f>
        <v>22837.5</v>
      </c>
      <c r="E69" s="6">
        <f>ROUND([1]等级属性!C69*[1]属性总表!$F$5,0)</f>
        <v>1304</v>
      </c>
      <c r="F69" s="6">
        <f>ROUND(C69*[1]属性总表!$G$5,0)</f>
        <v>391</v>
      </c>
      <c r="G69" s="6">
        <f>ROUND(C69*[1]属性总表!$H$5,0)</f>
        <v>391</v>
      </c>
    </row>
    <row r="70" ht="20.1" customHeight="1" spans="1:7">
      <c r="A70" s="6">
        <v>69</v>
      </c>
      <c r="B70" s="6">
        <f t="shared" si="2"/>
        <v>22</v>
      </c>
      <c r="C70" s="6">
        <f t="shared" si="3"/>
        <v>13.16</v>
      </c>
      <c r="D70" s="6">
        <f>B70*[1]属性总表!$E$5</f>
        <v>23100</v>
      </c>
      <c r="E70" s="6">
        <f>ROUND([1]等级属性!C70*[1]属性总表!$F$5,0)</f>
        <v>1316</v>
      </c>
      <c r="F70" s="6">
        <f>ROUND(C70*[1]属性总表!$G$5,0)</f>
        <v>395</v>
      </c>
      <c r="G70" s="6">
        <f>ROUND(C70*[1]属性总表!$H$5,0)</f>
        <v>395</v>
      </c>
    </row>
    <row r="71" ht="20.1" customHeight="1" spans="1:7">
      <c r="A71" s="6">
        <v>70</v>
      </c>
      <c r="B71" s="6">
        <f t="shared" si="2"/>
        <v>22.25</v>
      </c>
      <c r="C71" s="6">
        <f t="shared" si="3"/>
        <v>13.28</v>
      </c>
      <c r="D71" s="6">
        <f>B71*[1]属性总表!$E$5</f>
        <v>23362.5</v>
      </c>
      <c r="E71" s="6">
        <f>ROUND([1]等级属性!C71*[1]属性总表!$F$5,0)</f>
        <v>1328</v>
      </c>
      <c r="F71" s="6">
        <f>ROUND(C71*[1]属性总表!$G$5,0)</f>
        <v>398</v>
      </c>
      <c r="G71" s="6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7" customFormat="1" ht="20.1" customHeight="1"/>
    <row r="2" s="7" customFormat="1" ht="20.1" customHeight="1" spans="2:18">
      <c r="B2" s="7" t="s">
        <v>30</v>
      </c>
      <c r="F2" s="7" t="s">
        <v>31</v>
      </c>
      <c r="K2" s="6" t="s">
        <v>25</v>
      </c>
      <c r="L2" s="7" t="s">
        <v>32</v>
      </c>
      <c r="M2" s="6"/>
      <c r="N2" s="6"/>
      <c r="O2" s="6"/>
      <c r="P2" s="6"/>
      <c r="Q2" s="6"/>
      <c r="R2" s="6"/>
    </row>
    <row r="3" s="7" customFormat="1" ht="20.1" customHeight="1" spans="6:18">
      <c r="F3" s="7" t="s">
        <v>33</v>
      </c>
      <c r="K3" s="6">
        <v>20</v>
      </c>
      <c r="L3" s="6">
        <v>200</v>
      </c>
      <c r="M3" s="6"/>
      <c r="N3" s="6">
        <v>150</v>
      </c>
      <c r="O3" s="6"/>
      <c r="P3" s="6">
        <f>N3/L3*50</f>
        <v>37.5</v>
      </c>
      <c r="Q3" s="6">
        <f>N3/L3*100</f>
        <v>75</v>
      </c>
      <c r="R3" s="6"/>
    </row>
    <row r="4" s="7" customFormat="1" ht="20.1" customHeight="1" spans="11:18">
      <c r="K4" s="6">
        <v>30</v>
      </c>
      <c r="L4" s="6">
        <v>300</v>
      </c>
      <c r="M4" s="6"/>
      <c r="N4" s="6"/>
      <c r="O4" s="6"/>
      <c r="P4" s="6"/>
      <c r="Q4" s="6"/>
      <c r="R4" s="6"/>
    </row>
    <row r="5" s="7" customFormat="1" ht="20.1" customHeight="1" spans="9:12">
      <c r="I5" s="7">
        <f>500/3</f>
        <v>166.666666666667</v>
      </c>
      <c r="K5" s="6">
        <v>40</v>
      </c>
      <c r="L5" s="6">
        <v>400</v>
      </c>
    </row>
    <row r="6" s="7" customFormat="1" ht="20.1" customHeight="1" spans="11:12">
      <c r="K6" s="6">
        <v>50</v>
      </c>
      <c r="L6" s="6">
        <v>500</v>
      </c>
    </row>
    <row r="7" s="7" customFormat="1" ht="20.1" customHeight="1"/>
    <row r="8" s="7" customFormat="1" ht="20.1" customHeight="1"/>
    <row r="9" s="7" customFormat="1" ht="20.1" customHeight="1"/>
    <row r="10" s="7" customFormat="1" ht="20.1" customHeight="1"/>
    <row r="11" s="7" customFormat="1" ht="20.1" customHeight="1"/>
    <row r="12" s="7" customFormat="1" ht="20.1" customHeight="1"/>
    <row r="13" s="7" customFormat="1" ht="20.1" customHeight="1"/>
    <row r="14" s="7" customFormat="1" ht="20.1" customHeight="1"/>
    <row r="15" s="7" customFormat="1" ht="20.1" customHeight="1"/>
    <row r="16" s="7" customFormat="1" ht="20.1" customHeight="1"/>
    <row r="17" s="7" customFormat="1" ht="20.1" customHeight="1"/>
    <row r="18" s="7" customFormat="1" ht="20.1" customHeight="1"/>
    <row r="19" s="7" customFormat="1" ht="20.1" customHeight="1"/>
    <row r="20" s="7" customFormat="1" ht="20.1" customHeight="1"/>
    <row r="21" s="7" customFormat="1" ht="20.1" customHeight="1"/>
    <row r="22" s="7" customFormat="1" ht="20.1" customHeight="1"/>
    <row r="23" s="7" customFormat="1" ht="20.1" customHeight="1"/>
    <row r="24" s="7" customFormat="1" ht="20.1" customHeight="1"/>
    <row r="25" s="7" customFormat="1" ht="20.1" customHeight="1"/>
    <row r="26" s="7" customFormat="1" ht="20.1" customHeight="1"/>
    <row r="27" s="7" customFormat="1" ht="20.1" customHeight="1"/>
    <row r="28" s="7" customFormat="1" ht="20.1" customHeight="1"/>
    <row r="29" s="7" customFormat="1" ht="20.1" customHeight="1"/>
    <row r="30" s="7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9"/>
    <col min="2" max="2" width="14.875" style="69" customWidth="1"/>
    <col min="3" max="3" width="9" style="69"/>
    <col min="4" max="4" width="9.5" style="69" customWidth="1"/>
    <col min="5" max="5" width="17.875" style="69" customWidth="1"/>
    <col min="6" max="6" width="11.375" style="69" customWidth="1"/>
    <col min="7" max="7" width="86.375" style="69" customWidth="1"/>
    <col min="8" max="8" width="10.125" style="69" customWidth="1"/>
    <col min="9" max="13" width="9" style="69"/>
    <col min="14" max="14" width="81.875" style="69" customWidth="1"/>
    <col min="15" max="19" width="9" style="69"/>
    <col min="20" max="20" width="29.125" style="69" customWidth="1"/>
    <col min="21" max="25" width="9" style="69"/>
    <col min="26" max="26" width="9.5" style="69" customWidth="1"/>
    <col min="27" max="27" width="10.625" style="69" customWidth="1"/>
    <col min="28" max="29" width="9" style="69"/>
    <col min="30" max="30" width="11.375" style="69" customWidth="1"/>
    <col min="31" max="38" width="9" style="69"/>
    <col min="39" max="39" width="11.125" style="69" customWidth="1"/>
    <col min="40" max="40" width="10.5" style="69" customWidth="1"/>
    <col min="41" max="41" width="11.125" style="69" customWidth="1"/>
    <col min="42" max="42" width="10.75" style="69" customWidth="1"/>
    <col min="43" max="43" width="9" style="69"/>
    <col min="44" max="44" width="11.375" style="69" customWidth="1"/>
    <col min="45" max="45" width="82.375" style="69" customWidth="1"/>
    <col min="46" max="16384" width="9" style="69"/>
  </cols>
  <sheetData>
    <row r="1" spans="29:30">
      <c r="AC1" s="69" t="s">
        <v>34</v>
      </c>
      <c r="AD1" s="69" t="s">
        <v>35</v>
      </c>
    </row>
    <row r="2" ht="20.1" customHeight="1" spans="19:44">
      <c r="S2" s="69" t="s">
        <v>36</v>
      </c>
      <c r="AC2" s="69" t="s">
        <v>37</v>
      </c>
      <c r="AD2" s="69" t="s">
        <v>38</v>
      </c>
      <c r="AR2" s="69" t="s">
        <v>39</v>
      </c>
    </row>
    <row r="3" ht="20.1" customHeight="1" spans="2:45">
      <c r="B3" s="70" t="s">
        <v>40</v>
      </c>
      <c r="C3" s="70" t="s">
        <v>41</v>
      </c>
      <c r="D3" s="70" t="s">
        <v>25</v>
      </c>
      <c r="E3" s="70" t="s">
        <v>42</v>
      </c>
      <c r="F3" s="70" t="s">
        <v>43</v>
      </c>
      <c r="G3" s="70" t="s">
        <v>44</v>
      </c>
      <c r="I3" s="79">
        <v>10001</v>
      </c>
      <c r="J3" s="70" t="s">
        <v>45</v>
      </c>
      <c r="K3" s="69" t="s">
        <v>46</v>
      </c>
      <c r="L3" s="69" t="s">
        <v>47</v>
      </c>
      <c r="M3" s="69" t="s">
        <v>48</v>
      </c>
      <c r="N3" s="73" t="s">
        <v>49</v>
      </c>
      <c r="R3" s="69" t="s">
        <v>50</v>
      </c>
      <c r="S3" s="69">
        <v>1</v>
      </c>
      <c r="T3" s="73" t="s">
        <v>51</v>
      </c>
      <c r="V3" s="69" t="str">
        <f>T3&amp;","&amp;T4&amp;","&amp;T5</f>
        <v>速度专精：移动速度提升10%,装备精通：布甲,移动光环：小队内移动速度提升10%</v>
      </c>
      <c r="AB3" s="70" t="s">
        <v>52</v>
      </c>
      <c r="AC3" s="70" t="s">
        <v>41</v>
      </c>
      <c r="AD3" s="70" t="s">
        <v>25</v>
      </c>
      <c r="AE3" s="70" t="s">
        <v>42</v>
      </c>
      <c r="AF3" s="70" t="s">
        <v>43</v>
      </c>
      <c r="AG3" s="70" t="s">
        <v>44</v>
      </c>
      <c r="AN3" s="69" t="s">
        <v>53</v>
      </c>
      <c r="AS3" s="73"/>
    </row>
    <row r="4" ht="20.1" customHeight="1" spans="3:53">
      <c r="C4" s="69" t="s">
        <v>54</v>
      </c>
      <c r="D4" s="69">
        <v>1</v>
      </c>
      <c r="F4" s="71" t="s">
        <v>55</v>
      </c>
      <c r="G4" s="72" t="s">
        <v>56</v>
      </c>
      <c r="I4" s="79">
        <v>10002</v>
      </c>
      <c r="L4" s="69" t="s">
        <v>57</v>
      </c>
      <c r="M4" s="69" t="s">
        <v>58</v>
      </c>
      <c r="N4" s="73" t="s">
        <v>59</v>
      </c>
      <c r="S4" s="69">
        <v>2</v>
      </c>
      <c r="T4" s="73" t="s">
        <v>60</v>
      </c>
      <c r="Z4" s="69">
        <v>22000010</v>
      </c>
      <c r="AA4" s="69">
        <v>22000010</v>
      </c>
      <c r="AC4" s="69" t="s">
        <v>34</v>
      </c>
      <c r="AD4" s="69">
        <v>1</v>
      </c>
      <c r="AF4" s="69" t="s">
        <v>61</v>
      </c>
      <c r="AG4" s="73" t="s">
        <v>62</v>
      </c>
      <c r="AN4" s="74" t="s">
        <v>63</v>
      </c>
      <c r="AO4" s="69" t="s">
        <v>64</v>
      </c>
      <c r="AP4" s="69">
        <v>20</v>
      </c>
      <c r="AR4" s="69" t="s">
        <v>65</v>
      </c>
      <c r="AS4" s="73" t="s">
        <v>66</v>
      </c>
      <c r="AV4" s="69">
        <v>10001</v>
      </c>
      <c r="AW4" s="70" t="s">
        <v>45</v>
      </c>
      <c r="AX4" s="69" t="s">
        <v>46</v>
      </c>
      <c r="AY4" s="69" t="s">
        <v>47</v>
      </c>
      <c r="AZ4" s="69" t="s">
        <v>67</v>
      </c>
      <c r="BA4" s="73" t="s">
        <v>68</v>
      </c>
    </row>
    <row r="5" ht="20.1" customHeight="1" spans="3:53">
      <c r="C5" s="69" t="s">
        <v>69</v>
      </c>
      <c r="D5" s="69">
        <v>1</v>
      </c>
      <c r="F5" s="69" t="s">
        <v>70</v>
      </c>
      <c r="G5" s="73" t="s">
        <v>71</v>
      </c>
      <c r="I5" s="79">
        <v>10003</v>
      </c>
      <c r="L5" s="69" t="s">
        <v>72</v>
      </c>
      <c r="M5" s="69" t="s">
        <v>73</v>
      </c>
      <c r="N5" s="73" t="s">
        <v>74</v>
      </c>
      <c r="S5" s="69">
        <v>3</v>
      </c>
      <c r="T5" s="73" t="s">
        <v>75</v>
      </c>
      <c r="Z5" s="69">
        <v>22000020</v>
      </c>
      <c r="AA5" s="69" t="s">
        <v>76</v>
      </c>
      <c r="AC5" s="69" t="s">
        <v>37</v>
      </c>
      <c r="AD5" s="69">
        <v>1</v>
      </c>
      <c r="AF5" s="69" t="s">
        <v>77</v>
      </c>
      <c r="AG5" s="73" t="s">
        <v>78</v>
      </c>
      <c r="AM5" s="69" t="s">
        <v>79</v>
      </c>
      <c r="AN5" s="69" t="s">
        <v>80</v>
      </c>
      <c r="AP5" s="69">
        <v>25</v>
      </c>
      <c r="AR5" s="69" t="s">
        <v>81</v>
      </c>
      <c r="AS5" s="73" t="s">
        <v>82</v>
      </c>
      <c r="AV5" s="69">
        <v>10002</v>
      </c>
      <c r="AY5" s="69" t="s">
        <v>57</v>
      </c>
      <c r="AZ5" s="69" t="s">
        <v>83</v>
      </c>
      <c r="BA5" s="73" t="s">
        <v>84</v>
      </c>
    </row>
    <row r="6" ht="20.1" customHeight="1" spans="7:53">
      <c r="G6" s="73"/>
      <c r="I6" s="79">
        <v>10011</v>
      </c>
      <c r="K6" s="69" t="s">
        <v>85</v>
      </c>
      <c r="L6" s="69" t="s">
        <v>47</v>
      </c>
      <c r="M6" s="69" t="s">
        <v>86</v>
      </c>
      <c r="N6" s="73" t="s">
        <v>87</v>
      </c>
      <c r="AL6" s="69" t="s">
        <v>88</v>
      </c>
      <c r="AN6" s="69" t="s">
        <v>89</v>
      </c>
      <c r="AP6" s="69">
        <v>30</v>
      </c>
      <c r="AR6" s="69" t="s">
        <v>90</v>
      </c>
      <c r="AS6" s="73" t="s">
        <v>91</v>
      </c>
      <c r="AV6" s="69">
        <v>10003</v>
      </c>
      <c r="AY6" s="69" t="s">
        <v>72</v>
      </c>
      <c r="AZ6" s="69" t="s">
        <v>92</v>
      </c>
      <c r="BA6" s="73" t="s">
        <v>93</v>
      </c>
    </row>
    <row r="7" ht="20.1" customHeight="1" spans="3:53">
      <c r="C7" s="69" t="s">
        <v>54</v>
      </c>
      <c r="D7" s="69">
        <v>7</v>
      </c>
      <c r="F7" s="71" t="s">
        <v>94</v>
      </c>
      <c r="G7" s="72" t="s">
        <v>95</v>
      </c>
      <c r="I7" s="79">
        <v>10012</v>
      </c>
      <c r="L7" s="69" t="s">
        <v>57</v>
      </c>
      <c r="M7" s="69" t="s">
        <v>96</v>
      </c>
      <c r="N7" s="73" t="s">
        <v>97</v>
      </c>
      <c r="Z7" s="69">
        <v>22000030</v>
      </c>
      <c r="AA7" s="69" t="s">
        <v>98</v>
      </c>
      <c r="AC7" s="69" t="s">
        <v>34</v>
      </c>
      <c r="AD7" s="69">
        <v>7</v>
      </c>
      <c r="AF7" s="69" t="s">
        <v>99</v>
      </c>
      <c r="AG7" s="73" t="s">
        <v>95</v>
      </c>
      <c r="AM7" s="69" t="s">
        <v>100</v>
      </c>
      <c r="AN7" s="69" t="s">
        <v>101</v>
      </c>
      <c r="AP7" s="69">
        <v>35</v>
      </c>
      <c r="AR7" s="79" t="s">
        <v>102</v>
      </c>
      <c r="AS7" s="77" t="s">
        <v>103</v>
      </c>
      <c r="AV7" s="69">
        <v>10011</v>
      </c>
      <c r="AX7" s="69" t="s">
        <v>85</v>
      </c>
      <c r="AY7" s="69" t="s">
        <v>47</v>
      </c>
      <c r="AZ7" s="69" t="s">
        <v>104</v>
      </c>
      <c r="BA7" s="73" t="s">
        <v>105</v>
      </c>
    </row>
    <row r="8" ht="20.1" customHeight="1" spans="3:53">
      <c r="C8" s="69" t="s">
        <v>69</v>
      </c>
      <c r="D8" s="69">
        <v>7</v>
      </c>
      <c r="F8" s="69" t="s">
        <v>106</v>
      </c>
      <c r="G8" s="73" t="s">
        <v>107</v>
      </c>
      <c r="I8" s="79">
        <v>10013</v>
      </c>
      <c r="L8" s="69" t="s">
        <v>72</v>
      </c>
      <c r="M8" s="69" t="s">
        <v>108</v>
      </c>
      <c r="N8" s="73" t="s">
        <v>109</v>
      </c>
      <c r="Z8" s="69">
        <v>22000040</v>
      </c>
      <c r="AA8" s="69" t="s">
        <v>110</v>
      </c>
      <c r="AC8" s="69" t="s">
        <v>37</v>
      </c>
      <c r="AD8" s="69">
        <v>7</v>
      </c>
      <c r="AF8" s="6" t="s">
        <v>111</v>
      </c>
      <c r="AG8" s="73" t="s">
        <v>112</v>
      </c>
      <c r="AP8" s="69" t="s">
        <v>113</v>
      </c>
      <c r="AR8" s="69" t="s">
        <v>114</v>
      </c>
      <c r="AS8" s="73" t="s">
        <v>115</v>
      </c>
      <c r="AV8" s="69">
        <v>10012</v>
      </c>
      <c r="AY8" s="69" t="s">
        <v>57</v>
      </c>
      <c r="AZ8" s="69" t="s">
        <v>116</v>
      </c>
      <c r="BA8" s="73" t="s">
        <v>117</v>
      </c>
    </row>
    <row r="9" ht="20.1" customHeight="1" spans="7:53">
      <c r="G9" s="73"/>
      <c r="I9" s="79">
        <v>10021</v>
      </c>
      <c r="K9" s="69" t="s">
        <v>118</v>
      </c>
      <c r="L9" s="69" t="s">
        <v>47</v>
      </c>
      <c r="M9" s="69" t="s">
        <v>119</v>
      </c>
      <c r="N9" s="73" t="s">
        <v>120</v>
      </c>
      <c r="S9" s="69" t="s">
        <v>121</v>
      </c>
      <c r="AR9" s="69" t="s">
        <v>122</v>
      </c>
      <c r="AS9" s="73" t="s">
        <v>123</v>
      </c>
      <c r="AV9" s="69">
        <v>10013</v>
      </c>
      <c r="AY9" s="69" t="s">
        <v>72</v>
      </c>
      <c r="AZ9" s="69" t="s">
        <v>124</v>
      </c>
      <c r="BA9" s="73" t="s">
        <v>125</v>
      </c>
    </row>
    <row r="10" ht="20.1" customHeight="1" spans="3:53">
      <c r="C10" s="69" t="s">
        <v>54</v>
      </c>
      <c r="D10" s="69">
        <v>12</v>
      </c>
      <c r="F10" s="69" t="s">
        <v>126</v>
      </c>
      <c r="G10" s="73" t="s">
        <v>127</v>
      </c>
      <c r="I10" s="79">
        <v>10022</v>
      </c>
      <c r="L10" s="69" t="s">
        <v>57</v>
      </c>
      <c r="M10" s="69" t="s">
        <v>128</v>
      </c>
      <c r="N10" s="73" t="s">
        <v>129</v>
      </c>
      <c r="S10" s="69">
        <v>1</v>
      </c>
      <c r="T10" s="73" t="s">
        <v>130</v>
      </c>
      <c r="V10" s="69" t="str">
        <f>T10&amp;","&amp;T11&amp;","&amp;T12</f>
        <v>刀类专精：使用剑类武器伤害提升5%,装备精通：轻甲,暴击光环：小队内暴击概率提升5%</v>
      </c>
      <c r="Z10" s="69">
        <v>22000050</v>
      </c>
      <c r="AA10" s="69" t="s">
        <v>131</v>
      </c>
      <c r="AC10" s="69" t="s">
        <v>34</v>
      </c>
      <c r="AD10" s="69">
        <v>12</v>
      </c>
      <c r="AF10" s="69" t="s">
        <v>132</v>
      </c>
      <c r="AG10" s="73" t="s">
        <v>133</v>
      </c>
      <c r="AM10" s="69" t="s">
        <v>134</v>
      </c>
      <c r="AV10" s="69">
        <v>10021</v>
      </c>
      <c r="AX10" s="69" t="s">
        <v>118</v>
      </c>
      <c r="AY10" s="69" t="s">
        <v>47</v>
      </c>
      <c r="AZ10" s="69" t="s">
        <v>135</v>
      </c>
      <c r="BA10" s="73" t="s">
        <v>136</v>
      </c>
    </row>
    <row r="11" ht="20.1" customHeight="1" spans="3:53">
      <c r="C11" s="69" t="s">
        <v>69</v>
      </c>
      <c r="D11" s="69">
        <v>12</v>
      </c>
      <c r="F11" s="69" t="s">
        <v>137</v>
      </c>
      <c r="G11" s="73" t="s">
        <v>138</v>
      </c>
      <c r="I11" s="79">
        <v>10023</v>
      </c>
      <c r="L11" s="69" t="s">
        <v>72</v>
      </c>
      <c r="M11" s="69" t="s">
        <v>139</v>
      </c>
      <c r="N11" s="73" t="s">
        <v>140</v>
      </c>
      <c r="S11" s="69">
        <v>2</v>
      </c>
      <c r="T11" s="73" t="s">
        <v>141</v>
      </c>
      <c r="Z11" s="69">
        <v>22000060</v>
      </c>
      <c r="AA11" s="69" t="s">
        <v>142</v>
      </c>
      <c r="AC11" s="69" t="s">
        <v>37</v>
      </c>
      <c r="AD11" s="69">
        <v>12</v>
      </c>
      <c r="AF11" s="69" t="s">
        <v>143</v>
      </c>
      <c r="AG11" s="73" t="s">
        <v>144</v>
      </c>
      <c r="AM11" s="69" t="s">
        <v>145</v>
      </c>
      <c r="AN11" s="74" t="s">
        <v>146</v>
      </c>
      <c r="AP11" s="69">
        <v>20</v>
      </c>
      <c r="AR11" s="69" t="s">
        <v>147</v>
      </c>
      <c r="AS11" s="73" t="s">
        <v>148</v>
      </c>
      <c r="AV11" s="69">
        <v>10022</v>
      </c>
      <c r="AY11" s="69" t="s">
        <v>57</v>
      </c>
      <c r="AZ11" s="69" t="s">
        <v>139</v>
      </c>
      <c r="BA11" s="73" t="s">
        <v>149</v>
      </c>
    </row>
    <row r="12" ht="20.1" customHeight="1" spans="7:53">
      <c r="G12" s="73"/>
      <c r="H12" s="73"/>
      <c r="I12" s="79">
        <v>10031</v>
      </c>
      <c r="K12" s="69" t="s">
        <v>150</v>
      </c>
      <c r="L12" s="69" t="s">
        <v>47</v>
      </c>
      <c r="M12" s="69" t="s">
        <v>151</v>
      </c>
      <c r="N12" s="73" t="s">
        <v>152</v>
      </c>
      <c r="S12" s="69">
        <v>3</v>
      </c>
      <c r="T12" s="73" t="s">
        <v>153</v>
      </c>
      <c r="AN12" s="69" t="s">
        <v>154</v>
      </c>
      <c r="AP12" s="69">
        <v>25</v>
      </c>
      <c r="AR12" s="69" t="s">
        <v>155</v>
      </c>
      <c r="AS12" s="73" t="s">
        <v>156</v>
      </c>
      <c r="AV12" s="69">
        <v>10023</v>
      </c>
      <c r="AY12" s="69" t="s">
        <v>72</v>
      </c>
      <c r="AZ12" s="69" t="s">
        <v>157</v>
      </c>
      <c r="BA12" s="73" t="s">
        <v>158</v>
      </c>
    </row>
    <row r="13" ht="20.1" customHeight="1" spans="2:53">
      <c r="B13" s="69" t="s">
        <v>53</v>
      </c>
      <c r="G13" s="73"/>
      <c r="H13" s="73"/>
      <c r="I13" s="79">
        <v>10032</v>
      </c>
      <c r="L13" s="69" t="s">
        <v>57</v>
      </c>
      <c r="M13" s="69" t="s">
        <v>159</v>
      </c>
      <c r="N13" s="73" t="s">
        <v>160</v>
      </c>
      <c r="AM13" s="69" t="s">
        <v>161</v>
      </c>
      <c r="AN13" s="69" t="s">
        <v>79</v>
      </c>
      <c r="AP13" s="69">
        <v>30</v>
      </c>
      <c r="AR13" s="69" t="s">
        <v>162</v>
      </c>
      <c r="AS13" s="73" t="s">
        <v>163</v>
      </c>
      <c r="AV13" s="69">
        <v>10031</v>
      </c>
      <c r="AX13" s="69" t="s">
        <v>150</v>
      </c>
      <c r="AY13" s="69" t="s">
        <v>47</v>
      </c>
      <c r="AZ13" s="69" t="s">
        <v>164</v>
      </c>
      <c r="BA13" s="73" t="s">
        <v>165</v>
      </c>
    </row>
    <row r="14" ht="20.1" customHeight="1" spans="2:53">
      <c r="B14" s="74" t="s">
        <v>166</v>
      </c>
      <c r="C14" s="69" t="s">
        <v>64</v>
      </c>
      <c r="D14" s="69">
        <v>20</v>
      </c>
      <c r="F14" s="69" t="s">
        <v>167</v>
      </c>
      <c r="G14" s="73" t="s">
        <v>168</v>
      </c>
      <c r="H14" s="73"/>
      <c r="I14" s="79">
        <v>10033</v>
      </c>
      <c r="L14" s="69" t="s">
        <v>72</v>
      </c>
      <c r="M14" s="69" t="s">
        <v>169</v>
      </c>
      <c r="N14" s="73" t="s">
        <v>170</v>
      </c>
      <c r="AB14" s="69" t="s">
        <v>171</v>
      </c>
      <c r="AC14" s="69" t="s">
        <v>172</v>
      </c>
      <c r="AN14" s="69" t="s">
        <v>173</v>
      </c>
      <c r="AP14" s="69">
        <v>35</v>
      </c>
      <c r="AR14" s="69" t="s">
        <v>174</v>
      </c>
      <c r="AS14" s="73" t="s">
        <v>175</v>
      </c>
      <c r="AV14" s="69">
        <v>10032</v>
      </c>
      <c r="AY14" s="69" t="s">
        <v>57</v>
      </c>
      <c r="AZ14" s="69" t="s">
        <v>139</v>
      </c>
      <c r="BA14" s="73" t="s">
        <v>176</v>
      </c>
    </row>
    <row r="15" ht="20.1" customHeight="1" spans="4:53">
      <c r="D15" s="69">
        <v>25</v>
      </c>
      <c r="F15" s="69" t="s">
        <v>177</v>
      </c>
      <c r="G15" s="73" t="s">
        <v>178</v>
      </c>
      <c r="H15" s="73"/>
      <c r="I15" s="79">
        <v>10041</v>
      </c>
      <c r="K15" s="69" t="s">
        <v>179</v>
      </c>
      <c r="L15" s="69" t="s">
        <v>47</v>
      </c>
      <c r="M15" s="69" t="s">
        <v>180</v>
      </c>
      <c r="N15" s="73" t="s">
        <v>181</v>
      </c>
      <c r="AB15" s="69" t="s">
        <v>134</v>
      </c>
      <c r="AC15" s="69" t="s">
        <v>182</v>
      </c>
      <c r="AP15" s="69" t="s">
        <v>113</v>
      </c>
      <c r="AR15" s="69" t="s">
        <v>114</v>
      </c>
      <c r="AS15" s="73" t="s">
        <v>183</v>
      </c>
      <c r="AV15" s="69">
        <v>10033</v>
      </c>
      <c r="AY15" s="69" t="s">
        <v>72</v>
      </c>
      <c r="AZ15" s="69" t="s">
        <v>184</v>
      </c>
      <c r="BA15" s="73" t="s">
        <v>185</v>
      </c>
    </row>
    <row r="16" ht="20.1" customHeight="1" spans="4:53">
      <c r="D16" s="69">
        <v>30</v>
      </c>
      <c r="F16" s="75" t="s">
        <v>186</v>
      </c>
      <c r="G16" s="76" t="s">
        <v>187</v>
      </c>
      <c r="H16" s="77"/>
      <c r="I16" s="79">
        <v>10042</v>
      </c>
      <c r="L16" s="69" t="s">
        <v>57</v>
      </c>
      <c r="M16" s="69" t="s">
        <v>188</v>
      </c>
      <c r="N16" s="73" t="s">
        <v>189</v>
      </c>
      <c r="S16" s="69" t="s">
        <v>190</v>
      </c>
      <c r="AB16" s="69" t="s">
        <v>191</v>
      </c>
      <c r="AC16" s="69" t="s">
        <v>192</v>
      </c>
      <c r="AR16" s="69" t="s">
        <v>122</v>
      </c>
      <c r="AS16" s="73" t="s">
        <v>193</v>
      </c>
      <c r="AV16" s="69">
        <v>10041</v>
      </c>
      <c r="AX16" s="69" t="s">
        <v>179</v>
      </c>
      <c r="AY16" s="69" t="s">
        <v>47</v>
      </c>
      <c r="AZ16" s="69" t="s">
        <v>132</v>
      </c>
      <c r="BA16" s="73" t="s">
        <v>194</v>
      </c>
    </row>
    <row r="17" ht="20.1" customHeight="1" spans="4:53">
      <c r="D17" s="69">
        <v>35</v>
      </c>
      <c r="F17" s="69" t="s">
        <v>195</v>
      </c>
      <c r="G17" s="73" t="s">
        <v>196</v>
      </c>
      <c r="H17" s="73"/>
      <c r="I17" s="79">
        <v>10043</v>
      </c>
      <c r="L17" s="69" t="s">
        <v>72</v>
      </c>
      <c r="M17" s="69" t="s">
        <v>128</v>
      </c>
      <c r="N17" s="73" t="s">
        <v>197</v>
      </c>
      <c r="S17" s="69">
        <v>1</v>
      </c>
      <c r="T17" s="73" t="s">
        <v>198</v>
      </c>
      <c r="V17" s="69" t="str">
        <f>T17&amp;","&amp;T18&amp;","&amp;T19</f>
        <v>刀类专精：使用刀类武器伤害提升5%,装备精通：重甲,伤害光环：小队内造成伤害提升5%</v>
      </c>
      <c r="AV17" s="69">
        <v>10042</v>
      </c>
      <c r="AY17" s="69" t="s">
        <v>57</v>
      </c>
      <c r="AZ17" s="69" t="s">
        <v>139</v>
      </c>
      <c r="BA17" s="73" t="s">
        <v>199</v>
      </c>
    </row>
    <row r="18" ht="20.1" customHeight="1" spans="4:53">
      <c r="D18" s="69" t="s">
        <v>113</v>
      </c>
      <c r="F18" s="69" t="s">
        <v>114</v>
      </c>
      <c r="G18" s="73" t="s">
        <v>200</v>
      </c>
      <c r="H18" s="73"/>
      <c r="I18" s="69">
        <v>10051</v>
      </c>
      <c r="K18" s="69" t="s">
        <v>201</v>
      </c>
      <c r="L18" s="69" t="s">
        <v>47</v>
      </c>
      <c r="M18" s="69" t="s">
        <v>202</v>
      </c>
      <c r="N18" s="73" t="s">
        <v>203</v>
      </c>
      <c r="S18" s="69">
        <v>2</v>
      </c>
      <c r="T18" s="73" t="s">
        <v>204</v>
      </c>
      <c r="AM18" s="69" t="s">
        <v>154</v>
      </c>
      <c r="AN18" s="74" t="s">
        <v>205</v>
      </c>
      <c r="AP18" s="69">
        <v>20</v>
      </c>
      <c r="AR18" s="69" t="s">
        <v>206</v>
      </c>
      <c r="AS18" s="73" t="s">
        <v>207</v>
      </c>
      <c r="AV18" s="69">
        <v>10043</v>
      </c>
      <c r="AY18" s="69" t="s">
        <v>72</v>
      </c>
      <c r="AZ18" s="69" t="s">
        <v>208</v>
      </c>
      <c r="BA18" s="73" t="s">
        <v>209</v>
      </c>
    </row>
    <row r="19" ht="20.1" customHeight="1" spans="6:53">
      <c r="F19" s="69" t="s">
        <v>122</v>
      </c>
      <c r="G19" s="73" t="s">
        <v>210</v>
      </c>
      <c r="H19" s="73"/>
      <c r="I19" s="69">
        <v>10052</v>
      </c>
      <c r="L19" s="69" t="s">
        <v>57</v>
      </c>
      <c r="M19" s="69" t="s">
        <v>211</v>
      </c>
      <c r="N19" s="73" t="s">
        <v>212</v>
      </c>
      <c r="S19" s="69">
        <v>3</v>
      </c>
      <c r="T19" s="73" t="s">
        <v>213</v>
      </c>
      <c r="AM19" s="69" t="s">
        <v>214</v>
      </c>
      <c r="AO19" s="69" t="s">
        <v>215</v>
      </c>
      <c r="AP19" s="69">
        <v>25</v>
      </c>
      <c r="AR19" s="69" t="s">
        <v>216</v>
      </c>
      <c r="AS19" s="73" t="s">
        <v>217</v>
      </c>
      <c r="AV19" s="69">
        <v>10051</v>
      </c>
      <c r="AX19" s="69" t="s">
        <v>201</v>
      </c>
      <c r="AY19" s="69" t="s">
        <v>47</v>
      </c>
      <c r="AZ19" s="69" t="s">
        <v>218</v>
      </c>
      <c r="BA19" s="73" t="s">
        <v>219</v>
      </c>
    </row>
    <row r="20" ht="20.1" customHeight="1" spans="9:53">
      <c r="I20" s="69">
        <v>10053</v>
      </c>
      <c r="L20" s="69" t="s">
        <v>72</v>
      </c>
      <c r="M20" s="69" t="s">
        <v>220</v>
      </c>
      <c r="N20" s="73" t="s">
        <v>221</v>
      </c>
      <c r="AB20" s="69" t="s">
        <v>222</v>
      </c>
      <c r="AC20" s="69" t="s">
        <v>223</v>
      </c>
      <c r="AN20" s="69" t="s">
        <v>154</v>
      </c>
      <c r="AP20" s="69">
        <v>30</v>
      </c>
      <c r="AR20" s="69" t="s">
        <v>224</v>
      </c>
      <c r="AS20" s="73" t="s">
        <v>225</v>
      </c>
      <c r="AV20" s="69">
        <v>10052</v>
      </c>
      <c r="AY20" s="69" t="s">
        <v>57</v>
      </c>
      <c r="AZ20" s="69" t="s">
        <v>139</v>
      </c>
      <c r="BA20" s="73" t="s">
        <v>226</v>
      </c>
    </row>
    <row r="21" ht="20.1" customHeight="1" spans="2:53">
      <c r="B21" s="74" t="s">
        <v>227</v>
      </c>
      <c r="D21" s="69">
        <v>20</v>
      </c>
      <c r="F21" s="69" t="s">
        <v>228</v>
      </c>
      <c r="G21" s="73" t="s">
        <v>229</v>
      </c>
      <c r="H21" s="73"/>
      <c r="N21" s="73"/>
      <c r="AN21" s="69" t="s">
        <v>230</v>
      </c>
      <c r="AP21" s="69">
        <v>35</v>
      </c>
      <c r="AR21" s="69" t="s">
        <v>231</v>
      </c>
      <c r="AS21" s="73" t="s">
        <v>232</v>
      </c>
      <c r="AV21" s="69">
        <v>10053</v>
      </c>
      <c r="AY21" s="69" t="s">
        <v>72</v>
      </c>
      <c r="AZ21" s="69" t="s">
        <v>233</v>
      </c>
      <c r="BA21" s="73" t="s">
        <v>234</v>
      </c>
    </row>
    <row r="22" ht="20.1" customHeight="1" spans="4:45">
      <c r="D22" s="69">
        <v>25</v>
      </c>
      <c r="F22" s="69" t="s">
        <v>235</v>
      </c>
      <c r="G22" s="73" t="s">
        <v>236</v>
      </c>
      <c r="H22" s="73"/>
      <c r="N22" s="69" t="s">
        <v>237</v>
      </c>
      <c r="AG22" s="73"/>
      <c r="AP22" s="69" t="s">
        <v>113</v>
      </c>
      <c r="AR22" s="69" t="s">
        <v>114</v>
      </c>
      <c r="AS22" s="73" t="s">
        <v>238</v>
      </c>
    </row>
    <row r="23" ht="20.1" customHeight="1" spans="4:45">
      <c r="D23" s="69">
        <v>30</v>
      </c>
      <c r="F23" s="69" t="s">
        <v>239</v>
      </c>
      <c r="G23" s="73" t="s">
        <v>240</v>
      </c>
      <c r="H23" s="73"/>
      <c r="I23" s="73"/>
      <c r="N23" s="69" t="s">
        <v>241</v>
      </c>
      <c r="AF23" s="69" t="s">
        <v>242</v>
      </c>
      <c r="AG23" s="73"/>
      <c r="AI23" s="69" t="s">
        <v>242</v>
      </c>
      <c r="AK23" s="69" t="s">
        <v>243</v>
      </c>
      <c r="AL23" s="69" t="s">
        <v>242</v>
      </c>
      <c r="AM23" s="73"/>
      <c r="AR23" s="69" t="s">
        <v>122</v>
      </c>
      <c r="AS23" s="73" t="s">
        <v>244</v>
      </c>
    </row>
    <row r="24" ht="20.1" customHeight="1" spans="4:42">
      <c r="D24" s="69">
        <v>35</v>
      </c>
      <c r="F24" s="69" t="s">
        <v>245</v>
      </c>
      <c r="G24" s="73" t="s">
        <v>246</v>
      </c>
      <c r="H24" s="73"/>
      <c r="I24" s="73"/>
      <c r="N24" s="69" t="s">
        <v>247</v>
      </c>
      <c r="AD24" s="69" t="s">
        <v>248</v>
      </c>
      <c r="AF24" s="69">
        <v>2.5</v>
      </c>
      <c r="AG24" s="69">
        <v>300</v>
      </c>
      <c r="AI24" s="69">
        <v>2.5</v>
      </c>
      <c r="AJ24" s="69">
        <v>1500</v>
      </c>
      <c r="AK24" s="69">
        <v>3</v>
      </c>
      <c r="AL24" s="69">
        <v>2.5</v>
      </c>
      <c r="AM24" s="69">
        <v>300</v>
      </c>
      <c r="AN24" s="69">
        <f>AL24*1500</f>
        <v>3750</v>
      </c>
      <c r="AO24" s="69">
        <f>AM24</f>
        <v>300</v>
      </c>
      <c r="AP24" s="69">
        <f>AO24+AN24</f>
        <v>4050</v>
      </c>
    </row>
    <row r="25" ht="20.1" customHeight="1" spans="4:42">
      <c r="D25" s="69" t="s">
        <v>113</v>
      </c>
      <c r="F25" s="69" t="s">
        <v>114</v>
      </c>
      <c r="G25" s="73" t="s">
        <v>249</v>
      </c>
      <c r="H25" s="73"/>
      <c r="N25" s="69" t="s">
        <v>250</v>
      </c>
      <c r="S25" s="69" t="s">
        <v>40</v>
      </c>
      <c r="AE25" s="69">
        <f>AF25-AF24</f>
        <v>0</v>
      </c>
      <c r="AF25" s="69">
        <v>2.5</v>
      </c>
      <c r="AG25" s="69">
        <v>300</v>
      </c>
      <c r="AI25" s="69">
        <v>2.5</v>
      </c>
      <c r="AJ25" s="69">
        <v>1500</v>
      </c>
      <c r="AK25" s="69">
        <v>3</v>
      </c>
      <c r="AL25" s="69">
        <v>2.5</v>
      </c>
      <c r="AM25" s="69">
        <v>300</v>
      </c>
      <c r="AN25" s="69">
        <f t="shared" ref="AN25:AN29" si="0">AL25*1500</f>
        <v>3750</v>
      </c>
      <c r="AO25" s="69">
        <f t="shared" ref="AO25:AO29" si="1">AM25</f>
        <v>300</v>
      </c>
      <c r="AP25" s="69">
        <f t="shared" ref="AP25:AP29" si="2">AO25+AN25</f>
        <v>4050</v>
      </c>
    </row>
    <row r="26" ht="20.1" customHeight="1" spans="6:53">
      <c r="F26" s="69" t="s">
        <v>122</v>
      </c>
      <c r="G26" s="73" t="s">
        <v>251</v>
      </c>
      <c r="H26" s="73"/>
      <c r="N26" s="69" t="s">
        <v>252</v>
      </c>
      <c r="R26" s="69" t="s">
        <v>253</v>
      </c>
      <c r="S26" s="69">
        <v>1</v>
      </c>
      <c r="T26" s="69" t="s">
        <v>254</v>
      </c>
      <c r="U26" s="73" t="s">
        <v>255</v>
      </c>
      <c r="AD26" s="69">
        <f>1000*AE26</f>
        <v>0</v>
      </c>
      <c r="AE26" s="69">
        <f t="shared" ref="AE26:AE29" si="3">AF26-AF25</f>
        <v>0</v>
      </c>
      <c r="AF26" s="69">
        <v>2.5</v>
      </c>
      <c r="AG26" s="69">
        <v>600</v>
      </c>
      <c r="AI26" s="69">
        <v>2.5</v>
      </c>
      <c r="AJ26" s="69">
        <v>2000</v>
      </c>
      <c r="AK26" s="69">
        <v>3</v>
      </c>
      <c r="AL26" s="69">
        <v>2.5</v>
      </c>
      <c r="AM26" s="69">
        <v>600</v>
      </c>
      <c r="AN26" s="69">
        <f t="shared" si="0"/>
        <v>3750</v>
      </c>
      <c r="AO26" s="69">
        <f t="shared" si="1"/>
        <v>600</v>
      </c>
      <c r="AP26" s="69">
        <f t="shared" si="2"/>
        <v>4350</v>
      </c>
      <c r="AZ26" s="69" t="s">
        <v>48</v>
      </c>
      <c r="BA26" s="73" t="s">
        <v>49</v>
      </c>
    </row>
    <row r="27" ht="20.1" customHeight="1" spans="11:53">
      <c r="K27" s="77" t="s">
        <v>256</v>
      </c>
      <c r="L27" s="79"/>
      <c r="M27" s="79"/>
      <c r="N27" s="80"/>
      <c r="S27" s="69">
        <v>2</v>
      </c>
      <c r="T27" s="69" t="s">
        <v>257</v>
      </c>
      <c r="U27" s="73" t="s">
        <v>258</v>
      </c>
      <c r="AE27" s="69">
        <f t="shared" si="3"/>
        <v>0</v>
      </c>
      <c r="AF27" s="69">
        <v>2.5</v>
      </c>
      <c r="AG27" s="69">
        <v>1000</v>
      </c>
      <c r="AI27" s="69">
        <v>2.5</v>
      </c>
      <c r="AJ27" s="69">
        <v>2500</v>
      </c>
      <c r="AK27" s="69">
        <v>3</v>
      </c>
      <c r="AL27" s="69">
        <v>2.5</v>
      </c>
      <c r="AM27" s="69">
        <v>1000</v>
      </c>
      <c r="AN27" s="69">
        <f t="shared" si="0"/>
        <v>3750</v>
      </c>
      <c r="AO27" s="69">
        <f t="shared" si="1"/>
        <v>1000</v>
      </c>
      <c r="AP27" s="69">
        <f t="shared" si="2"/>
        <v>4750</v>
      </c>
      <c r="AR27" s="69" t="s">
        <v>259</v>
      </c>
      <c r="AS27" s="73" t="s">
        <v>260</v>
      </c>
      <c r="AZ27" s="69" t="s">
        <v>58</v>
      </c>
      <c r="BA27" s="73" t="s">
        <v>59</v>
      </c>
    </row>
    <row r="28" ht="20.1" customHeight="1" spans="2:53">
      <c r="B28" s="74" t="s">
        <v>261</v>
      </c>
      <c r="D28" s="69">
        <v>20</v>
      </c>
      <c r="F28" s="69" t="s">
        <v>262</v>
      </c>
      <c r="G28" s="73" t="s">
        <v>263</v>
      </c>
      <c r="H28" s="73"/>
      <c r="K28" s="77" t="s">
        <v>264</v>
      </c>
      <c r="L28" s="79"/>
      <c r="M28" s="79"/>
      <c r="N28" s="69" t="s">
        <v>265</v>
      </c>
      <c r="S28" s="69">
        <v>3</v>
      </c>
      <c r="AE28" s="69">
        <f t="shared" si="3"/>
        <v>0</v>
      </c>
      <c r="AF28" s="69">
        <v>2.5</v>
      </c>
      <c r="AG28" s="69">
        <v>1500</v>
      </c>
      <c r="AI28" s="69">
        <v>2.5</v>
      </c>
      <c r="AJ28" s="69">
        <v>3000</v>
      </c>
      <c r="AK28" s="69">
        <v>3</v>
      </c>
      <c r="AL28" s="69">
        <v>2.5</v>
      </c>
      <c r="AM28" s="69">
        <v>1500</v>
      </c>
      <c r="AN28" s="69">
        <f t="shared" si="0"/>
        <v>3750</v>
      </c>
      <c r="AO28" s="69">
        <f t="shared" si="1"/>
        <v>1500</v>
      </c>
      <c r="AP28" s="69">
        <f t="shared" si="2"/>
        <v>5250</v>
      </c>
      <c r="AS28" s="73"/>
      <c r="AZ28" s="69" t="s">
        <v>73</v>
      </c>
      <c r="BA28" s="73" t="s">
        <v>74</v>
      </c>
    </row>
    <row r="29" ht="20.1" customHeight="1" spans="4:53">
      <c r="D29" s="69">
        <v>25</v>
      </c>
      <c r="F29" s="69" t="s">
        <v>266</v>
      </c>
      <c r="G29" s="73" t="s">
        <v>267</v>
      </c>
      <c r="H29" s="73"/>
      <c r="K29" s="73"/>
      <c r="S29" s="69">
        <v>4</v>
      </c>
      <c r="AE29" s="69">
        <f t="shared" si="3"/>
        <v>0</v>
      </c>
      <c r="AF29" s="69">
        <v>2.5</v>
      </c>
      <c r="AG29" s="69">
        <v>2000</v>
      </c>
      <c r="AI29" s="69">
        <v>2.5</v>
      </c>
      <c r="AJ29" s="69">
        <v>3500</v>
      </c>
      <c r="AK29" s="69">
        <v>3</v>
      </c>
      <c r="AL29" s="69">
        <v>2.5</v>
      </c>
      <c r="AM29" s="69">
        <v>2000</v>
      </c>
      <c r="AN29" s="69">
        <f t="shared" si="0"/>
        <v>3750</v>
      </c>
      <c r="AO29" s="69">
        <f t="shared" si="1"/>
        <v>2000</v>
      </c>
      <c r="AP29" s="69">
        <f t="shared" si="2"/>
        <v>5750</v>
      </c>
      <c r="AR29" s="79"/>
      <c r="AS29" s="77"/>
      <c r="AZ29" s="69" t="s">
        <v>86</v>
      </c>
      <c r="BA29" s="73" t="s">
        <v>87</v>
      </c>
    </row>
    <row r="30" ht="20.1" customHeight="1" spans="4:53">
      <c r="D30" s="69">
        <v>30</v>
      </c>
      <c r="F30" s="69" t="s">
        <v>268</v>
      </c>
      <c r="G30" s="73" t="s">
        <v>269</v>
      </c>
      <c r="H30" s="73"/>
      <c r="S30" s="69">
        <v>5</v>
      </c>
      <c r="AS30" s="73"/>
      <c r="AZ30" s="69" t="s">
        <v>96</v>
      </c>
      <c r="BA30" s="73" t="s">
        <v>97</v>
      </c>
    </row>
    <row r="31" ht="20.1" customHeight="1" spans="4:53">
      <c r="D31" s="69">
        <v>35</v>
      </c>
      <c r="F31" s="69" t="s">
        <v>270</v>
      </c>
      <c r="G31" s="73" t="s">
        <v>271</v>
      </c>
      <c r="H31" s="73"/>
      <c r="J31" s="69" t="s">
        <v>272</v>
      </c>
      <c r="K31" s="69" t="s">
        <v>171</v>
      </c>
      <c r="L31" s="69" t="s">
        <v>273</v>
      </c>
      <c r="S31" s="69">
        <v>6</v>
      </c>
      <c r="AF31" s="69" t="s">
        <v>274</v>
      </c>
      <c r="AI31" s="69" t="s">
        <v>274</v>
      </c>
      <c r="AS31" s="73"/>
      <c r="AZ31" s="69" t="s">
        <v>108</v>
      </c>
      <c r="BA31" s="73" t="s">
        <v>109</v>
      </c>
    </row>
    <row r="32" ht="20.1" customHeight="1" spans="4:53">
      <c r="D32" s="69" t="s">
        <v>113</v>
      </c>
      <c r="F32" s="69" t="s">
        <v>114</v>
      </c>
      <c r="G32" s="73" t="s">
        <v>275</v>
      </c>
      <c r="H32" s="73"/>
      <c r="I32" s="69">
        <f>K32/5*2</f>
        <v>60</v>
      </c>
      <c r="J32" s="69">
        <v>1</v>
      </c>
      <c r="K32" s="69">
        <v>150</v>
      </c>
      <c r="L32" s="69">
        <v>200</v>
      </c>
      <c r="S32" s="69">
        <v>7</v>
      </c>
      <c r="AF32" s="69">
        <v>2</v>
      </c>
      <c r="AG32" s="69">
        <v>210</v>
      </c>
      <c r="AI32" s="69">
        <v>2</v>
      </c>
      <c r="AJ32" s="69">
        <v>1050</v>
      </c>
      <c r="AL32" s="69">
        <v>2</v>
      </c>
      <c r="AM32" s="69">
        <f>AM24*0.7</f>
        <v>210</v>
      </c>
      <c r="AO32" s="69">
        <v>2136</v>
      </c>
      <c r="AP32" s="69">
        <v>836</v>
      </c>
      <c r="AQ32" s="69">
        <f>AO32-AP32</f>
        <v>1300</v>
      </c>
      <c r="AS32" s="73"/>
      <c r="AZ32" s="69" t="s">
        <v>119</v>
      </c>
      <c r="BA32" s="73" t="s">
        <v>120</v>
      </c>
    </row>
    <row r="33" ht="20.1" customHeight="1" spans="6:53">
      <c r="F33" s="69" t="s">
        <v>122</v>
      </c>
      <c r="G33" s="73" t="s">
        <v>276</v>
      </c>
      <c r="H33" s="73"/>
      <c r="I33" s="69">
        <f t="shared" ref="I33:I36" si="4">K33/5*2</f>
        <v>70</v>
      </c>
      <c r="J33" s="69">
        <v>2</v>
      </c>
      <c r="K33" s="69">
        <v>175</v>
      </c>
      <c r="L33" s="69">
        <v>280</v>
      </c>
      <c r="Q33" s="69" t="s">
        <v>277</v>
      </c>
      <c r="S33" s="69">
        <v>8</v>
      </c>
      <c r="AE33" s="69">
        <f t="shared" ref="AE33:AE37" si="5">AF33-AF32</f>
        <v>0</v>
      </c>
      <c r="AF33" s="69">
        <v>2</v>
      </c>
      <c r="AG33" s="69">
        <v>210</v>
      </c>
      <c r="AI33" s="69">
        <v>2</v>
      </c>
      <c r="AJ33" s="69">
        <v>1050</v>
      </c>
      <c r="AL33" s="69">
        <v>2</v>
      </c>
      <c r="AM33" s="69">
        <f t="shared" ref="AM33:AM37" si="6">AM25*0.7</f>
        <v>210</v>
      </c>
      <c r="AQ33" s="69">
        <f>AQ32*2.25</f>
        <v>2925</v>
      </c>
      <c r="AR33" s="69">
        <f>AQ33*0.3</f>
        <v>877.5</v>
      </c>
      <c r="AZ33" s="69" t="s">
        <v>128</v>
      </c>
      <c r="BA33" s="73" t="s">
        <v>129</v>
      </c>
    </row>
    <row r="34" ht="20.1" customHeight="1" spans="9:53">
      <c r="I34" s="69">
        <f t="shared" si="4"/>
        <v>80</v>
      </c>
      <c r="J34" s="69">
        <v>3</v>
      </c>
      <c r="K34" s="69">
        <v>200</v>
      </c>
      <c r="L34" s="69">
        <v>360</v>
      </c>
      <c r="S34" s="69">
        <v>9</v>
      </c>
      <c r="AE34" s="69">
        <f t="shared" si="5"/>
        <v>0</v>
      </c>
      <c r="AF34" s="69">
        <v>2</v>
      </c>
      <c r="AG34" s="69">
        <v>420</v>
      </c>
      <c r="AI34" s="69">
        <v>2</v>
      </c>
      <c r="AJ34" s="69">
        <v>1400</v>
      </c>
      <c r="AK34" s="69">
        <f t="shared" ref="AK34:AK37" si="7">AJ34-AJ33</f>
        <v>350</v>
      </c>
      <c r="AL34" s="69">
        <v>2</v>
      </c>
      <c r="AM34" s="69">
        <f t="shared" si="6"/>
        <v>420</v>
      </c>
      <c r="AS34" s="73"/>
      <c r="AZ34" s="69" t="s">
        <v>139</v>
      </c>
      <c r="BA34" s="73" t="s">
        <v>140</v>
      </c>
    </row>
    <row r="35" ht="20.1" customHeight="1" spans="9:53">
      <c r="I35" s="69">
        <f t="shared" si="4"/>
        <v>90</v>
      </c>
      <c r="J35" s="69">
        <v>4</v>
      </c>
      <c r="K35" s="69">
        <v>225</v>
      </c>
      <c r="L35" s="69">
        <v>420</v>
      </c>
      <c r="S35" s="69">
        <v>10</v>
      </c>
      <c r="AE35" s="69">
        <f t="shared" si="5"/>
        <v>0</v>
      </c>
      <c r="AF35" s="69">
        <v>2</v>
      </c>
      <c r="AG35" s="69">
        <v>700</v>
      </c>
      <c r="AI35" s="69">
        <v>2</v>
      </c>
      <c r="AJ35" s="69">
        <v>1750</v>
      </c>
      <c r="AK35" s="69">
        <f t="shared" si="7"/>
        <v>350</v>
      </c>
      <c r="AL35" s="69">
        <v>2</v>
      </c>
      <c r="AM35" s="69">
        <f t="shared" si="6"/>
        <v>700</v>
      </c>
      <c r="AS35" s="73"/>
      <c r="AZ35" s="69" t="s">
        <v>151</v>
      </c>
      <c r="BA35" s="73" t="s">
        <v>152</v>
      </c>
    </row>
    <row r="36" ht="20.1" customHeight="1" spans="9:53">
      <c r="I36" s="69">
        <f t="shared" si="4"/>
        <v>100</v>
      </c>
      <c r="J36" s="69">
        <v>5</v>
      </c>
      <c r="K36" s="69">
        <v>250</v>
      </c>
      <c r="L36" s="69">
        <v>500</v>
      </c>
      <c r="AE36" s="69">
        <f t="shared" si="5"/>
        <v>0</v>
      </c>
      <c r="AF36" s="69">
        <v>2</v>
      </c>
      <c r="AG36" s="69">
        <v>1050</v>
      </c>
      <c r="AI36" s="69">
        <v>2</v>
      </c>
      <c r="AJ36" s="69">
        <v>2100</v>
      </c>
      <c r="AK36" s="69">
        <f t="shared" si="7"/>
        <v>350</v>
      </c>
      <c r="AL36" s="69">
        <v>2</v>
      </c>
      <c r="AM36" s="69">
        <f t="shared" si="6"/>
        <v>1050</v>
      </c>
      <c r="AS36" s="73"/>
      <c r="AZ36" s="69" t="s">
        <v>159</v>
      </c>
      <c r="BA36" s="73" t="s">
        <v>160</v>
      </c>
    </row>
    <row r="37" ht="20.1" customHeight="1" spans="6:53">
      <c r="F37" s="69" t="s">
        <v>278</v>
      </c>
      <c r="AE37" s="69">
        <f t="shared" si="5"/>
        <v>0</v>
      </c>
      <c r="AF37" s="69">
        <v>2</v>
      </c>
      <c r="AG37" s="69">
        <v>1400</v>
      </c>
      <c r="AI37" s="69">
        <v>2</v>
      </c>
      <c r="AJ37" s="69">
        <v>2450</v>
      </c>
      <c r="AK37" s="69">
        <f t="shared" si="7"/>
        <v>350</v>
      </c>
      <c r="AL37" s="69">
        <v>2</v>
      </c>
      <c r="AM37" s="69">
        <f t="shared" si="6"/>
        <v>1400</v>
      </c>
      <c r="AS37" s="73"/>
      <c r="AZ37" s="69" t="s">
        <v>169</v>
      </c>
      <c r="BA37" s="73" t="s">
        <v>170</v>
      </c>
    </row>
    <row r="38" ht="20.1" customHeight="1" spans="4:53">
      <c r="D38" s="69">
        <v>14080001</v>
      </c>
      <c r="E38" s="69" t="s">
        <v>279</v>
      </c>
      <c r="F38" s="69" t="s">
        <v>280</v>
      </c>
      <c r="G38" s="73" t="s">
        <v>281</v>
      </c>
      <c r="J38" s="69" t="s">
        <v>282</v>
      </c>
      <c r="AS38" s="73"/>
      <c r="AZ38" s="69" t="s">
        <v>180</v>
      </c>
      <c r="BA38" s="73" t="s">
        <v>181</v>
      </c>
    </row>
    <row r="39" ht="20.1" customHeight="1" spans="4:53">
      <c r="D39" s="69">
        <v>14080002</v>
      </c>
      <c r="E39" s="69" t="s">
        <v>283</v>
      </c>
      <c r="G39" s="73" t="s">
        <v>284</v>
      </c>
      <c r="J39" s="69">
        <v>1</v>
      </c>
      <c r="K39" s="69">
        <v>120</v>
      </c>
      <c r="L39" s="69">
        <v>100</v>
      </c>
      <c r="AS39" s="73"/>
      <c r="AZ39" s="69" t="s">
        <v>188</v>
      </c>
      <c r="BA39" s="73" t="s">
        <v>189</v>
      </c>
    </row>
    <row r="40" ht="20.1" customHeight="1" spans="4:53">
      <c r="D40" s="69">
        <v>14080003</v>
      </c>
      <c r="E40" s="69" t="s">
        <v>285</v>
      </c>
      <c r="G40" s="73" t="s">
        <v>286</v>
      </c>
      <c r="J40" s="69">
        <v>2</v>
      </c>
      <c r="K40" s="69">
        <v>140</v>
      </c>
      <c r="L40" s="69">
        <v>150</v>
      </c>
      <c r="T40"/>
      <c r="AZ40" s="69" t="s">
        <v>128</v>
      </c>
      <c r="BA40" s="73" t="s">
        <v>197</v>
      </c>
    </row>
    <row r="41" ht="20.1" customHeight="1" spans="4:53">
      <c r="D41" s="69">
        <v>15208001</v>
      </c>
      <c r="E41" s="69" t="s">
        <v>287</v>
      </c>
      <c r="G41" s="73" t="s">
        <v>288</v>
      </c>
      <c r="J41" s="69">
        <v>3</v>
      </c>
      <c r="K41" s="69">
        <v>160</v>
      </c>
      <c r="L41" s="69">
        <v>200</v>
      </c>
      <c r="T41" s="81"/>
      <c r="AS41" s="73"/>
      <c r="AZ41" s="69" t="s">
        <v>202</v>
      </c>
      <c r="BA41" s="73" t="s">
        <v>203</v>
      </c>
    </row>
    <row r="42" ht="20.1" customHeight="1" spans="4:53">
      <c r="D42" s="69">
        <v>15208002</v>
      </c>
      <c r="E42" s="69" t="s">
        <v>289</v>
      </c>
      <c r="F42" s="69" t="s">
        <v>290</v>
      </c>
      <c r="G42" s="73" t="s">
        <v>291</v>
      </c>
      <c r="J42" s="69">
        <v>4</v>
      </c>
      <c r="K42" s="69">
        <v>180</v>
      </c>
      <c r="L42" s="69">
        <v>250</v>
      </c>
      <c r="T42" s="82"/>
      <c r="AS42" s="73"/>
      <c r="AZ42" s="69" t="s">
        <v>211</v>
      </c>
      <c r="BA42" s="73" t="s">
        <v>212</v>
      </c>
    </row>
    <row r="43" ht="20.1" customHeight="1" spans="4:53">
      <c r="D43" s="69">
        <v>15308001</v>
      </c>
      <c r="E43" s="69" t="s">
        <v>292</v>
      </c>
      <c r="G43" s="73" t="s">
        <v>293</v>
      </c>
      <c r="J43" s="69">
        <v>5</v>
      </c>
      <c r="K43" s="69">
        <v>200</v>
      </c>
      <c r="L43" s="69">
        <v>300</v>
      </c>
      <c r="T43" s="83"/>
      <c r="AS43" s="73"/>
      <c r="AZ43" s="69" t="s">
        <v>220</v>
      </c>
      <c r="BA43" s="73" t="s">
        <v>294</v>
      </c>
    </row>
    <row r="44" ht="20.1" customHeight="1" spans="4:45">
      <c r="D44" s="69">
        <v>15308002</v>
      </c>
      <c r="E44" s="69" t="s">
        <v>295</v>
      </c>
      <c r="G44" s="73" t="s">
        <v>296</v>
      </c>
      <c r="T44" s="84"/>
      <c r="AS44" s="73"/>
    </row>
    <row r="45" ht="20.1" customHeight="1" spans="4:45">
      <c r="D45" s="69">
        <v>15408001</v>
      </c>
      <c r="E45" s="69" t="s">
        <v>297</v>
      </c>
      <c r="G45" s="73" t="s">
        <v>298</v>
      </c>
      <c r="T45" s="85"/>
      <c r="AS45" s="73"/>
    </row>
    <row r="46" ht="20.1" customHeight="1" spans="4:45">
      <c r="D46" s="69">
        <v>15408002</v>
      </c>
      <c r="E46" s="69" t="s">
        <v>299</v>
      </c>
      <c r="G46" s="73" t="s">
        <v>300</v>
      </c>
      <c r="T46" s="81"/>
      <c r="AS46" s="73"/>
    </row>
    <row r="47" ht="20.1" customHeight="1" spans="4:20">
      <c r="D47" s="69">
        <v>15508001</v>
      </c>
      <c r="E47" s="69" t="s">
        <v>301</v>
      </c>
      <c r="F47" s="69" t="s">
        <v>280</v>
      </c>
      <c r="G47" s="73" t="s">
        <v>302</v>
      </c>
      <c r="T47" s="82"/>
    </row>
    <row r="48" ht="20.1" customHeight="1" spans="4:7">
      <c r="D48" s="69">
        <v>15508002</v>
      </c>
      <c r="E48" s="69" t="s">
        <v>303</v>
      </c>
      <c r="G48" s="73" t="s">
        <v>304</v>
      </c>
    </row>
    <row r="49" ht="20.1" customHeight="1"/>
    <row r="50" ht="20.1" customHeight="1"/>
    <row r="51" ht="20.1" customHeight="1" spans="2:7">
      <c r="B51" s="69" t="s">
        <v>305</v>
      </c>
      <c r="C51" s="69" t="s">
        <v>306</v>
      </c>
      <c r="D51" s="73" t="s">
        <v>307</v>
      </c>
      <c r="G51" s="69" t="s">
        <v>308</v>
      </c>
    </row>
    <row r="52" ht="20.1" customHeight="1" spans="2:4">
      <c r="B52" s="69" t="s">
        <v>215</v>
      </c>
      <c r="C52" s="69" t="s">
        <v>309</v>
      </c>
      <c r="D52" s="73" t="s">
        <v>310</v>
      </c>
    </row>
    <row r="53" ht="20.1" customHeight="1" spans="2:4">
      <c r="B53" s="69" t="s">
        <v>311</v>
      </c>
      <c r="C53" s="69" t="s">
        <v>312</v>
      </c>
      <c r="D53" s="73" t="s">
        <v>313</v>
      </c>
    </row>
    <row r="54" ht="20.1" customHeight="1" spans="2:6">
      <c r="B54" s="69" t="s">
        <v>314</v>
      </c>
      <c r="C54" s="69" t="s">
        <v>315</v>
      </c>
      <c r="D54" s="73" t="s">
        <v>316</v>
      </c>
      <c r="F54" s="69" t="s">
        <v>317</v>
      </c>
    </row>
    <row r="55" ht="20.1" customHeight="1" spans="2:4">
      <c r="B55" s="69" t="s">
        <v>318</v>
      </c>
      <c r="C55" s="69" t="s">
        <v>319</v>
      </c>
      <c r="D55" s="73" t="s">
        <v>320</v>
      </c>
    </row>
    <row r="56" ht="20.1" customHeight="1" spans="4:4">
      <c r="D56" s="73" t="s">
        <v>321</v>
      </c>
    </row>
    <row r="57" ht="20.1" customHeight="1" spans="2:5">
      <c r="B57" s="69" t="s">
        <v>322</v>
      </c>
      <c r="C57" s="69" t="s">
        <v>323</v>
      </c>
      <c r="D57" s="73" t="s">
        <v>324</v>
      </c>
      <c r="E57" s="69" t="s">
        <v>325</v>
      </c>
    </row>
    <row r="58" ht="20.1" customHeight="1" spans="4:4">
      <c r="D58" s="73"/>
    </row>
    <row r="59" ht="20.1" customHeight="1" spans="2:4">
      <c r="B59" s="69" t="s">
        <v>326</v>
      </c>
      <c r="C59" s="69" t="s">
        <v>327</v>
      </c>
      <c r="D59" s="73" t="s">
        <v>328</v>
      </c>
    </row>
    <row r="60" ht="20.1" customHeight="1"/>
    <row r="61" ht="20.1" customHeight="1" spans="4:4">
      <c r="D61" s="73" t="s">
        <v>329</v>
      </c>
    </row>
    <row r="62" ht="20.1" customHeight="1" spans="1:5">
      <c r="A62" s="69" t="s">
        <v>330</v>
      </c>
      <c r="B62" s="69" t="s">
        <v>331</v>
      </c>
      <c r="D62" s="69" t="s">
        <v>332</v>
      </c>
      <c r="E62" s="78" t="s">
        <v>326</v>
      </c>
    </row>
    <row r="63" ht="20.1" customHeight="1" spans="4:5">
      <c r="D63" s="69" t="s">
        <v>333</v>
      </c>
      <c r="E63" s="78" t="s">
        <v>334</v>
      </c>
    </row>
    <row r="64" ht="20.1" customHeight="1" spans="1:7">
      <c r="A64" s="69" t="s">
        <v>335</v>
      </c>
      <c r="B64" s="69" t="s">
        <v>336</v>
      </c>
      <c r="D64" s="69" t="s">
        <v>337</v>
      </c>
      <c r="E64" s="78" t="s">
        <v>338</v>
      </c>
      <c r="G64" s="69" t="s">
        <v>339</v>
      </c>
    </row>
    <row r="65" ht="20.1" customHeight="1" spans="4:5">
      <c r="D65" s="69" t="s">
        <v>340</v>
      </c>
      <c r="E65" s="78" t="s">
        <v>341</v>
      </c>
    </row>
    <row r="66" ht="20.1" customHeight="1" spans="4:7">
      <c r="D66" s="69" t="s">
        <v>342</v>
      </c>
      <c r="E66" s="78" t="s">
        <v>343</v>
      </c>
      <c r="G66" s="69" t="s">
        <v>344</v>
      </c>
    </row>
    <row r="67" ht="20.1" customHeight="1" spans="4:7">
      <c r="D67" s="69" t="s">
        <v>345</v>
      </c>
      <c r="E67" s="78" t="s">
        <v>346</v>
      </c>
      <c r="F67" s="69" t="s">
        <v>347</v>
      </c>
      <c r="G67" s="69" t="s">
        <v>348</v>
      </c>
    </row>
    <row r="68" ht="20.1" customHeight="1"/>
    <row r="69" ht="20.1" customHeight="1"/>
    <row r="70" ht="20.1" customHeight="1" spans="2:5">
      <c r="B70" s="69" t="s">
        <v>349</v>
      </c>
      <c r="E70" s="69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J21" sqref="J21:Q35"/>
    </sheetView>
  </sheetViews>
  <sheetFormatPr defaultColWidth="9" defaultRowHeight="14.25"/>
  <cols>
    <col min="1" max="4" width="9" style="4"/>
    <col min="5" max="5" width="12.5" style="4" customWidth="1"/>
    <col min="6" max="6" width="18.625" style="4" customWidth="1"/>
    <col min="7" max="15" width="9" style="4"/>
    <col min="16" max="16" width="59.5" style="4" customWidth="1"/>
    <col min="17" max="21" width="9" style="4"/>
  </cols>
  <sheetData>
    <row r="1" ht="20.1" customHeight="1"/>
    <row r="2" ht="20.1" customHeight="1" spans="5:15">
      <c r="E2" s="6" t="s">
        <v>351</v>
      </c>
      <c r="M2" s="6" t="s">
        <v>352</v>
      </c>
      <c r="O2" s="6" t="s">
        <v>353</v>
      </c>
    </row>
    <row r="3" ht="20.1" customHeight="1" spans="5:16">
      <c r="E3" s="65">
        <v>1001</v>
      </c>
      <c r="F3" s="65" t="s">
        <v>354</v>
      </c>
      <c r="K3" s="6">
        <v>1</v>
      </c>
      <c r="L3" s="6">
        <v>0.01</v>
      </c>
      <c r="M3" s="66">
        <v>2001</v>
      </c>
      <c r="N3" s="66" t="s">
        <v>355</v>
      </c>
      <c r="O3" s="6" t="s">
        <v>41</v>
      </c>
      <c r="P3" s="6" t="s">
        <v>356</v>
      </c>
    </row>
    <row r="4" ht="20.1" customHeight="1" spans="5:16">
      <c r="E4" s="65">
        <v>1002</v>
      </c>
      <c r="F4" s="65" t="s">
        <v>3</v>
      </c>
      <c r="K4" s="6">
        <v>6</v>
      </c>
      <c r="L4" s="6">
        <v>0.03</v>
      </c>
      <c r="M4" s="66">
        <v>2003</v>
      </c>
      <c r="N4" s="66" t="s">
        <v>357</v>
      </c>
      <c r="O4" s="6" t="s">
        <v>358</v>
      </c>
      <c r="P4" s="6" t="s">
        <v>359</v>
      </c>
    </row>
    <row r="5" ht="20.1" customHeight="1" spans="5:16">
      <c r="E5" s="65">
        <v>1003</v>
      </c>
      <c r="F5" s="65" t="s">
        <v>28</v>
      </c>
      <c r="K5" s="6">
        <v>6</v>
      </c>
      <c r="L5" s="6">
        <v>0.01</v>
      </c>
      <c r="M5" s="66">
        <v>2004</v>
      </c>
      <c r="N5" s="66" t="s">
        <v>360</v>
      </c>
      <c r="O5" s="6" t="s">
        <v>41</v>
      </c>
      <c r="P5" s="6" t="s">
        <v>361</v>
      </c>
    </row>
    <row r="6" ht="20.1" customHeight="1" spans="5:16">
      <c r="E6" s="65">
        <v>1004</v>
      </c>
      <c r="F6" s="65" t="s">
        <v>29</v>
      </c>
      <c r="K6" s="6">
        <v>1</v>
      </c>
      <c r="L6" s="6">
        <v>0.03</v>
      </c>
      <c r="M6" s="66">
        <v>2005</v>
      </c>
      <c r="N6" s="66" t="s">
        <v>362</v>
      </c>
      <c r="O6" s="6" t="s">
        <v>363</v>
      </c>
      <c r="P6" s="6" t="s">
        <v>364</v>
      </c>
    </row>
    <row r="7" ht="20.1" customHeight="1" spans="5:16">
      <c r="E7" s="65">
        <v>1005</v>
      </c>
      <c r="F7" s="65" t="s">
        <v>365</v>
      </c>
      <c r="K7" s="6">
        <v>0</v>
      </c>
      <c r="L7" s="6">
        <v>0.03</v>
      </c>
      <c r="M7" s="66">
        <v>2006</v>
      </c>
      <c r="N7" s="66" t="s">
        <v>366</v>
      </c>
      <c r="O7" s="6" t="s">
        <v>367</v>
      </c>
      <c r="P7" s="6" t="s">
        <v>368</v>
      </c>
    </row>
    <row r="8" ht="20.1" customHeight="1" spans="5:16">
      <c r="E8" s="65">
        <v>1006</v>
      </c>
      <c r="F8" s="65" t="s">
        <v>369</v>
      </c>
      <c r="K8" s="6">
        <v>0</v>
      </c>
      <c r="L8" s="6">
        <v>0.01</v>
      </c>
      <c r="M8" s="66">
        <v>2007</v>
      </c>
      <c r="N8" s="66" t="s">
        <v>370</v>
      </c>
      <c r="O8" s="6" t="s">
        <v>371</v>
      </c>
      <c r="P8" s="6" t="s">
        <v>372</v>
      </c>
    </row>
    <row r="9" ht="20.1" customHeight="1" spans="5:16">
      <c r="E9" s="65">
        <v>1007</v>
      </c>
      <c r="F9" s="65" t="s">
        <v>373</v>
      </c>
      <c r="K9" s="6">
        <v>2</v>
      </c>
      <c r="L9" s="6">
        <v>0.01</v>
      </c>
      <c r="M9" s="66">
        <v>2008</v>
      </c>
      <c r="N9" s="66" t="s">
        <v>374</v>
      </c>
      <c r="O9" s="6" t="s">
        <v>371</v>
      </c>
      <c r="P9" s="6" t="s">
        <v>375</v>
      </c>
    </row>
    <row r="10" ht="20.1" customHeight="1" spans="5:16">
      <c r="E10" s="65">
        <v>1008</v>
      </c>
      <c r="F10" s="65" t="s">
        <v>376</v>
      </c>
      <c r="K10" s="6">
        <v>7</v>
      </c>
      <c r="L10" s="6">
        <v>0.03</v>
      </c>
      <c r="M10" s="66">
        <v>2009</v>
      </c>
      <c r="N10" s="66" t="s">
        <v>377</v>
      </c>
      <c r="O10" s="6" t="s">
        <v>378</v>
      </c>
      <c r="P10" s="6" t="s">
        <v>379</v>
      </c>
    </row>
    <row r="11" ht="20.1" customHeight="1" spans="5:16">
      <c r="E11" s="65">
        <v>1009</v>
      </c>
      <c r="F11" s="65" t="s">
        <v>380</v>
      </c>
      <c r="K11" s="6">
        <v>2</v>
      </c>
      <c r="L11" s="6">
        <v>0.01</v>
      </c>
      <c r="M11" s="66">
        <v>2016</v>
      </c>
      <c r="N11" s="66" t="s">
        <v>381</v>
      </c>
      <c r="O11" s="6" t="s">
        <v>41</v>
      </c>
      <c r="P11" s="6" t="s">
        <v>382</v>
      </c>
    </row>
    <row r="12" ht="20.1" customHeight="1" spans="5:16">
      <c r="E12" s="65">
        <v>1010</v>
      </c>
      <c r="F12" s="65" t="s">
        <v>383</v>
      </c>
      <c r="K12" s="6">
        <v>0</v>
      </c>
      <c r="L12" s="6">
        <v>0.03</v>
      </c>
      <c r="M12" s="67">
        <v>2018</v>
      </c>
      <c r="N12" s="67" t="s">
        <v>384</v>
      </c>
      <c r="O12" s="68" t="s">
        <v>385</v>
      </c>
      <c r="P12" s="68" t="s">
        <v>386</v>
      </c>
    </row>
    <row r="13" ht="20.1" customHeight="1" spans="5:16">
      <c r="E13" s="65">
        <v>1011</v>
      </c>
      <c r="F13" s="65" t="s">
        <v>387</v>
      </c>
      <c r="K13" s="6">
        <v>7</v>
      </c>
      <c r="L13" s="6">
        <v>0.01</v>
      </c>
      <c r="M13" s="66">
        <v>2022</v>
      </c>
      <c r="N13" s="66" t="s">
        <v>388</v>
      </c>
      <c r="O13" s="6" t="s">
        <v>371</v>
      </c>
      <c r="P13" s="6" t="s">
        <v>389</v>
      </c>
    </row>
    <row r="14" ht="20.1" customHeight="1" spans="5:16">
      <c r="E14" s="65">
        <v>1012</v>
      </c>
      <c r="F14" s="65" t="s">
        <v>390</v>
      </c>
      <c r="K14" s="6">
        <v>3</v>
      </c>
      <c r="L14" s="6">
        <v>0.03</v>
      </c>
      <c r="M14" s="66">
        <v>2019</v>
      </c>
      <c r="N14" s="66" t="s">
        <v>391</v>
      </c>
      <c r="O14" s="6" t="s">
        <v>392</v>
      </c>
      <c r="P14" s="6" t="s">
        <v>393</v>
      </c>
    </row>
    <row r="15" ht="20.1" customHeight="1" spans="5:16">
      <c r="E15" s="65">
        <v>1013</v>
      </c>
      <c r="F15" s="65" t="s">
        <v>394</v>
      </c>
      <c r="K15" s="6">
        <v>4</v>
      </c>
      <c r="L15" s="6">
        <v>0.03</v>
      </c>
      <c r="M15" s="66">
        <v>2020</v>
      </c>
      <c r="N15" s="66" t="s">
        <v>395</v>
      </c>
      <c r="O15" s="6" t="s">
        <v>392</v>
      </c>
      <c r="P15" s="6" t="s">
        <v>396</v>
      </c>
    </row>
    <row r="16" ht="20.1" customHeight="1" spans="5:16">
      <c r="E16" s="65">
        <v>1014</v>
      </c>
      <c r="F16" s="65" t="s">
        <v>397</v>
      </c>
      <c r="K16" s="6">
        <v>3</v>
      </c>
      <c r="L16" s="6">
        <v>0.03</v>
      </c>
      <c r="N16" s="6" t="s">
        <v>398</v>
      </c>
      <c r="O16" s="6" t="s">
        <v>399</v>
      </c>
      <c r="P16" s="6" t="s">
        <v>400</v>
      </c>
    </row>
    <row r="17" ht="20.1" customHeight="1" spans="5:16">
      <c r="E17" s="65">
        <v>1015</v>
      </c>
      <c r="F17" s="65" t="s">
        <v>401</v>
      </c>
      <c r="K17" s="6">
        <v>4</v>
      </c>
      <c r="L17" s="6">
        <v>0.03</v>
      </c>
      <c r="N17" s="6" t="s">
        <v>402</v>
      </c>
      <c r="O17" s="6" t="s">
        <v>403</v>
      </c>
      <c r="P17" s="6" t="s">
        <v>404</v>
      </c>
    </row>
    <row r="18" ht="20.1" customHeight="1" spans="5:16">
      <c r="E18" s="65">
        <v>1016</v>
      </c>
      <c r="F18" s="65" t="s">
        <v>405</v>
      </c>
      <c r="K18" s="6">
        <v>5</v>
      </c>
      <c r="L18" s="6">
        <v>0.03</v>
      </c>
      <c r="N18" s="66" t="s">
        <v>406</v>
      </c>
      <c r="O18" s="6" t="s">
        <v>407</v>
      </c>
      <c r="P18" s="6" t="s">
        <v>408</v>
      </c>
    </row>
    <row r="19" ht="20.1" customHeight="1" spans="5:16">
      <c r="E19" s="65">
        <v>1017</v>
      </c>
      <c r="F19" s="65" t="s">
        <v>409</v>
      </c>
      <c r="K19" s="6">
        <v>5</v>
      </c>
      <c r="L19" s="6">
        <v>0.01</v>
      </c>
      <c r="N19" s="66" t="s">
        <v>410</v>
      </c>
      <c r="O19" s="6" t="s">
        <v>371</v>
      </c>
      <c r="P19" s="6" t="s">
        <v>411</v>
      </c>
    </row>
    <row r="20" ht="20.1" customHeight="1" spans="5:11">
      <c r="E20" s="65">
        <v>1018</v>
      </c>
      <c r="F20" s="65" t="s">
        <v>412</v>
      </c>
      <c r="K20" s="6"/>
    </row>
    <row r="21" ht="20.1" customHeight="1" spans="5:11">
      <c r="E21" s="65">
        <v>1019</v>
      </c>
      <c r="F21" s="65" t="s">
        <v>413</v>
      </c>
      <c r="K21" s="6"/>
    </row>
    <row r="22" ht="20.1" customHeight="1" spans="5:16">
      <c r="E22" s="65">
        <v>1020</v>
      </c>
      <c r="F22" s="65" t="s">
        <v>414</v>
      </c>
      <c r="K22" s="6">
        <v>0</v>
      </c>
      <c r="L22" s="6">
        <v>0.02</v>
      </c>
      <c r="M22" s="66">
        <v>2024</v>
      </c>
      <c r="N22" s="66" t="s">
        <v>415</v>
      </c>
      <c r="O22" s="6" t="s">
        <v>416</v>
      </c>
      <c r="P22" s="6" t="s">
        <v>417</v>
      </c>
    </row>
    <row r="23" ht="20.1" customHeight="1" spans="5:16">
      <c r="E23" s="65">
        <v>1021</v>
      </c>
      <c r="F23" s="65" t="s">
        <v>418</v>
      </c>
      <c r="K23" s="6">
        <v>1</v>
      </c>
      <c r="L23" s="6">
        <v>0.05</v>
      </c>
      <c r="N23" s="6" t="s">
        <v>419</v>
      </c>
      <c r="O23" s="6" t="s">
        <v>416</v>
      </c>
      <c r="P23" s="6" t="s">
        <v>420</v>
      </c>
    </row>
    <row r="24" ht="20.1" customHeight="1" spans="5:16">
      <c r="E24" s="65">
        <v>1022</v>
      </c>
      <c r="F24" s="65" t="s">
        <v>421</v>
      </c>
      <c r="K24" s="6">
        <v>2</v>
      </c>
      <c r="L24" s="6">
        <v>0.05</v>
      </c>
      <c r="N24" s="6" t="s">
        <v>422</v>
      </c>
      <c r="O24" s="6" t="s">
        <v>416</v>
      </c>
      <c r="P24" s="6" t="s">
        <v>423</v>
      </c>
    </row>
    <row r="25" ht="20.1" customHeight="1" spans="5:16">
      <c r="E25" s="65">
        <v>1023</v>
      </c>
      <c r="F25" s="65" t="s">
        <v>424</v>
      </c>
      <c r="K25" s="6">
        <v>0</v>
      </c>
      <c r="L25" s="6">
        <v>0.01</v>
      </c>
      <c r="N25" s="6" t="s">
        <v>425</v>
      </c>
      <c r="O25" s="6" t="s">
        <v>416</v>
      </c>
      <c r="P25" s="6" t="s">
        <v>426</v>
      </c>
    </row>
    <row r="26" ht="20.1" customHeight="1" spans="5:16">
      <c r="E26" s="65">
        <v>1024</v>
      </c>
      <c r="F26" s="65" t="s">
        <v>427</v>
      </c>
      <c r="K26" s="6">
        <v>0</v>
      </c>
      <c r="L26" s="6">
        <v>0.02</v>
      </c>
      <c r="N26" s="6" t="s">
        <v>428</v>
      </c>
      <c r="O26" s="6" t="s">
        <v>416</v>
      </c>
      <c r="P26" s="6" t="s">
        <v>429</v>
      </c>
    </row>
    <row r="27" ht="20.1" customHeight="1" spans="5:16">
      <c r="E27" s="65">
        <v>1025</v>
      </c>
      <c r="F27" s="65" t="s">
        <v>430</v>
      </c>
      <c r="K27" s="6">
        <v>0</v>
      </c>
      <c r="L27" s="6">
        <v>0.02</v>
      </c>
      <c r="N27" s="6" t="s">
        <v>431</v>
      </c>
      <c r="O27" s="6" t="s">
        <v>416</v>
      </c>
      <c r="P27" s="6" t="s">
        <v>432</v>
      </c>
    </row>
    <row r="28" ht="20.1" customHeight="1" spans="5:16">
      <c r="E28" s="65">
        <v>1026</v>
      </c>
      <c r="F28" s="65" t="s">
        <v>433</v>
      </c>
      <c r="K28" s="6">
        <v>0</v>
      </c>
      <c r="L28" s="6">
        <v>0.03</v>
      </c>
      <c r="N28" s="6" t="s">
        <v>434</v>
      </c>
      <c r="O28" s="6" t="s">
        <v>416</v>
      </c>
      <c r="P28" s="6" t="s">
        <v>435</v>
      </c>
    </row>
    <row r="29" ht="20.1" customHeight="1" spans="5:16">
      <c r="E29" s="65">
        <v>1027</v>
      </c>
      <c r="F29" s="65" t="s">
        <v>436</v>
      </c>
      <c r="K29" s="6">
        <v>0</v>
      </c>
      <c r="L29" s="6">
        <v>0.02</v>
      </c>
      <c r="N29" s="6" t="s">
        <v>437</v>
      </c>
      <c r="O29" s="6" t="s">
        <v>416</v>
      </c>
      <c r="P29" s="6" t="s">
        <v>438</v>
      </c>
    </row>
    <row r="30" ht="20.1" customHeight="1" spans="5:16">
      <c r="E30" s="65">
        <v>1028</v>
      </c>
      <c r="F30" s="65" t="s">
        <v>439</v>
      </c>
      <c r="K30" s="6">
        <v>0</v>
      </c>
      <c r="L30" s="6">
        <v>0.04</v>
      </c>
      <c r="M30" s="66">
        <v>2002</v>
      </c>
      <c r="N30" s="66" t="s">
        <v>440</v>
      </c>
      <c r="O30" s="6" t="s">
        <v>416</v>
      </c>
      <c r="P30" s="6" t="s">
        <v>441</v>
      </c>
    </row>
    <row r="31" ht="20.1" customHeight="1" spans="5:16">
      <c r="E31" s="65">
        <v>1030</v>
      </c>
      <c r="F31" s="65" t="s">
        <v>442</v>
      </c>
      <c r="K31" s="6">
        <v>3</v>
      </c>
      <c r="L31" s="6">
        <v>0.02</v>
      </c>
      <c r="N31" s="6" t="s">
        <v>443</v>
      </c>
      <c r="O31" s="6"/>
      <c r="P31" s="6" t="s">
        <v>444</v>
      </c>
    </row>
    <row r="32" ht="20.1" customHeight="1" spans="5:16">
      <c r="E32" s="65">
        <v>1031</v>
      </c>
      <c r="F32" s="65" t="s">
        <v>445</v>
      </c>
      <c r="K32" s="6">
        <v>4</v>
      </c>
      <c r="L32" s="6">
        <v>0.02</v>
      </c>
      <c r="N32" s="6" t="s">
        <v>446</v>
      </c>
      <c r="O32" s="6"/>
      <c r="P32" s="6" t="s">
        <v>447</v>
      </c>
    </row>
    <row r="33" ht="20.1" customHeight="1" spans="5:16">
      <c r="E33" s="65">
        <v>1032</v>
      </c>
      <c r="F33" s="65" t="s">
        <v>448</v>
      </c>
      <c r="K33" s="6">
        <v>5</v>
      </c>
      <c r="L33" s="6">
        <v>0.02</v>
      </c>
      <c r="N33" s="6" t="s">
        <v>449</v>
      </c>
      <c r="O33" s="6"/>
      <c r="P33" s="6" t="s">
        <v>450</v>
      </c>
    </row>
    <row r="34" ht="20.1" customHeight="1" spans="5:16">
      <c r="E34" s="65">
        <v>1033</v>
      </c>
      <c r="F34" s="65" t="s">
        <v>451</v>
      </c>
      <c r="K34" s="6">
        <v>6</v>
      </c>
      <c r="L34" s="6">
        <v>0.02</v>
      </c>
      <c r="N34" s="6" t="s">
        <v>452</v>
      </c>
      <c r="P34" s="6" t="s">
        <v>453</v>
      </c>
    </row>
    <row r="35" ht="20.1" customHeight="1" spans="5:6">
      <c r="E35" s="65">
        <v>1034</v>
      </c>
      <c r="F35" s="65" t="s">
        <v>454</v>
      </c>
    </row>
    <row r="36" ht="20.1" customHeight="1" spans="5:6">
      <c r="E36" s="65">
        <v>1035</v>
      </c>
      <c r="F36" s="65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6">
        <v>0.1</v>
      </c>
      <c r="N45" s="6" t="s">
        <v>419</v>
      </c>
      <c r="O45" s="6" t="s">
        <v>416</v>
      </c>
      <c r="P45" s="6" t="s">
        <v>456</v>
      </c>
    </row>
    <row r="46" ht="20.1" customHeight="1" spans="13:16">
      <c r="M46" s="6">
        <v>0.05</v>
      </c>
      <c r="N46" s="6" t="s">
        <v>422</v>
      </c>
      <c r="O46" s="6" t="s">
        <v>416</v>
      </c>
      <c r="P46" s="6" t="s">
        <v>423</v>
      </c>
    </row>
    <row r="47" ht="20.1" customHeight="1" spans="13:16">
      <c r="M47" s="6">
        <v>0.02</v>
      </c>
      <c r="N47" s="6" t="s">
        <v>425</v>
      </c>
      <c r="O47" s="6" t="s">
        <v>416</v>
      </c>
      <c r="P47" s="6" t="s">
        <v>457</v>
      </c>
    </row>
    <row r="48" ht="20.1" customHeight="1" spans="13:16">
      <c r="M48" s="6">
        <v>0.02</v>
      </c>
      <c r="N48" s="6" t="s">
        <v>428</v>
      </c>
      <c r="O48" s="6" t="s">
        <v>416</v>
      </c>
      <c r="P48" s="6" t="s">
        <v>429</v>
      </c>
    </row>
    <row r="49" ht="20.1" customHeight="1" spans="13:16">
      <c r="M49" s="6">
        <v>0.001</v>
      </c>
      <c r="N49" s="6" t="s">
        <v>431</v>
      </c>
      <c r="O49" s="6" t="s">
        <v>416</v>
      </c>
      <c r="P49" s="6" t="s">
        <v>432</v>
      </c>
    </row>
    <row r="50" ht="20.1" customHeight="1" spans="13:16">
      <c r="M50" s="6">
        <v>0.03</v>
      </c>
      <c r="N50" s="6" t="s">
        <v>434</v>
      </c>
      <c r="O50" s="6" t="s">
        <v>416</v>
      </c>
      <c r="P50" s="6" t="s">
        <v>432</v>
      </c>
    </row>
    <row r="51" ht="20.1" customHeight="1" spans="14:16">
      <c r="N51" s="6" t="s">
        <v>458</v>
      </c>
      <c r="O51" s="6" t="s">
        <v>371</v>
      </c>
      <c r="P51" s="6" t="s">
        <v>459</v>
      </c>
    </row>
    <row r="52" ht="20.1" customHeight="1" spans="14:16">
      <c r="N52" s="6" t="s">
        <v>460</v>
      </c>
      <c r="O52" s="6" t="s">
        <v>371</v>
      </c>
      <c r="P52" s="6" t="s">
        <v>461</v>
      </c>
    </row>
    <row r="53" ht="20.1" customHeight="1"/>
    <row r="54" ht="20.1" customHeight="1"/>
    <row r="55" ht="20.1" customHeight="1" spans="12:16">
      <c r="L55" s="6">
        <v>0.0001</v>
      </c>
      <c r="M55" s="66">
        <v>2025</v>
      </c>
      <c r="N55" s="66" t="s">
        <v>462</v>
      </c>
      <c r="O55" s="6" t="s">
        <v>371</v>
      </c>
      <c r="P55" s="6" t="s">
        <v>463</v>
      </c>
    </row>
    <row r="56" ht="20.1" customHeight="1" spans="12:16">
      <c r="L56" s="6">
        <v>0.1</v>
      </c>
      <c r="M56" s="66">
        <v>2026</v>
      </c>
      <c r="N56" s="66" t="s">
        <v>458</v>
      </c>
      <c r="O56" s="6" t="s">
        <v>371</v>
      </c>
      <c r="P56" s="6" t="s">
        <v>459</v>
      </c>
    </row>
    <row r="57" ht="20.1" customHeight="1" spans="12:16">
      <c r="L57" s="6">
        <v>0</v>
      </c>
      <c r="M57" s="66">
        <v>2027</v>
      </c>
      <c r="N57" s="66" t="s">
        <v>464</v>
      </c>
      <c r="O57" s="6" t="s">
        <v>371</v>
      </c>
      <c r="P57" s="6" t="s">
        <v>465</v>
      </c>
    </row>
    <row r="58" ht="20.1" customHeight="1" spans="12:16">
      <c r="L58" s="6">
        <v>0.1</v>
      </c>
      <c r="M58" s="66">
        <v>2028</v>
      </c>
      <c r="N58" s="66" t="s">
        <v>460</v>
      </c>
      <c r="O58" s="6" t="s">
        <v>371</v>
      </c>
      <c r="P58" s="6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4"/>
      <c r="T1" s="4"/>
      <c r="U1" s="4"/>
      <c r="V1" s="4"/>
      <c r="W1" s="4"/>
      <c r="X1" s="4"/>
      <c r="Y1" s="4"/>
      <c r="Z1" s="4"/>
      <c r="AA1" s="4"/>
      <c r="AB1" s="4"/>
    </row>
    <row r="2" ht="20.1" customHeight="1" spans="2:35">
      <c r="B2" s="9" t="s">
        <v>467</v>
      </c>
      <c r="C2" s="9" t="s">
        <v>7</v>
      </c>
      <c r="D2" s="9" t="s">
        <v>6</v>
      </c>
      <c r="E2" s="54"/>
      <c r="F2" s="9" t="s">
        <v>2</v>
      </c>
      <c r="G2" s="9" t="s">
        <v>3</v>
      </c>
      <c r="H2" s="9" t="s">
        <v>28</v>
      </c>
      <c r="I2" s="9" t="s">
        <v>29</v>
      </c>
      <c r="J2" s="9"/>
      <c r="L2" s="7"/>
      <c r="M2" s="9" t="s">
        <v>2</v>
      </c>
      <c r="N2" s="9" t="s">
        <v>3</v>
      </c>
      <c r="O2" s="9" t="s">
        <v>28</v>
      </c>
      <c r="P2" s="9" t="s">
        <v>29</v>
      </c>
      <c r="Q2" s="6" t="s">
        <v>468</v>
      </c>
      <c r="S2" s="4"/>
      <c r="T2" s="4"/>
      <c r="U2" s="6" t="s">
        <v>469</v>
      </c>
      <c r="V2" s="6" t="s">
        <v>2</v>
      </c>
      <c r="W2" s="6" t="s">
        <v>470</v>
      </c>
      <c r="X2" s="6" t="s">
        <v>471</v>
      </c>
      <c r="Y2" s="6" t="s">
        <v>472</v>
      </c>
      <c r="Z2" s="4"/>
      <c r="AA2" s="6" t="s">
        <v>473</v>
      </c>
      <c r="AB2" s="4"/>
      <c r="AE2" s="6"/>
      <c r="AF2" s="6" t="s">
        <v>2</v>
      </c>
      <c r="AG2" s="6" t="s">
        <v>470</v>
      </c>
      <c r="AH2" s="6" t="s">
        <v>471</v>
      </c>
      <c r="AI2" s="6" t="s">
        <v>472</v>
      </c>
    </row>
    <row r="3" ht="20.1" customHeight="1" spans="2:35">
      <c r="B3" s="6">
        <v>1</v>
      </c>
      <c r="C3" s="6">
        <v>5</v>
      </c>
      <c r="D3" s="6">
        <v>5</v>
      </c>
      <c r="E3" s="4"/>
      <c r="F3" s="6">
        <f>C3*总表!D4</f>
        <v>5250</v>
      </c>
      <c r="G3" s="6">
        <f>总表!E$4*$D3</f>
        <v>500</v>
      </c>
      <c r="H3" s="6">
        <f>总表!F$4*$D3</f>
        <v>150</v>
      </c>
      <c r="I3" s="6">
        <f>总表!G$4*$D3</f>
        <v>150</v>
      </c>
      <c r="J3" s="6"/>
      <c r="L3" s="6" t="s">
        <v>392</v>
      </c>
      <c r="M3" s="6">
        <v>0</v>
      </c>
      <c r="N3" s="6">
        <v>0.05</v>
      </c>
      <c r="O3" s="6">
        <v>0.1</v>
      </c>
      <c r="P3" s="6">
        <v>0.1</v>
      </c>
      <c r="Q3" s="6">
        <f t="shared" ref="Q3:Q13" si="0">SUM(M3:P3)</f>
        <v>0.25</v>
      </c>
      <c r="S3" s="4"/>
      <c r="T3" s="6" t="s">
        <v>474</v>
      </c>
      <c r="U3" s="6" t="s">
        <v>475</v>
      </c>
      <c r="V3" s="6">
        <v>0.5</v>
      </c>
      <c r="W3" s="6">
        <v>1.35</v>
      </c>
      <c r="X3" s="6">
        <v>0.75</v>
      </c>
      <c r="Y3" s="6">
        <v>0.75</v>
      </c>
      <c r="Z3" s="4"/>
      <c r="AA3" s="6">
        <f>W3+(X3+Y3+V3)/3</f>
        <v>2.01666666666667</v>
      </c>
      <c r="AB3" s="4"/>
      <c r="AE3" s="48" t="s">
        <v>392</v>
      </c>
      <c r="AF3" s="6">
        <f>ROUND(M3*F$3,0)</f>
        <v>0</v>
      </c>
      <c r="AG3" s="6">
        <f>ROUND(N3*G$3,0)</f>
        <v>25</v>
      </c>
      <c r="AH3" s="6">
        <f t="shared" ref="AH3:AI3" si="1">ROUND(O3*H$3,0)</f>
        <v>15</v>
      </c>
      <c r="AI3" s="6">
        <f t="shared" si="1"/>
        <v>15</v>
      </c>
    </row>
    <row r="4" ht="20.1" customHeight="1" spans="2:35">
      <c r="B4" s="6">
        <v>10</v>
      </c>
      <c r="C4" s="6">
        <v>10</v>
      </c>
      <c r="D4" s="6">
        <v>10</v>
      </c>
      <c r="E4" s="4"/>
      <c r="F4" s="6">
        <f>C4*[1]属性总表!$E$5</f>
        <v>10500</v>
      </c>
      <c r="G4" s="6">
        <f>总表!E$4*$D4</f>
        <v>1000</v>
      </c>
      <c r="H4" s="6">
        <f>总表!F$4*$D4</f>
        <v>300</v>
      </c>
      <c r="I4" s="6">
        <f>总表!G$4*$D4</f>
        <v>300</v>
      </c>
      <c r="J4" s="6"/>
      <c r="L4" s="6" t="s">
        <v>403</v>
      </c>
      <c r="M4" s="6">
        <v>0</v>
      </c>
      <c r="N4" s="6">
        <v>0.065</v>
      </c>
      <c r="O4" s="6">
        <v>0</v>
      </c>
      <c r="P4" s="6">
        <v>0.3</v>
      </c>
      <c r="Q4" s="6">
        <f t="shared" si="0"/>
        <v>0.365</v>
      </c>
      <c r="S4" s="4"/>
      <c r="T4" s="4"/>
      <c r="U4" s="6" t="s">
        <v>476</v>
      </c>
      <c r="V4" s="6">
        <v>1</v>
      </c>
      <c r="W4" s="6">
        <v>1</v>
      </c>
      <c r="X4" s="6">
        <v>1</v>
      </c>
      <c r="Y4" s="6">
        <v>1</v>
      </c>
      <c r="Z4" s="4"/>
      <c r="AA4" s="6">
        <f t="shared" ref="AA4:AA5" si="2">W4+(X4+Y4+V4)/3</f>
        <v>2</v>
      </c>
      <c r="AB4" s="4"/>
      <c r="AE4" s="48" t="s">
        <v>477</v>
      </c>
      <c r="AF4" s="6">
        <f t="shared" ref="AF4:AF13" si="3">ROUND(M4*F$3,0)</f>
        <v>0</v>
      </c>
      <c r="AG4" s="6">
        <f t="shared" ref="AG4:AG13" si="4">ROUND(N4*G$3,0)</f>
        <v>33</v>
      </c>
      <c r="AH4" s="6">
        <f t="shared" ref="AH4:AH13" si="5">ROUND(O4*H$3,0)</f>
        <v>0</v>
      </c>
      <c r="AI4" s="6">
        <f t="shared" ref="AI4:AI13" si="6">ROUND(P4*I$3,0)</f>
        <v>45</v>
      </c>
    </row>
    <row r="5" ht="20.1" customHeight="1" spans="2:35">
      <c r="B5" s="6">
        <v>20</v>
      </c>
      <c r="C5" s="6">
        <v>15</v>
      </c>
      <c r="D5" s="6">
        <v>15</v>
      </c>
      <c r="E5" s="4"/>
      <c r="F5" s="6">
        <f>C5*[1]属性总表!$E$5</f>
        <v>15750</v>
      </c>
      <c r="G5" s="6">
        <f>总表!E$4*$D5</f>
        <v>1500</v>
      </c>
      <c r="H5" s="6">
        <f>总表!F$4*$D5</f>
        <v>450</v>
      </c>
      <c r="I5" s="6">
        <f>总表!G$4*$D5</f>
        <v>450</v>
      </c>
      <c r="J5" s="6"/>
      <c r="L5" s="6" t="s">
        <v>385</v>
      </c>
      <c r="M5" s="6">
        <v>0.1</v>
      </c>
      <c r="N5" s="6">
        <v>0.035</v>
      </c>
      <c r="O5" s="6">
        <v>0.2</v>
      </c>
      <c r="P5" s="6">
        <v>0</v>
      </c>
      <c r="Q5" s="6">
        <f t="shared" si="0"/>
        <v>0.335</v>
      </c>
      <c r="S5" s="4"/>
      <c r="T5" s="4"/>
      <c r="U5" s="6" t="s">
        <v>478</v>
      </c>
      <c r="V5" s="6">
        <v>1.5</v>
      </c>
      <c r="W5" s="6">
        <v>0.75</v>
      </c>
      <c r="X5" s="6">
        <v>1.25</v>
      </c>
      <c r="Y5" s="6">
        <v>1.25</v>
      </c>
      <c r="Z5" s="4"/>
      <c r="AA5" s="6">
        <f t="shared" si="2"/>
        <v>2.08333333333333</v>
      </c>
      <c r="AB5" s="4"/>
      <c r="AE5" s="48" t="s">
        <v>385</v>
      </c>
      <c r="AF5" s="6">
        <f t="shared" si="3"/>
        <v>525</v>
      </c>
      <c r="AG5" s="6">
        <f t="shared" si="4"/>
        <v>18</v>
      </c>
      <c r="AH5" s="6">
        <f t="shared" si="5"/>
        <v>30</v>
      </c>
      <c r="AI5" s="6">
        <f t="shared" si="6"/>
        <v>0</v>
      </c>
    </row>
    <row r="6" ht="20.1" customHeight="1" spans="2:35">
      <c r="B6" s="6">
        <v>30</v>
      </c>
      <c r="C6" s="6">
        <v>20</v>
      </c>
      <c r="D6" s="6">
        <v>20</v>
      </c>
      <c r="E6" s="4"/>
      <c r="F6" s="6">
        <f>C6*[1]属性总表!$E$5</f>
        <v>21000</v>
      </c>
      <c r="G6" s="6">
        <f>总表!E$4*$D6</f>
        <v>2000</v>
      </c>
      <c r="H6" s="6">
        <f>总表!F$4*$D6</f>
        <v>600</v>
      </c>
      <c r="I6" s="6">
        <f>总表!G$4*$D6</f>
        <v>600</v>
      </c>
      <c r="J6" s="6"/>
      <c r="L6" s="6" t="s">
        <v>479</v>
      </c>
      <c r="M6" s="6">
        <v>0</v>
      </c>
      <c r="N6" s="6">
        <v>0.055</v>
      </c>
      <c r="O6" s="6">
        <v>0.2</v>
      </c>
      <c r="P6" s="6">
        <v>0.2</v>
      </c>
      <c r="Q6" s="6">
        <f t="shared" si="0"/>
        <v>0.455</v>
      </c>
      <c r="S6" s="4"/>
      <c r="T6" s="4"/>
      <c r="U6" s="4"/>
      <c r="V6" s="4"/>
      <c r="W6" s="4"/>
      <c r="X6" s="4"/>
      <c r="Y6" s="4"/>
      <c r="Z6" s="4"/>
      <c r="AA6" s="4"/>
      <c r="AB6" s="4"/>
      <c r="AE6" s="48" t="s">
        <v>480</v>
      </c>
      <c r="AF6" s="6">
        <f t="shared" si="3"/>
        <v>0</v>
      </c>
      <c r="AG6" s="6">
        <f t="shared" si="4"/>
        <v>28</v>
      </c>
      <c r="AH6" s="6">
        <f t="shared" si="5"/>
        <v>30</v>
      </c>
      <c r="AI6" s="6">
        <f t="shared" si="6"/>
        <v>30</v>
      </c>
    </row>
    <row r="7" ht="20.1" customHeight="1" spans="2:35">
      <c r="B7" s="6">
        <v>40</v>
      </c>
      <c r="C7" s="6">
        <v>25</v>
      </c>
      <c r="D7" s="6">
        <v>25</v>
      </c>
      <c r="E7" s="4"/>
      <c r="F7" s="6">
        <f>C7*[1]属性总表!$E$5</f>
        <v>26250</v>
      </c>
      <c r="G7" s="6">
        <f>总表!E$4*$D7</f>
        <v>2500</v>
      </c>
      <c r="H7" s="6">
        <f>总表!F$4*$D7</f>
        <v>750</v>
      </c>
      <c r="I7" s="6">
        <f>总表!G$4*$D7</f>
        <v>750</v>
      </c>
      <c r="J7" s="6"/>
      <c r="L7" s="6" t="s">
        <v>407</v>
      </c>
      <c r="M7" s="6">
        <v>0.25</v>
      </c>
      <c r="N7" s="6">
        <v>0.075</v>
      </c>
      <c r="O7" s="6">
        <v>0.1</v>
      </c>
      <c r="P7" s="6">
        <v>0</v>
      </c>
      <c r="Q7" s="6">
        <f t="shared" si="0"/>
        <v>0.425</v>
      </c>
      <c r="S7" s="4"/>
      <c r="T7" s="4"/>
      <c r="U7" s="4"/>
      <c r="V7" s="4"/>
      <c r="W7" s="4"/>
      <c r="X7" s="4"/>
      <c r="Y7" s="4"/>
      <c r="Z7" s="4"/>
      <c r="AA7" s="4"/>
      <c r="AB7" s="4"/>
      <c r="AE7" s="48" t="s">
        <v>481</v>
      </c>
      <c r="AF7" s="6">
        <f t="shared" si="3"/>
        <v>1313</v>
      </c>
      <c r="AG7" s="6">
        <f t="shared" si="4"/>
        <v>38</v>
      </c>
      <c r="AH7" s="6">
        <f t="shared" si="5"/>
        <v>15</v>
      </c>
      <c r="AI7" s="6">
        <f t="shared" si="6"/>
        <v>0</v>
      </c>
    </row>
    <row r="8" ht="20.1" customHeight="1" spans="2:35">
      <c r="B8" s="6">
        <v>50</v>
      </c>
      <c r="C8" s="6">
        <v>30</v>
      </c>
      <c r="D8" s="6">
        <v>30</v>
      </c>
      <c r="E8" s="4"/>
      <c r="F8" s="6">
        <f>C8*[1]属性总表!$E$5</f>
        <v>31500</v>
      </c>
      <c r="G8" s="6">
        <f>总表!E$4*$D8</f>
        <v>3000</v>
      </c>
      <c r="H8" s="6">
        <f>总表!F$4*$D8</f>
        <v>900</v>
      </c>
      <c r="I8" s="6">
        <f>总表!G$4*$D8</f>
        <v>900</v>
      </c>
      <c r="J8" s="6"/>
      <c r="L8" s="6" t="s">
        <v>363</v>
      </c>
      <c r="M8" s="6">
        <v>0</v>
      </c>
      <c r="N8" s="6">
        <v>0.15</v>
      </c>
      <c r="O8" s="6">
        <v>0.15</v>
      </c>
      <c r="P8" s="6">
        <v>0</v>
      </c>
      <c r="Q8" s="6">
        <f t="shared" si="0"/>
        <v>0.3</v>
      </c>
      <c r="S8" s="4"/>
      <c r="T8" s="4"/>
      <c r="U8" s="6" t="s">
        <v>482</v>
      </c>
      <c r="V8" s="6" t="s">
        <v>483</v>
      </c>
      <c r="W8" s="4"/>
      <c r="X8" s="4"/>
      <c r="Y8" s="4"/>
      <c r="Z8" s="4"/>
      <c r="AA8" s="4"/>
      <c r="AB8" s="4"/>
      <c r="AE8" s="6" t="s">
        <v>363</v>
      </c>
      <c r="AF8" s="6">
        <f t="shared" si="3"/>
        <v>0</v>
      </c>
      <c r="AG8" s="6">
        <f t="shared" si="4"/>
        <v>75</v>
      </c>
      <c r="AH8" s="6">
        <f t="shared" si="5"/>
        <v>23</v>
      </c>
      <c r="AI8" s="6">
        <f t="shared" si="6"/>
        <v>0</v>
      </c>
    </row>
    <row r="9" ht="20.1" customHeight="1" spans="12:35">
      <c r="L9" s="6" t="s">
        <v>399</v>
      </c>
      <c r="M9" s="6">
        <v>0</v>
      </c>
      <c r="N9" s="6">
        <v>0.15</v>
      </c>
      <c r="O9" s="6">
        <v>0</v>
      </c>
      <c r="P9" s="6">
        <v>0.15</v>
      </c>
      <c r="Q9" s="6">
        <f t="shared" si="0"/>
        <v>0.3</v>
      </c>
      <c r="S9" s="4"/>
      <c r="T9" s="6" t="s">
        <v>40</v>
      </c>
      <c r="U9" s="6" t="s">
        <v>476</v>
      </c>
      <c r="V9" s="4"/>
      <c r="W9" s="4"/>
      <c r="X9" s="4"/>
      <c r="Y9" s="4"/>
      <c r="Z9" s="4"/>
      <c r="AA9" s="4"/>
      <c r="AB9" s="4"/>
      <c r="AE9" s="6" t="s">
        <v>399</v>
      </c>
      <c r="AF9" s="6">
        <f t="shared" si="3"/>
        <v>0</v>
      </c>
      <c r="AG9" s="6">
        <f t="shared" si="4"/>
        <v>75</v>
      </c>
      <c r="AH9" s="6">
        <f t="shared" si="5"/>
        <v>0</v>
      </c>
      <c r="AI9" s="6">
        <f t="shared" si="6"/>
        <v>23</v>
      </c>
    </row>
    <row r="10" ht="20.1" customHeight="1" spans="12:35">
      <c r="L10" s="6" t="s">
        <v>371</v>
      </c>
      <c r="M10" s="6">
        <v>0</v>
      </c>
      <c r="N10" s="6">
        <v>0</v>
      </c>
      <c r="O10" s="6">
        <v>0</v>
      </c>
      <c r="P10" s="6">
        <v>0</v>
      </c>
      <c r="Q10" s="6">
        <f t="shared" si="0"/>
        <v>0</v>
      </c>
      <c r="S10" s="4"/>
      <c r="T10" s="15"/>
      <c r="U10" s="6" t="s">
        <v>476</v>
      </c>
      <c r="V10" s="4"/>
      <c r="W10" s="4"/>
      <c r="X10" s="4"/>
      <c r="Y10" s="4"/>
      <c r="Z10" s="4"/>
      <c r="AA10" s="4"/>
      <c r="AB10" s="4"/>
      <c r="AE10" s="6" t="s">
        <v>371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</row>
    <row r="11" ht="20.1" customHeight="1" spans="2:35">
      <c r="B11" s="6" t="s">
        <v>484</v>
      </c>
      <c r="C11" s="17"/>
      <c r="D11" s="6">
        <v>2000</v>
      </c>
      <c r="L11" s="6" t="s">
        <v>367</v>
      </c>
      <c r="M11" s="6">
        <v>0.4</v>
      </c>
      <c r="N11" s="6">
        <v>0</v>
      </c>
      <c r="O11" s="6">
        <v>0</v>
      </c>
      <c r="P11" s="6">
        <v>0</v>
      </c>
      <c r="Q11" s="6">
        <f t="shared" si="0"/>
        <v>0.4</v>
      </c>
      <c r="S11" s="4"/>
      <c r="T11" s="6"/>
      <c r="U11" s="6" t="s">
        <v>478</v>
      </c>
      <c r="V11" s="4"/>
      <c r="W11" s="4"/>
      <c r="X11" s="4"/>
      <c r="Y11" s="4"/>
      <c r="Z11" s="4"/>
      <c r="AA11" s="4"/>
      <c r="AB11" s="4"/>
      <c r="AE11" s="6" t="s">
        <v>367</v>
      </c>
      <c r="AF11" s="6">
        <f t="shared" si="3"/>
        <v>2100</v>
      </c>
      <c r="AG11" s="6">
        <f t="shared" si="4"/>
        <v>0</v>
      </c>
      <c r="AH11" s="6">
        <f t="shared" si="5"/>
        <v>0</v>
      </c>
      <c r="AI11" s="6">
        <f t="shared" si="6"/>
        <v>0</v>
      </c>
    </row>
    <row r="12" ht="20.1" customHeight="1" spans="2:35">
      <c r="B12" s="6" t="s">
        <v>15</v>
      </c>
      <c r="C12" s="6">
        <v>0.8</v>
      </c>
      <c r="D12" s="6">
        <f>C12*$D$11</f>
        <v>1600</v>
      </c>
      <c r="L12" s="6" t="s">
        <v>41</v>
      </c>
      <c r="M12" s="6">
        <v>0</v>
      </c>
      <c r="N12" s="6">
        <v>0.42</v>
      </c>
      <c r="O12" s="6">
        <v>0</v>
      </c>
      <c r="P12" s="6">
        <v>0</v>
      </c>
      <c r="Q12" s="6">
        <f t="shared" si="0"/>
        <v>0.42</v>
      </c>
      <c r="T12" s="15"/>
      <c r="U12" s="15"/>
      <c r="AE12" s="48" t="s">
        <v>41</v>
      </c>
      <c r="AF12" s="6">
        <f t="shared" si="3"/>
        <v>0</v>
      </c>
      <c r="AG12" s="6">
        <f t="shared" si="4"/>
        <v>210</v>
      </c>
      <c r="AH12" s="6">
        <f t="shared" si="5"/>
        <v>0</v>
      </c>
      <c r="AI12" s="6">
        <f t="shared" si="6"/>
        <v>0</v>
      </c>
    </row>
    <row r="13" ht="20.1" customHeight="1" spans="2:35">
      <c r="B13" s="6" t="s">
        <v>485</v>
      </c>
      <c r="C13" s="6">
        <v>1</v>
      </c>
      <c r="D13" s="6">
        <f t="shared" ref="D13:D14" si="7">C13*$D$11</f>
        <v>2000</v>
      </c>
      <c r="K13" s="55" t="s">
        <v>486</v>
      </c>
      <c r="L13" s="6" t="s">
        <v>358</v>
      </c>
      <c r="M13" s="6">
        <v>0.3</v>
      </c>
      <c r="N13" s="6">
        <v>0</v>
      </c>
      <c r="O13" s="6">
        <v>0.25</v>
      </c>
      <c r="P13" s="6">
        <v>0.25</v>
      </c>
      <c r="Q13" s="6">
        <f t="shared" si="0"/>
        <v>0.8</v>
      </c>
      <c r="T13" s="6" t="s">
        <v>52</v>
      </c>
      <c r="U13" s="6" t="s">
        <v>475</v>
      </c>
      <c r="AE13" s="48" t="s">
        <v>358</v>
      </c>
      <c r="AF13" s="6">
        <f t="shared" si="3"/>
        <v>1575</v>
      </c>
      <c r="AG13" s="6">
        <f t="shared" si="4"/>
        <v>0</v>
      </c>
      <c r="AH13" s="6">
        <f t="shared" si="5"/>
        <v>38</v>
      </c>
      <c r="AI13" s="6">
        <f t="shared" si="6"/>
        <v>38</v>
      </c>
    </row>
    <row r="14" ht="20.1" customHeight="1" spans="2:21">
      <c r="B14" s="6" t="s">
        <v>487</v>
      </c>
      <c r="C14" s="6">
        <v>1.2</v>
      </c>
      <c r="D14" s="6">
        <f t="shared" si="7"/>
        <v>2400</v>
      </c>
      <c r="L14" s="6"/>
      <c r="T14" s="15"/>
      <c r="U14" s="6" t="s">
        <v>475</v>
      </c>
    </row>
    <row r="15" ht="20.1" customHeight="1" spans="12:21">
      <c r="L15" s="6" t="s">
        <v>488</v>
      </c>
      <c r="M15" s="6">
        <f>SUM(M3:M13)</f>
        <v>1.05</v>
      </c>
      <c r="N15" s="6">
        <f t="shared" ref="N15:Q15" si="8">SUM(N3:N13)</f>
        <v>1</v>
      </c>
      <c r="O15" s="6">
        <f t="shared" si="8"/>
        <v>1</v>
      </c>
      <c r="P15" s="6">
        <f t="shared" si="8"/>
        <v>1</v>
      </c>
      <c r="Q15" s="6">
        <f t="shared" si="8"/>
        <v>4.05</v>
      </c>
      <c r="T15" s="15"/>
      <c r="U15" s="6" t="s">
        <v>478</v>
      </c>
    </row>
    <row r="16" ht="20.1" customHeight="1" spans="29:51">
      <c r="AC16" s="17"/>
      <c r="AD16" s="17"/>
      <c r="AE16" s="56" t="s">
        <v>392</v>
      </c>
      <c r="AF16" s="6"/>
      <c r="AG16" s="6"/>
      <c r="AH16" s="6"/>
      <c r="AJ16" s="6"/>
      <c r="AK16" s="6"/>
      <c r="AL16" s="6"/>
      <c r="AM16" s="6" t="s">
        <v>475</v>
      </c>
      <c r="AN16" s="6">
        <v>0.5</v>
      </c>
      <c r="AO16" s="6">
        <v>1.35</v>
      </c>
      <c r="AP16" s="6">
        <v>0.75</v>
      </c>
      <c r="AQ16" s="6">
        <v>0.75</v>
      </c>
      <c r="AR16" s="4"/>
      <c r="AS16" s="4"/>
      <c r="AT16" s="4"/>
      <c r="AU16" s="6" t="s">
        <v>478</v>
      </c>
      <c r="AV16" s="6">
        <v>1.5</v>
      </c>
      <c r="AW16" s="6">
        <v>0.75</v>
      </c>
      <c r="AX16" s="6">
        <v>1.25</v>
      </c>
      <c r="AY16" s="6">
        <v>1.25</v>
      </c>
    </row>
    <row r="17" ht="20.1" customHeight="1" spans="2:51">
      <c r="B17" s="6" t="s">
        <v>489</v>
      </c>
      <c r="C17" s="6" t="s">
        <v>490</v>
      </c>
      <c r="D17" s="6" t="s">
        <v>491</v>
      </c>
      <c r="E17" s="4"/>
      <c r="AC17" s="6" t="s">
        <v>492</v>
      </c>
      <c r="AD17" s="6" t="s">
        <v>493</v>
      </c>
      <c r="AE17" s="6" t="s">
        <v>494</v>
      </c>
      <c r="AF17" s="6">
        <v>0</v>
      </c>
      <c r="AG17" s="6">
        <v>10</v>
      </c>
      <c r="AH17" s="6">
        <v>6</v>
      </c>
      <c r="AI17" s="6">
        <v>6</v>
      </c>
      <c r="AJ17" s="6"/>
      <c r="AK17" s="6" t="s">
        <v>492</v>
      </c>
      <c r="AL17" s="6" t="s">
        <v>493</v>
      </c>
      <c r="AM17" s="6" t="s">
        <v>495</v>
      </c>
      <c r="AN17" s="6">
        <f ca="1" t="shared" ref="AN17:AQ20" si="9">ROUND(AF17*AN$23,0)</f>
        <v>0</v>
      </c>
      <c r="AO17" s="6">
        <f ca="1" t="shared" si="9"/>
        <v>14</v>
      </c>
      <c r="AP17" s="6">
        <f ca="1" t="shared" si="9"/>
        <v>5</v>
      </c>
      <c r="AQ17" s="6">
        <f ca="1" t="shared" si="9"/>
        <v>5</v>
      </c>
      <c r="AS17" s="6" t="s">
        <v>492</v>
      </c>
      <c r="AT17" s="6" t="s">
        <v>493</v>
      </c>
      <c r="AU17" s="6" t="s">
        <v>496</v>
      </c>
      <c r="AV17" s="6">
        <f ca="1" t="shared" ref="AV17:AY20" si="10">ROUND(AF17*AV$23,0)</f>
        <v>0</v>
      </c>
      <c r="AW17" s="6">
        <f ca="1" t="shared" si="10"/>
        <v>8</v>
      </c>
      <c r="AX17" s="6">
        <f ca="1" t="shared" si="10"/>
        <v>8</v>
      </c>
      <c r="AY17" s="6">
        <f ca="1" t="shared" si="10"/>
        <v>8</v>
      </c>
    </row>
    <row r="18" ht="20.1" customHeight="1" spans="3:51">
      <c r="C18" s="6">
        <v>1</v>
      </c>
      <c r="D18" s="6">
        <v>15</v>
      </c>
      <c r="E18" s="4"/>
      <c r="AC18" s="6" t="s">
        <v>492</v>
      </c>
      <c r="AD18" s="6" t="s">
        <v>493</v>
      </c>
      <c r="AE18" s="6" t="s">
        <v>497</v>
      </c>
      <c r="AF18" s="6">
        <v>0</v>
      </c>
      <c r="AG18" s="6">
        <v>18</v>
      </c>
      <c r="AH18" s="6">
        <v>10</v>
      </c>
      <c r="AI18" s="6">
        <v>10</v>
      </c>
      <c r="AJ18" s="6"/>
      <c r="AK18" s="6" t="s">
        <v>492</v>
      </c>
      <c r="AL18" s="6" t="s">
        <v>493</v>
      </c>
      <c r="AM18" s="6" t="s">
        <v>498</v>
      </c>
      <c r="AN18" s="6">
        <f ca="1" t="shared" si="9"/>
        <v>0</v>
      </c>
      <c r="AO18" s="6">
        <f ca="1" t="shared" si="9"/>
        <v>24</v>
      </c>
      <c r="AP18" s="6">
        <f ca="1" t="shared" si="9"/>
        <v>8</v>
      </c>
      <c r="AQ18" s="6">
        <f ca="1" t="shared" si="9"/>
        <v>8</v>
      </c>
      <c r="AS18" s="6" t="s">
        <v>492</v>
      </c>
      <c r="AT18" s="6" t="s">
        <v>493</v>
      </c>
      <c r="AU18" s="6" t="s">
        <v>499</v>
      </c>
      <c r="AV18" s="6">
        <f ca="1" t="shared" si="10"/>
        <v>0</v>
      </c>
      <c r="AW18" s="6">
        <f ca="1" t="shared" si="10"/>
        <v>14</v>
      </c>
      <c r="AX18" s="6">
        <f ca="1" t="shared" si="10"/>
        <v>13</v>
      </c>
      <c r="AY18" s="6">
        <f ca="1" t="shared" si="10"/>
        <v>13</v>
      </c>
    </row>
    <row r="19" ht="20.1" customHeight="1" spans="2:51">
      <c r="B19" s="4"/>
      <c r="C19" s="6">
        <v>2</v>
      </c>
      <c r="D19" s="6">
        <v>25</v>
      </c>
      <c r="E19" s="4"/>
      <c r="AC19" s="57" t="s">
        <v>500</v>
      </c>
      <c r="AD19" s="57" t="s">
        <v>485</v>
      </c>
      <c r="AE19" s="57" t="s">
        <v>501</v>
      </c>
      <c r="AF19" s="57">
        <v>0</v>
      </c>
      <c r="AG19" s="57">
        <v>20</v>
      </c>
      <c r="AH19" s="57">
        <v>12</v>
      </c>
      <c r="AI19" s="57">
        <v>12</v>
      </c>
      <c r="AJ19" s="6"/>
      <c r="AK19" s="57" t="s">
        <v>500</v>
      </c>
      <c r="AL19" s="57" t="s">
        <v>485</v>
      </c>
      <c r="AM19" s="57" t="s">
        <v>502</v>
      </c>
      <c r="AN19" s="6">
        <f ca="1" t="shared" si="9"/>
        <v>0</v>
      </c>
      <c r="AO19" s="6">
        <f ca="1" t="shared" si="9"/>
        <v>27</v>
      </c>
      <c r="AP19" s="6">
        <f ca="1" t="shared" si="9"/>
        <v>9</v>
      </c>
      <c r="AQ19" s="6">
        <f ca="1" t="shared" si="9"/>
        <v>9</v>
      </c>
      <c r="AS19" s="57" t="s">
        <v>500</v>
      </c>
      <c r="AT19" s="57" t="s">
        <v>485</v>
      </c>
      <c r="AU19" s="57" t="s">
        <v>501</v>
      </c>
      <c r="AV19" s="6">
        <f ca="1" t="shared" si="10"/>
        <v>0</v>
      </c>
      <c r="AW19" s="6">
        <f ca="1" t="shared" si="10"/>
        <v>15</v>
      </c>
      <c r="AX19" s="6">
        <f ca="1" t="shared" si="10"/>
        <v>15</v>
      </c>
      <c r="AY19" s="6">
        <f ca="1" t="shared" si="10"/>
        <v>15</v>
      </c>
    </row>
    <row r="20" ht="20.1" customHeight="1" spans="2:51">
      <c r="B20" s="4"/>
      <c r="C20" s="6">
        <v>3</v>
      </c>
      <c r="D20" s="6">
        <v>32</v>
      </c>
      <c r="E20" s="4"/>
      <c r="AC20" s="58" t="s">
        <v>492</v>
      </c>
      <c r="AD20" s="58" t="s">
        <v>485</v>
      </c>
      <c r="AE20" s="58" t="s">
        <v>503</v>
      </c>
      <c r="AF20" s="58">
        <v>0</v>
      </c>
      <c r="AG20" s="58">
        <v>25</v>
      </c>
      <c r="AH20" s="58">
        <v>15</v>
      </c>
      <c r="AI20" s="58">
        <v>15</v>
      </c>
      <c r="AJ20" s="6"/>
      <c r="AK20" s="58" t="s">
        <v>492</v>
      </c>
      <c r="AL20" s="58" t="s">
        <v>485</v>
      </c>
      <c r="AM20" s="58" t="s">
        <v>504</v>
      </c>
      <c r="AN20" s="6">
        <f ca="1" t="shared" si="9"/>
        <v>0</v>
      </c>
      <c r="AO20" s="6">
        <f ca="1" t="shared" si="9"/>
        <v>34</v>
      </c>
      <c r="AP20" s="6">
        <f ca="1" t="shared" si="9"/>
        <v>11</v>
      </c>
      <c r="AQ20" s="6">
        <f ca="1" t="shared" si="9"/>
        <v>11</v>
      </c>
      <c r="AS20" s="58" t="s">
        <v>492</v>
      </c>
      <c r="AT20" s="58" t="s">
        <v>485</v>
      </c>
      <c r="AU20" s="58" t="s">
        <v>505</v>
      </c>
      <c r="AV20" s="6">
        <f ca="1" t="shared" si="10"/>
        <v>0</v>
      </c>
      <c r="AW20" s="6">
        <f ca="1" t="shared" si="10"/>
        <v>19</v>
      </c>
      <c r="AX20" s="6">
        <f ca="1" t="shared" si="10"/>
        <v>19</v>
      </c>
      <c r="AY20" s="6">
        <f ca="1" t="shared" si="10"/>
        <v>19</v>
      </c>
    </row>
    <row r="21" ht="20.1" customHeight="1" spans="2:40">
      <c r="B21" s="4"/>
      <c r="C21" s="6">
        <v>4</v>
      </c>
      <c r="D21" s="6">
        <v>40</v>
      </c>
      <c r="E21" s="4"/>
      <c r="AC21" s="6"/>
      <c r="AD21" s="6"/>
      <c r="AE21" s="55"/>
      <c r="AF21" s="55"/>
      <c r="AG21" s="55"/>
      <c r="AH21" s="55"/>
      <c r="AI21" s="55"/>
      <c r="AJ21" s="6"/>
      <c r="AK21" s="6"/>
      <c r="AN21" s="7"/>
    </row>
    <row r="22" ht="20.1" customHeight="1" spans="2:40">
      <c r="B22" s="4"/>
      <c r="C22" s="6">
        <v>5</v>
      </c>
      <c r="D22" s="6">
        <v>50</v>
      </c>
      <c r="AC22" s="17"/>
      <c r="AD22" s="6"/>
      <c r="AE22" s="56" t="s">
        <v>403</v>
      </c>
      <c r="AF22" s="6" t="s">
        <v>506</v>
      </c>
      <c r="AG22" s="6" t="s">
        <v>506</v>
      </c>
      <c r="AH22" s="6" t="s">
        <v>506</v>
      </c>
      <c r="AI22" s="6" t="s">
        <v>506</v>
      </c>
      <c r="AJ22" s="6"/>
      <c r="AK22" s="6"/>
      <c r="AN22" s="17"/>
    </row>
    <row r="23" ht="20.1" customHeight="1" spans="29:51">
      <c r="AC23" s="6" t="s">
        <v>492</v>
      </c>
      <c r="AD23" s="6" t="s">
        <v>493</v>
      </c>
      <c r="AE23" s="6" t="s">
        <v>507</v>
      </c>
      <c r="AF23" s="6">
        <v>0</v>
      </c>
      <c r="AG23" s="6">
        <v>12</v>
      </c>
      <c r="AH23" s="6">
        <v>0</v>
      </c>
      <c r="AI23" s="6">
        <v>20</v>
      </c>
      <c r="AJ23" s="6"/>
      <c r="AK23" s="6" t="s">
        <v>492</v>
      </c>
      <c r="AL23" s="6" t="s">
        <v>493</v>
      </c>
      <c r="AM23" s="6" t="s">
        <v>508</v>
      </c>
      <c r="AN23" s="6">
        <f ca="1" t="shared" ref="AN23:AQ26" si="11">ROUND(AF23*AN$23,0)</f>
        <v>0</v>
      </c>
      <c r="AO23" s="6">
        <f ca="1" t="shared" si="11"/>
        <v>16</v>
      </c>
      <c r="AP23" s="6">
        <f ca="1" t="shared" si="11"/>
        <v>0</v>
      </c>
      <c r="AQ23" s="6">
        <f ca="1" t="shared" si="11"/>
        <v>15</v>
      </c>
      <c r="AS23" s="6" t="s">
        <v>492</v>
      </c>
      <c r="AT23" s="6" t="s">
        <v>493</v>
      </c>
      <c r="AU23" s="6" t="s">
        <v>509</v>
      </c>
      <c r="AV23" s="6">
        <f ca="1" t="shared" ref="AV23:AY26" si="12">ROUND(AF23*AV$23,0)</f>
        <v>0</v>
      </c>
      <c r="AW23" s="6">
        <f ca="1" t="shared" si="12"/>
        <v>9</v>
      </c>
      <c r="AX23" s="6">
        <f ca="1" t="shared" si="12"/>
        <v>0</v>
      </c>
      <c r="AY23" s="6">
        <f ca="1" t="shared" si="12"/>
        <v>25</v>
      </c>
    </row>
    <row r="24" ht="20.1" customHeight="1" spans="29:51">
      <c r="AC24" s="6" t="s">
        <v>492</v>
      </c>
      <c r="AD24" s="6" t="s">
        <v>493</v>
      </c>
      <c r="AE24" s="55" t="s">
        <v>510</v>
      </c>
      <c r="AF24" s="6">
        <v>0</v>
      </c>
      <c r="AG24" s="6">
        <v>24</v>
      </c>
      <c r="AH24" s="6">
        <v>0</v>
      </c>
      <c r="AI24" s="6">
        <v>30</v>
      </c>
      <c r="AJ24" s="6"/>
      <c r="AK24" s="6" t="s">
        <v>492</v>
      </c>
      <c r="AL24" s="6" t="s">
        <v>493</v>
      </c>
      <c r="AM24" s="55" t="s">
        <v>511</v>
      </c>
      <c r="AN24" s="6">
        <f ca="1" t="shared" si="11"/>
        <v>0</v>
      </c>
      <c r="AO24" s="6">
        <f ca="1" t="shared" si="11"/>
        <v>32</v>
      </c>
      <c r="AP24" s="6">
        <f ca="1" t="shared" si="11"/>
        <v>0</v>
      </c>
      <c r="AQ24" s="6">
        <f ca="1" t="shared" si="11"/>
        <v>23</v>
      </c>
      <c r="AS24" s="6" t="s">
        <v>492</v>
      </c>
      <c r="AT24" s="6" t="s">
        <v>493</v>
      </c>
      <c r="AU24" s="55" t="s">
        <v>512</v>
      </c>
      <c r="AV24" s="6">
        <f ca="1" t="shared" si="12"/>
        <v>0</v>
      </c>
      <c r="AW24" s="6">
        <f ca="1" t="shared" si="12"/>
        <v>18</v>
      </c>
      <c r="AX24" s="6">
        <f ca="1" t="shared" si="12"/>
        <v>0</v>
      </c>
      <c r="AY24" s="6">
        <f ca="1" t="shared" si="12"/>
        <v>38</v>
      </c>
    </row>
    <row r="25" ht="20.1" customHeight="1" spans="29:51">
      <c r="AC25" s="57" t="s">
        <v>500</v>
      </c>
      <c r="AD25" s="57" t="s">
        <v>485</v>
      </c>
      <c r="AE25" s="59" t="s">
        <v>513</v>
      </c>
      <c r="AF25" s="57">
        <v>0</v>
      </c>
      <c r="AG25" s="57">
        <v>27</v>
      </c>
      <c r="AH25" s="57">
        <v>0</v>
      </c>
      <c r="AI25" s="57">
        <v>35</v>
      </c>
      <c r="AJ25" s="6"/>
      <c r="AK25" s="57" t="s">
        <v>500</v>
      </c>
      <c r="AL25" s="57" t="s">
        <v>485</v>
      </c>
      <c r="AM25" s="59" t="s">
        <v>514</v>
      </c>
      <c r="AN25" s="6">
        <f ca="1" t="shared" si="11"/>
        <v>0</v>
      </c>
      <c r="AO25" s="6">
        <f ca="1" t="shared" si="11"/>
        <v>36</v>
      </c>
      <c r="AP25" s="6">
        <f ca="1" t="shared" si="11"/>
        <v>0</v>
      </c>
      <c r="AQ25" s="6">
        <f ca="1" t="shared" si="11"/>
        <v>26</v>
      </c>
      <c r="AS25" s="57" t="s">
        <v>500</v>
      </c>
      <c r="AT25" s="57" t="s">
        <v>485</v>
      </c>
      <c r="AU25" s="59" t="s">
        <v>513</v>
      </c>
      <c r="AV25" s="6">
        <f ca="1" t="shared" si="12"/>
        <v>0</v>
      </c>
      <c r="AW25" s="6">
        <f ca="1" t="shared" si="12"/>
        <v>20</v>
      </c>
      <c r="AX25" s="6">
        <f ca="1" t="shared" si="12"/>
        <v>0</v>
      </c>
      <c r="AY25" s="6">
        <f ca="1" t="shared" si="12"/>
        <v>44</v>
      </c>
    </row>
    <row r="26" ht="20.1" customHeight="1" spans="29:51">
      <c r="AC26" s="58" t="s">
        <v>492</v>
      </c>
      <c r="AD26" s="58" t="s">
        <v>485</v>
      </c>
      <c r="AE26" s="58" t="s">
        <v>515</v>
      </c>
      <c r="AF26" s="58">
        <v>0</v>
      </c>
      <c r="AG26" s="58">
        <v>33</v>
      </c>
      <c r="AH26" s="58">
        <v>0</v>
      </c>
      <c r="AI26" s="58">
        <v>45</v>
      </c>
      <c r="AJ26" s="17"/>
      <c r="AK26" s="58" t="s">
        <v>492</v>
      </c>
      <c r="AL26" s="58" t="s">
        <v>485</v>
      </c>
      <c r="AM26" s="58" t="s">
        <v>516</v>
      </c>
      <c r="AN26" s="6">
        <f ca="1" t="shared" si="11"/>
        <v>0</v>
      </c>
      <c r="AO26" s="6">
        <f ca="1" t="shared" si="11"/>
        <v>45</v>
      </c>
      <c r="AP26" s="6">
        <f ca="1" t="shared" si="11"/>
        <v>0</v>
      </c>
      <c r="AQ26" s="6">
        <f ca="1" t="shared" si="11"/>
        <v>34</v>
      </c>
      <c r="AS26" s="58" t="s">
        <v>492</v>
      </c>
      <c r="AT26" s="58" t="s">
        <v>485</v>
      </c>
      <c r="AU26" s="58" t="s">
        <v>517</v>
      </c>
      <c r="AV26" s="6">
        <f ca="1" t="shared" si="12"/>
        <v>0</v>
      </c>
      <c r="AW26" s="6">
        <f ca="1" t="shared" si="12"/>
        <v>25</v>
      </c>
      <c r="AX26" s="6">
        <f ca="1" t="shared" si="12"/>
        <v>0</v>
      </c>
      <c r="AY26" s="6">
        <f ca="1" t="shared" si="12"/>
        <v>56</v>
      </c>
    </row>
    <row r="27" ht="20.1" customHeight="1" spans="29:48">
      <c r="AC27" s="6"/>
      <c r="AD27" s="6"/>
      <c r="AE27" s="55"/>
      <c r="AF27" s="55"/>
      <c r="AG27" s="55"/>
      <c r="AH27" s="55"/>
      <c r="AI27" s="55"/>
      <c r="AJ27" s="17"/>
      <c r="AK27" s="17"/>
      <c r="AN27" s="7"/>
      <c r="AV27" s="7"/>
    </row>
    <row r="28" ht="20.1" customHeight="1" spans="29:48">
      <c r="AC28" s="15"/>
      <c r="AD28" s="6"/>
      <c r="AE28" s="56" t="s">
        <v>385</v>
      </c>
      <c r="AF28" s="6"/>
      <c r="AG28" s="6"/>
      <c r="AH28" s="6"/>
      <c r="AI28" s="6"/>
      <c r="AJ28" s="6"/>
      <c r="AK28" s="6"/>
      <c r="AN28" s="7"/>
      <c r="AV28" s="7"/>
    </row>
    <row r="29" ht="20.1" customHeight="1" spans="29:51">
      <c r="AC29" s="6" t="s">
        <v>492</v>
      </c>
      <c r="AD29" s="6" t="s">
        <v>493</v>
      </c>
      <c r="AE29" s="6" t="s">
        <v>518</v>
      </c>
      <c r="AF29" s="6">
        <v>150</v>
      </c>
      <c r="AG29" s="6">
        <v>6</v>
      </c>
      <c r="AH29" s="6">
        <v>10</v>
      </c>
      <c r="AI29" s="6">
        <v>0</v>
      </c>
      <c r="AJ29" s="6"/>
      <c r="AK29" s="6" t="s">
        <v>492</v>
      </c>
      <c r="AL29" s="6" t="s">
        <v>493</v>
      </c>
      <c r="AM29" s="6" t="s">
        <v>519</v>
      </c>
      <c r="AN29" s="6">
        <f ca="1" t="shared" ref="AN29:AN32" si="13">ROUND(AF29*AN$23,-1)</f>
        <v>80</v>
      </c>
      <c r="AO29" s="6">
        <f ca="1" t="shared" ref="AO29:AQ32" si="14">ROUND(AG29*AO$23,0)</f>
        <v>8</v>
      </c>
      <c r="AP29" s="6">
        <f ca="1" t="shared" si="14"/>
        <v>8</v>
      </c>
      <c r="AQ29" s="6">
        <f ca="1" t="shared" si="14"/>
        <v>0</v>
      </c>
      <c r="AS29" s="6" t="s">
        <v>492</v>
      </c>
      <c r="AT29" s="6" t="s">
        <v>493</v>
      </c>
      <c r="AU29" s="6" t="s">
        <v>520</v>
      </c>
      <c r="AV29" s="6">
        <f ca="1" t="shared" ref="AV29:AV32" si="15">ROUND(AF29*AV$23,-1)</f>
        <v>230</v>
      </c>
      <c r="AW29" s="6">
        <f ca="1" t="shared" ref="AW29:AY32" si="16">ROUND(AG29*AW$23,0)</f>
        <v>5</v>
      </c>
      <c r="AX29" s="6">
        <f ca="1" t="shared" si="16"/>
        <v>13</v>
      </c>
      <c r="AY29" s="6">
        <f ca="1" t="shared" si="16"/>
        <v>0</v>
      </c>
    </row>
    <row r="30" ht="20.1" customHeight="1" spans="29:51">
      <c r="AC30" s="6" t="s">
        <v>492</v>
      </c>
      <c r="AD30" s="6" t="s">
        <v>493</v>
      </c>
      <c r="AE30" s="60" t="s">
        <v>521</v>
      </c>
      <c r="AF30" s="6">
        <v>375</v>
      </c>
      <c r="AG30" s="6">
        <v>10</v>
      </c>
      <c r="AH30" s="6">
        <v>15</v>
      </c>
      <c r="AI30" s="6">
        <v>0</v>
      </c>
      <c r="AJ30" s="6"/>
      <c r="AK30" s="6" t="s">
        <v>492</v>
      </c>
      <c r="AL30" s="6" t="s">
        <v>493</v>
      </c>
      <c r="AM30" s="60" t="s">
        <v>522</v>
      </c>
      <c r="AN30" s="6">
        <f ca="1" t="shared" si="13"/>
        <v>190</v>
      </c>
      <c r="AO30" s="6">
        <f ca="1" t="shared" si="14"/>
        <v>14</v>
      </c>
      <c r="AP30" s="6">
        <f ca="1" t="shared" si="14"/>
        <v>11</v>
      </c>
      <c r="AQ30" s="6">
        <f ca="1" t="shared" si="14"/>
        <v>0</v>
      </c>
      <c r="AS30" s="6" t="s">
        <v>492</v>
      </c>
      <c r="AT30" s="6" t="s">
        <v>493</v>
      </c>
      <c r="AU30" s="60" t="s">
        <v>523</v>
      </c>
      <c r="AV30" s="6">
        <f ca="1" t="shared" si="15"/>
        <v>560</v>
      </c>
      <c r="AW30" s="6">
        <f ca="1" t="shared" si="16"/>
        <v>8</v>
      </c>
      <c r="AX30" s="6">
        <f ca="1" t="shared" si="16"/>
        <v>19</v>
      </c>
      <c r="AY30" s="6">
        <f ca="1" t="shared" si="16"/>
        <v>0</v>
      </c>
    </row>
    <row r="31" ht="20.1" customHeight="1" spans="29:51">
      <c r="AC31" s="57" t="s">
        <v>500</v>
      </c>
      <c r="AD31" s="57" t="s">
        <v>485</v>
      </c>
      <c r="AE31" s="59" t="s">
        <v>524</v>
      </c>
      <c r="AF31" s="57">
        <v>425</v>
      </c>
      <c r="AG31" s="57">
        <v>12</v>
      </c>
      <c r="AH31" s="57">
        <v>15</v>
      </c>
      <c r="AI31" s="57">
        <v>0</v>
      </c>
      <c r="AJ31" s="6"/>
      <c r="AK31" s="57" t="s">
        <v>500</v>
      </c>
      <c r="AL31" s="57" t="s">
        <v>485</v>
      </c>
      <c r="AM31" s="59" t="s">
        <v>525</v>
      </c>
      <c r="AN31" s="6">
        <f ca="1" t="shared" si="13"/>
        <v>210</v>
      </c>
      <c r="AO31" s="6">
        <f ca="1" t="shared" si="14"/>
        <v>16</v>
      </c>
      <c r="AP31" s="6">
        <f ca="1" t="shared" si="14"/>
        <v>11</v>
      </c>
      <c r="AQ31" s="6">
        <f ca="1" t="shared" si="14"/>
        <v>0</v>
      </c>
      <c r="AS31" s="57" t="s">
        <v>500</v>
      </c>
      <c r="AT31" s="57" t="s">
        <v>485</v>
      </c>
      <c r="AU31" s="59" t="s">
        <v>524</v>
      </c>
      <c r="AV31" s="6">
        <f ca="1" t="shared" si="15"/>
        <v>640</v>
      </c>
      <c r="AW31" s="6">
        <f ca="1" t="shared" si="16"/>
        <v>9</v>
      </c>
      <c r="AX31" s="6">
        <f ca="1" t="shared" si="16"/>
        <v>19</v>
      </c>
      <c r="AY31" s="6">
        <f ca="1" t="shared" si="16"/>
        <v>0</v>
      </c>
    </row>
    <row r="32" ht="20.1" customHeight="1" spans="29:51">
      <c r="AC32" s="58" t="s">
        <v>492</v>
      </c>
      <c r="AD32" s="58" t="s">
        <v>485</v>
      </c>
      <c r="AE32" s="58" t="s">
        <v>526</v>
      </c>
      <c r="AF32" s="58">
        <v>525</v>
      </c>
      <c r="AG32" s="58">
        <v>18</v>
      </c>
      <c r="AH32" s="58">
        <v>30</v>
      </c>
      <c r="AI32" s="58">
        <v>0</v>
      </c>
      <c r="AJ32" s="6"/>
      <c r="AK32" s="58" t="s">
        <v>492</v>
      </c>
      <c r="AL32" s="58" t="s">
        <v>485</v>
      </c>
      <c r="AM32" s="58" t="s">
        <v>527</v>
      </c>
      <c r="AN32" s="6">
        <f ca="1" t="shared" si="13"/>
        <v>260</v>
      </c>
      <c r="AO32" s="6">
        <f ca="1" t="shared" si="14"/>
        <v>24</v>
      </c>
      <c r="AP32" s="6">
        <f ca="1" t="shared" si="14"/>
        <v>23</v>
      </c>
      <c r="AQ32" s="6">
        <f ca="1" t="shared" si="14"/>
        <v>0</v>
      </c>
      <c r="AS32" s="58" t="s">
        <v>492</v>
      </c>
      <c r="AT32" s="58" t="s">
        <v>485</v>
      </c>
      <c r="AU32" s="58" t="s">
        <v>528</v>
      </c>
      <c r="AV32" s="6">
        <f ca="1" t="shared" si="15"/>
        <v>790</v>
      </c>
      <c r="AW32" s="6">
        <f ca="1" t="shared" si="16"/>
        <v>14</v>
      </c>
      <c r="AX32" s="6">
        <f ca="1" t="shared" si="16"/>
        <v>38</v>
      </c>
      <c r="AY32" s="6">
        <f ca="1" t="shared" si="16"/>
        <v>0</v>
      </c>
    </row>
    <row r="33" ht="20.1" customHeight="1" spans="29:48">
      <c r="AC33" s="6"/>
      <c r="AD33" s="6"/>
      <c r="AE33" s="55"/>
      <c r="AF33" s="55"/>
      <c r="AG33" s="55"/>
      <c r="AH33" s="55"/>
      <c r="AI33" s="55"/>
      <c r="AJ33" s="6"/>
      <c r="AK33" s="6"/>
      <c r="AN33" s="7"/>
      <c r="AV33" s="7"/>
    </row>
    <row r="34" ht="20.1" customHeight="1" spans="29:48">
      <c r="AC34" s="17"/>
      <c r="AD34" s="6"/>
      <c r="AE34" s="56" t="s">
        <v>480</v>
      </c>
      <c r="AF34" s="6"/>
      <c r="AG34" s="6"/>
      <c r="AH34" s="6"/>
      <c r="AI34" s="6"/>
      <c r="AJ34" s="6"/>
      <c r="AK34" s="6"/>
      <c r="AN34" s="7"/>
      <c r="AV34" s="7"/>
    </row>
    <row r="35" ht="20.1" customHeight="1" spans="29:51">
      <c r="AC35" s="6" t="s">
        <v>492</v>
      </c>
      <c r="AD35" s="6" t="s">
        <v>493</v>
      </c>
      <c r="AE35" s="6" t="s">
        <v>529</v>
      </c>
      <c r="AF35" s="6">
        <v>0</v>
      </c>
      <c r="AG35" s="6">
        <v>12</v>
      </c>
      <c r="AH35" s="6">
        <v>0</v>
      </c>
      <c r="AI35" s="6">
        <v>12</v>
      </c>
      <c r="AJ35" s="6"/>
      <c r="AK35" s="6" t="s">
        <v>492</v>
      </c>
      <c r="AL35" s="6" t="s">
        <v>493</v>
      </c>
      <c r="AM35" s="6" t="s">
        <v>480</v>
      </c>
      <c r="AN35" s="6">
        <f ca="1" t="shared" ref="AN35:AN38" si="17">ROUND(AF35*AN$23,-1)</f>
        <v>0</v>
      </c>
      <c r="AO35" s="6">
        <f ca="1" t="shared" ref="AO35:AQ38" si="18">ROUND(AG35*AO$23,0)</f>
        <v>16</v>
      </c>
      <c r="AP35" s="6">
        <f ca="1" t="shared" si="18"/>
        <v>0</v>
      </c>
      <c r="AQ35" s="6">
        <f ca="1" t="shared" si="18"/>
        <v>9</v>
      </c>
      <c r="AS35" s="6" t="s">
        <v>492</v>
      </c>
      <c r="AT35" s="6" t="s">
        <v>493</v>
      </c>
      <c r="AU35" s="6" t="s">
        <v>530</v>
      </c>
      <c r="AV35" s="6">
        <f ca="1" t="shared" ref="AV35:AV38" si="19">ROUND(AF35*AV$23,-1)</f>
        <v>0</v>
      </c>
      <c r="AW35" s="6">
        <f ca="1" t="shared" ref="AW35:AY38" si="20">ROUND(AG35*AW$23,0)</f>
        <v>9</v>
      </c>
      <c r="AX35" s="6">
        <f ca="1" t="shared" si="20"/>
        <v>0</v>
      </c>
      <c r="AY35" s="6">
        <f ca="1" t="shared" si="20"/>
        <v>15</v>
      </c>
    </row>
    <row r="36" ht="20.1" customHeight="1" spans="29:51">
      <c r="AC36" s="6" t="s">
        <v>492</v>
      </c>
      <c r="AD36" s="6" t="s">
        <v>493</v>
      </c>
      <c r="AE36" s="61" t="s">
        <v>531</v>
      </c>
      <c r="AF36" s="55">
        <v>0</v>
      </c>
      <c r="AG36" s="55">
        <v>20</v>
      </c>
      <c r="AH36" s="55">
        <v>0</v>
      </c>
      <c r="AI36" s="55">
        <v>20</v>
      </c>
      <c r="AJ36" s="6"/>
      <c r="AK36" s="6" t="s">
        <v>492</v>
      </c>
      <c r="AL36" s="6" t="s">
        <v>493</v>
      </c>
      <c r="AM36" s="61" t="s">
        <v>532</v>
      </c>
      <c r="AN36" s="6">
        <f ca="1" t="shared" si="17"/>
        <v>0</v>
      </c>
      <c r="AO36" s="6">
        <f ca="1" t="shared" si="18"/>
        <v>27</v>
      </c>
      <c r="AP36" s="6">
        <f ca="1" t="shared" si="18"/>
        <v>0</v>
      </c>
      <c r="AQ36" s="6">
        <f ca="1" t="shared" si="18"/>
        <v>15</v>
      </c>
      <c r="AS36" s="6" t="s">
        <v>492</v>
      </c>
      <c r="AT36" s="6" t="s">
        <v>493</v>
      </c>
      <c r="AU36" s="61" t="s">
        <v>533</v>
      </c>
      <c r="AV36" s="6">
        <f ca="1" t="shared" si="19"/>
        <v>0</v>
      </c>
      <c r="AW36" s="6">
        <f ca="1" t="shared" si="20"/>
        <v>15</v>
      </c>
      <c r="AX36" s="6">
        <f ca="1" t="shared" si="20"/>
        <v>0</v>
      </c>
      <c r="AY36" s="6">
        <f ca="1" t="shared" si="20"/>
        <v>25</v>
      </c>
    </row>
    <row r="37" ht="20.1" customHeight="1" spans="29:51">
      <c r="AC37" s="57" t="s">
        <v>500</v>
      </c>
      <c r="AD37" s="57" t="s">
        <v>485</v>
      </c>
      <c r="AE37" s="57" t="s">
        <v>534</v>
      </c>
      <c r="AF37" s="57">
        <v>0</v>
      </c>
      <c r="AG37" s="57">
        <v>22</v>
      </c>
      <c r="AH37" s="57">
        <v>0</v>
      </c>
      <c r="AI37" s="57">
        <v>23</v>
      </c>
      <c r="AJ37" s="6"/>
      <c r="AK37" s="57" t="s">
        <v>500</v>
      </c>
      <c r="AL37" s="57" t="s">
        <v>485</v>
      </c>
      <c r="AM37" s="57" t="s">
        <v>535</v>
      </c>
      <c r="AN37" s="6">
        <f ca="1" t="shared" si="17"/>
        <v>0</v>
      </c>
      <c r="AO37" s="6">
        <f ca="1" t="shared" si="18"/>
        <v>30</v>
      </c>
      <c r="AP37" s="6">
        <f ca="1" t="shared" si="18"/>
        <v>0</v>
      </c>
      <c r="AQ37" s="6">
        <f ca="1" t="shared" si="18"/>
        <v>17</v>
      </c>
      <c r="AS37" s="57" t="s">
        <v>500</v>
      </c>
      <c r="AT37" s="57" t="s">
        <v>485</v>
      </c>
      <c r="AU37" s="57" t="s">
        <v>534</v>
      </c>
      <c r="AV37" s="6">
        <f ca="1" t="shared" si="19"/>
        <v>0</v>
      </c>
      <c r="AW37" s="6">
        <f ca="1" t="shared" si="20"/>
        <v>17</v>
      </c>
      <c r="AX37" s="6">
        <f ca="1" t="shared" si="20"/>
        <v>0</v>
      </c>
      <c r="AY37" s="6">
        <f ca="1" t="shared" si="20"/>
        <v>29</v>
      </c>
    </row>
    <row r="38" ht="20.1" customHeight="1" spans="29:51">
      <c r="AC38" s="58" t="s">
        <v>492</v>
      </c>
      <c r="AD38" s="58" t="s">
        <v>485</v>
      </c>
      <c r="AE38" s="58" t="s">
        <v>536</v>
      </c>
      <c r="AF38" s="58">
        <v>0</v>
      </c>
      <c r="AG38" s="58">
        <v>28</v>
      </c>
      <c r="AH38" s="58">
        <v>0</v>
      </c>
      <c r="AI38" s="58">
        <v>30</v>
      </c>
      <c r="AJ38" s="6"/>
      <c r="AK38" s="58" t="s">
        <v>492</v>
      </c>
      <c r="AL38" s="58" t="s">
        <v>485</v>
      </c>
      <c r="AM38" s="58" t="s">
        <v>537</v>
      </c>
      <c r="AN38" s="6">
        <f ca="1" t="shared" si="17"/>
        <v>0</v>
      </c>
      <c r="AO38" s="6">
        <f ca="1" t="shared" si="18"/>
        <v>38</v>
      </c>
      <c r="AP38" s="6">
        <f ca="1" t="shared" si="18"/>
        <v>0</v>
      </c>
      <c r="AQ38" s="6">
        <f ca="1" t="shared" si="18"/>
        <v>23</v>
      </c>
      <c r="AS38" s="58" t="s">
        <v>492</v>
      </c>
      <c r="AT38" s="58" t="s">
        <v>485</v>
      </c>
      <c r="AU38" s="58" t="s">
        <v>538</v>
      </c>
      <c r="AV38" s="6">
        <f ca="1" t="shared" si="19"/>
        <v>0</v>
      </c>
      <c r="AW38" s="6">
        <f ca="1" t="shared" si="20"/>
        <v>21</v>
      </c>
      <c r="AX38" s="6">
        <f ca="1" t="shared" si="20"/>
        <v>0</v>
      </c>
      <c r="AY38" s="6">
        <f ca="1" t="shared" si="20"/>
        <v>38</v>
      </c>
    </row>
    <row r="39" ht="20.1" customHeight="1" spans="29:51">
      <c r="AC39" s="6"/>
      <c r="AD39" s="6"/>
      <c r="AE39" s="55"/>
      <c r="AF39" s="55"/>
      <c r="AG39" s="55"/>
      <c r="AH39" s="55"/>
      <c r="AI39" s="55"/>
      <c r="AJ39" s="6"/>
      <c r="AK39" s="6"/>
      <c r="AN39" s="6"/>
      <c r="AO39" s="6"/>
      <c r="AP39" s="6"/>
      <c r="AQ39" s="6"/>
      <c r="AV39" s="6"/>
      <c r="AW39" s="6"/>
      <c r="AX39" s="6"/>
      <c r="AY39" s="6"/>
    </row>
    <row r="40" ht="20.1" customHeight="1" spans="29:48">
      <c r="AC40" s="17"/>
      <c r="AD40" s="6"/>
      <c r="AE40" s="56" t="s">
        <v>481</v>
      </c>
      <c r="AF40" s="6" t="s">
        <v>506</v>
      </c>
      <c r="AG40" s="6" t="s">
        <v>506</v>
      </c>
      <c r="AH40" s="6" t="s">
        <v>506</v>
      </c>
      <c r="AI40" s="6" t="s">
        <v>506</v>
      </c>
      <c r="AJ40" s="6"/>
      <c r="AK40" s="6"/>
      <c r="AN40" s="7"/>
      <c r="AV40" s="7"/>
    </row>
    <row r="41" ht="20.1" customHeight="1" spans="29:51">
      <c r="AC41" s="6" t="s">
        <v>492</v>
      </c>
      <c r="AD41" s="6" t="s">
        <v>493</v>
      </c>
      <c r="AE41" s="6" t="s">
        <v>539</v>
      </c>
      <c r="AF41" s="6">
        <v>550</v>
      </c>
      <c r="AG41" s="6">
        <v>15</v>
      </c>
      <c r="AH41" s="6">
        <v>5</v>
      </c>
      <c r="AI41" s="6">
        <v>5</v>
      </c>
      <c r="AJ41" s="15"/>
      <c r="AK41" s="6" t="s">
        <v>492</v>
      </c>
      <c r="AL41" s="6" t="s">
        <v>493</v>
      </c>
      <c r="AM41" s="6" t="s">
        <v>540</v>
      </c>
      <c r="AN41" s="6">
        <f ca="1" t="shared" ref="AN41:AN44" si="21">ROUND(AF41*AN$23,-1)</f>
        <v>280</v>
      </c>
      <c r="AO41" s="6">
        <f ca="1" t="shared" ref="AO41:AQ44" si="22">ROUND(AG41*AO$23,0)</f>
        <v>20</v>
      </c>
      <c r="AP41" s="6">
        <f ca="1" t="shared" si="22"/>
        <v>4</v>
      </c>
      <c r="AQ41" s="6">
        <f ca="1" t="shared" si="22"/>
        <v>4</v>
      </c>
      <c r="AS41" s="6" t="s">
        <v>492</v>
      </c>
      <c r="AT41" s="6" t="s">
        <v>493</v>
      </c>
      <c r="AU41" s="6" t="s">
        <v>541</v>
      </c>
      <c r="AV41" s="6">
        <f ca="1" t="shared" ref="AV41:AV44" si="23">ROUND(AF41*AV$23,-1)</f>
        <v>830</v>
      </c>
      <c r="AW41" s="6">
        <f ca="1" t="shared" ref="AW41:AY44" si="24">ROUND(AG41*AW$23,0)</f>
        <v>11</v>
      </c>
      <c r="AX41" s="6">
        <f ca="1" t="shared" si="24"/>
        <v>6</v>
      </c>
      <c r="AY41" s="6">
        <f ca="1" t="shared" si="24"/>
        <v>6</v>
      </c>
    </row>
    <row r="42" ht="20.1" customHeight="1" spans="29:51">
      <c r="AC42" s="6" t="s">
        <v>492</v>
      </c>
      <c r="AD42" s="6" t="s">
        <v>493</v>
      </c>
      <c r="AE42" s="55" t="s">
        <v>542</v>
      </c>
      <c r="AF42" s="55">
        <v>920</v>
      </c>
      <c r="AG42" s="55">
        <v>28</v>
      </c>
      <c r="AH42" s="55">
        <v>8</v>
      </c>
      <c r="AI42" s="55">
        <v>8</v>
      </c>
      <c r="AJ42" s="15"/>
      <c r="AK42" s="6" t="s">
        <v>492</v>
      </c>
      <c r="AL42" s="6" t="s">
        <v>493</v>
      </c>
      <c r="AM42" s="55" t="s">
        <v>543</v>
      </c>
      <c r="AN42" s="6">
        <f ca="1" t="shared" si="21"/>
        <v>460</v>
      </c>
      <c r="AO42" s="6">
        <f ca="1" t="shared" si="22"/>
        <v>38</v>
      </c>
      <c r="AP42" s="6">
        <f ca="1" t="shared" si="22"/>
        <v>6</v>
      </c>
      <c r="AQ42" s="6">
        <f ca="1" t="shared" si="22"/>
        <v>6</v>
      </c>
      <c r="AS42" s="6" t="s">
        <v>492</v>
      </c>
      <c r="AT42" s="6" t="s">
        <v>493</v>
      </c>
      <c r="AU42" s="55" t="s">
        <v>544</v>
      </c>
      <c r="AV42" s="6">
        <f ca="1" t="shared" si="23"/>
        <v>1380</v>
      </c>
      <c r="AW42" s="6">
        <f ca="1" t="shared" si="24"/>
        <v>21</v>
      </c>
      <c r="AX42" s="6">
        <f ca="1" t="shared" si="24"/>
        <v>10</v>
      </c>
      <c r="AY42" s="6">
        <f ca="1" t="shared" si="24"/>
        <v>10</v>
      </c>
    </row>
    <row r="43" ht="20.1" customHeight="1" spans="29:51">
      <c r="AC43" s="57" t="s">
        <v>500</v>
      </c>
      <c r="AD43" s="57" t="s">
        <v>485</v>
      </c>
      <c r="AE43" s="57" t="s">
        <v>545</v>
      </c>
      <c r="AF43" s="57">
        <v>1050</v>
      </c>
      <c r="AG43" s="57">
        <v>32</v>
      </c>
      <c r="AH43" s="57">
        <v>10</v>
      </c>
      <c r="AI43" s="57">
        <v>10</v>
      </c>
      <c r="AJ43" s="6"/>
      <c r="AK43" s="57" t="s">
        <v>500</v>
      </c>
      <c r="AL43" s="57" t="s">
        <v>485</v>
      </c>
      <c r="AM43" s="57" t="s">
        <v>546</v>
      </c>
      <c r="AN43" s="6">
        <f ca="1" t="shared" si="21"/>
        <v>530</v>
      </c>
      <c r="AO43" s="6">
        <f ca="1" t="shared" si="22"/>
        <v>43</v>
      </c>
      <c r="AP43" s="6">
        <f ca="1" t="shared" si="22"/>
        <v>8</v>
      </c>
      <c r="AQ43" s="6">
        <f ca="1" t="shared" si="22"/>
        <v>8</v>
      </c>
      <c r="AS43" s="57" t="s">
        <v>500</v>
      </c>
      <c r="AT43" s="57" t="s">
        <v>485</v>
      </c>
      <c r="AU43" s="57" t="s">
        <v>545</v>
      </c>
      <c r="AV43" s="6">
        <f ca="1" t="shared" si="23"/>
        <v>1580</v>
      </c>
      <c r="AW43" s="6">
        <f ca="1" t="shared" si="24"/>
        <v>24</v>
      </c>
      <c r="AX43" s="6">
        <f ca="1" t="shared" si="24"/>
        <v>13</v>
      </c>
      <c r="AY43" s="6">
        <f ca="1" t="shared" si="24"/>
        <v>13</v>
      </c>
    </row>
    <row r="44" ht="20.1" customHeight="1" spans="29:51">
      <c r="AC44" s="58" t="s">
        <v>492</v>
      </c>
      <c r="AD44" s="58" t="s">
        <v>485</v>
      </c>
      <c r="AE44" s="58" t="s">
        <v>547</v>
      </c>
      <c r="AF44" s="58">
        <v>1315</v>
      </c>
      <c r="AG44" s="58">
        <v>38</v>
      </c>
      <c r="AH44" s="58">
        <v>15</v>
      </c>
      <c r="AI44" s="58">
        <v>15</v>
      </c>
      <c r="AJ44" s="6"/>
      <c r="AK44" s="58" t="s">
        <v>492</v>
      </c>
      <c r="AL44" s="58" t="s">
        <v>485</v>
      </c>
      <c r="AM44" s="58" t="s">
        <v>548</v>
      </c>
      <c r="AN44" s="6">
        <f ca="1" t="shared" si="21"/>
        <v>660</v>
      </c>
      <c r="AO44" s="6">
        <f ca="1" t="shared" si="22"/>
        <v>51</v>
      </c>
      <c r="AP44" s="6">
        <f ca="1" t="shared" si="22"/>
        <v>11</v>
      </c>
      <c r="AQ44" s="6">
        <f ca="1" t="shared" si="22"/>
        <v>11</v>
      </c>
      <c r="AS44" s="58" t="s">
        <v>492</v>
      </c>
      <c r="AT44" s="58" t="s">
        <v>485</v>
      </c>
      <c r="AU44" s="58" t="s">
        <v>549</v>
      </c>
      <c r="AV44" s="6">
        <f ca="1" t="shared" si="23"/>
        <v>1970</v>
      </c>
      <c r="AW44" s="6">
        <f ca="1" t="shared" si="24"/>
        <v>29</v>
      </c>
      <c r="AX44" s="6">
        <f ca="1" t="shared" si="24"/>
        <v>19</v>
      </c>
      <c r="AY44" s="6">
        <f ca="1" t="shared" si="24"/>
        <v>19</v>
      </c>
    </row>
    <row r="45" ht="20.1" customHeight="1" spans="29:48">
      <c r="AC45" s="6"/>
      <c r="AD45" s="6"/>
      <c r="AE45" s="55"/>
      <c r="AF45" s="55"/>
      <c r="AG45" s="55"/>
      <c r="AH45" s="55"/>
      <c r="AI45" s="55"/>
      <c r="AJ45" s="6"/>
      <c r="AK45" s="6"/>
      <c r="AN45" s="7"/>
      <c r="AV45" s="7"/>
    </row>
    <row r="46" ht="20.1" customHeight="1" spans="29:48">
      <c r="AC46" s="17"/>
      <c r="AD46" s="6"/>
      <c r="AE46" s="56" t="s">
        <v>363</v>
      </c>
      <c r="AF46" s="6" t="s">
        <v>506</v>
      </c>
      <c r="AG46" s="6" t="s">
        <v>506</v>
      </c>
      <c r="AH46" s="6" t="s">
        <v>506</v>
      </c>
      <c r="AI46" s="6" t="s">
        <v>506</v>
      </c>
      <c r="AJ46" s="6"/>
      <c r="AK46" s="6"/>
      <c r="AN46" s="7"/>
      <c r="AV46" s="7"/>
    </row>
    <row r="47" ht="20.1" customHeight="1" spans="29:48">
      <c r="AC47" s="6" t="s">
        <v>492</v>
      </c>
      <c r="AD47" s="6" t="s">
        <v>493</v>
      </c>
      <c r="AE47" s="6" t="s">
        <v>550</v>
      </c>
      <c r="AF47" s="6">
        <v>0</v>
      </c>
      <c r="AG47" s="6">
        <v>25</v>
      </c>
      <c r="AH47" s="6">
        <v>8</v>
      </c>
      <c r="AI47" s="6">
        <v>0</v>
      </c>
      <c r="AJ47" s="15"/>
      <c r="AK47" s="15"/>
      <c r="AN47" s="7"/>
      <c r="AV47" s="7"/>
    </row>
    <row r="48" ht="20.1" customHeight="1" spans="29:48">
      <c r="AC48" s="6" t="s">
        <v>492</v>
      </c>
      <c r="AD48" s="6" t="s">
        <v>493</v>
      </c>
      <c r="AE48" s="6" t="s">
        <v>551</v>
      </c>
      <c r="AF48" s="6">
        <v>0</v>
      </c>
      <c r="AG48" s="6">
        <v>50</v>
      </c>
      <c r="AH48" s="6">
        <v>12</v>
      </c>
      <c r="AI48" s="6">
        <v>0</v>
      </c>
      <c r="AJ48" s="6"/>
      <c r="AK48" s="6"/>
      <c r="AN48" s="7"/>
      <c r="AV48" s="7"/>
    </row>
    <row r="49" ht="20.1" customHeight="1" spans="29:48">
      <c r="AC49" s="6" t="s">
        <v>500</v>
      </c>
      <c r="AD49" s="6" t="s">
        <v>493</v>
      </c>
      <c r="AE49" s="60" t="s">
        <v>552</v>
      </c>
      <c r="AF49" s="6">
        <v>0</v>
      </c>
      <c r="AG49" s="6">
        <v>60</v>
      </c>
      <c r="AH49" s="6">
        <v>15</v>
      </c>
      <c r="AI49" s="6">
        <v>0</v>
      </c>
      <c r="AJ49" s="6"/>
      <c r="AK49" s="6"/>
      <c r="AN49" s="7"/>
      <c r="AV49" s="7"/>
    </row>
    <row r="50" ht="20.1" customHeight="1" spans="29:48">
      <c r="AC50" s="58" t="s">
        <v>492</v>
      </c>
      <c r="AD50" s="58" t="s">
        <v>485</v>
      </c>
      <c r="AE50" s="58" t="s">
        <v>553</v>
      </c>
      <c r="AF50" s="58">
        <v>0</v>
      </c>
      <c r="AG50" s="58">
        <v>75</v>
      </c>
      <c r="AH50" s="58">
        <v>23</v>
      </c>
      <c r="AI50" s="58">
        <v>0</v>
      </c>
      <c r="AJ50" s="6"/>
      <c r="AK50" s="6"/>
      <c r="AN50" s="7"/>
      <c r="AV50" s="7"/>
    </row>
    <row r="51" ht="20.1" customHeight="1" spans="29:48">
      <c r="AC51" s="62"/>
      <c r="AD51" s="62"/>
      <c r="AE51" s="62"/>
      <c r="AF51" s="62"/>
      <c r="AG51" s="62"/>
      <c r="AH51" s="62"/>
      <c r="AI51" s="62"/>
      <c r="AJ51" s="6"/>
      <c r="AK51" s="6"/>
      <c r="AN51" s="7"/>
      <c r="AV51" s="7"/>
    </row>
    <row r="52" ht="20.1" customHeight="1" spans="29:48">
      <c r="AC52" s="7"/>
      <c r="AD52" s="6"/>
      <c r="AE52" s="56" t="s">
        <v>399</v>
      </c>
      <c r="AF52" s="6"/>
      <c r="AG52" s="6"/>
      <c r="AH52" s="6"/>
      <c r="AI52" s="6"/>
      <c r="AJ52" s="15"/>
      <c r="AK52" s="15"/>
      <c r="AN52" s="7"/>
      <c r="AV52" s="7"/>
    </row>
    <row r="53" ht="20.1" customHeight="1" spans="29:48">
      <c r="AC53" s="6" t="s">
        <v>500</v>
      </c>
      <c r="AD53" s="6" t="s">
        <v>493</v>
      </c>
      <c r="AE53" s="60" t="s">
        <v>554</v>
      </c>
      <c r="AF53" s="6">
        <v>0</v>
      </c>
      <c r="AG53" s="6">
        <v>25</v>
      </c>
      <c r="AH53" s="6">
        <v>0</v>
      </c>
      <c r="AI53" s="6">
        <v>8</v>
      </c>
      <c r="AJ53" s="15"/>
      <c r="AK53" s="15"/>
      <c r="AN53" s="7"/>
      <c r="AV53" s="7"/>
    </row>
    <row r="54" ht="20.1" customHeight="1" spans="29:48">
      <c r="AC54" s="6" t="s">
        <v>492</v>
      </c>
      <c r="AD54" s="6" t="s">
        <v>493</v>
      </c>
      <c r="AE54" s="6" t="s">
        <v>555</v>
      </c>
      <c r="AF54" s="6">
        <v>0</v>
      </c>
      <c r="AG54" s="6">
        <v>50</v>
      </c>
      <c r="AH54" s="6">
        <v>0</v>
      </c>
      <c r="AI54" s="6">
        <v>12</v>
      </c>
      <c r="AJ54" s="15"/>
      <c r="AK54" s="15"/>
      <c r="AN54" s="7"/>
      <c r="AV54" s="7"/>
    </row>
    <row r="55" ht="20.1" customHeight="1" spans="29:48">
      <c r="AC55" s="6" t="s">
        <v>500</v>
      </c>
      <c r="AD55" s="6" t="s">
        <v>493</v>
      </c>
      <c r="AE55" s="60" t="s">
        <v>556</v>
      </c>
      <c r="AF55" s="6">
        <v>0</v>
      </c>
      <c r="AG55" s="6">
        <v>60</v>
      </c>
      <c r="AH55" s="6">
        <v>0</v>
      </c>
      <c r="AI55" s="6">
        <v>15</v>
      </c>
      <c r="AJ55" s="6"/>
      <c r="AK55" s="6"/>
      <c r="AN55" s="7"/>
      <c r="AV55" s="7"/>
    </row>
    <row r="56" ht="20.1" customHeight="1" spans="29:48">
      <c r="AC56" s="58" t="s">
        <v>492</v>
      </c>
      <c r="AD56" s="58" t="s">
        <v>485</v>
      </c>
      <c r="AE56" s="58" t="s">
        <v>557</v>
      </c>
      <c r="AF56" s="58">
        <v>0</v>
      </c>
      <c r="AG56" s="58">
        <v>75</v>
      </c>
      <c r="AH56" s="58">
        <v>0</v>
      </c>
      <c r="AI56" s="58">
        <v>23</v>
      </c>
      <c r="AJ56" s="17"/>
      <c r="AK56" s="17"/>
      <c r="AN56" s="7"/>
      <c r="AV56" s="7"/>
    </row>
    <row r="57" ht="20.1" customHeight="1" spans="29:48">
      <c r="AC57" s="6"/>
      <c r="AD57" s="6"/>
      <c r="AE57" s="6"/>
      <c r="AF57" s="6"/>
      <c r="AG57" s="6"/>
      <c r="AH57" s="6"/>
      <c r="AI57" s="6"/>
      <c r="AJ57" s="17"/>
      <c r="AK57" s="17"/>
      <c r="AN57" s="7"/>
      <c r="AV57" s="7"/>
    </row>
    <row r="58" ht="20.1" customHeight="1" spans="29:48">
      <c r="AC58" s="17"/>
      <c r="AD58" s="6"/>
      <c r="AE58" s="56" t="s">
        <v>371</v>
      </c>
      <c r="AF58" s="6" t="s">
        <v>506</v>
      </c>
      <c r="AG58" s="6" t="s">
        <v>506</v>
      </c>
      <c r="AH58" s="6" t="s">
        <v>506</v>
      </c>
      <c r="AI58" s="6" t="s">
        <v>506</v>
      </c>
      <c r="AJ58" s="15"/>
      <c r="AK58" s="15"/>
      <c r="AN58" s="7"/>
      <c r="AV58" s="7"/>
    </row>
    <row r="59" ht="20.1" customHeight="1" spans="29:48">
      <c r="AC59" s="6" t="s">
        <v>492</v>
      </c>
      <c r="AD59" s="6" t="s">
        <v>493</v>
      </c>
      <c r="AE59" s="63" t="s">
        <v>279</v>
      </c>
      <c r="AF59" s="6">
        <v>0</v>
      </c>
      <c r="AG59" s="6">
        <v>10</v>
      </c>
      <c r="AH59" s="6">
        <v>0</v>
      </c>
      <c r="AI59" s="6">
        <v>0</v>
      </c>
      <c r="AJ59" s="15"/>
      <c r="AK59" s="15"/>
      <c r="AN59" s="7"/>
      <c r="AV59" s="7"/>
    </row>
    <row r="60" ht="20.1" customHeight="1" spans="29:48">
      <c r="AC60" s="6" t="s">
        <v>500</v>
      </c>
      <c r="AD60" s="6" t="s">
        <v>493</v>
      </c>
      <c r="AE60" s="63" t="s">
        <v>283</v>
      </c>
      <c r="AF60" s="6">
        <v>0</v>
      </c>
      <c r="AG60" s="6">
        <v>15</v>
      </c>
      <c r="AH60" s="6">
        <v>0</v>
      </c>
      <c r="AI60" s="6">
        <v>0</v>
      </c>
      <c r="AJ60" s="6"/>
      <c r="AK60" s="6"/>
      <c r="AN60" s="7"/>
      <c r="AV60" s="7"/>
    </row>
    <row r="61" ht="20.1" customHeight="1" spans="29:48">
      <c r="AC61" s="58" t="s">
        <v>492</v>
      </c>
      <c r="AD61" s="58" t="s">
        <v>485</v>
      </c>
      <c r="AE61" s="58" t="s">
        <v>285</v>
      </c>
      <c r="AF61" s="58">
        <v>0</v>
      </c>
      <c r="AG61" s="58">
        <v>20</v>
      </c>
      <c r="AH61" s="58">
        <v>0</v>
      </c>
      <c r="AI61" s="58">
        <v>0</v>
      </c>
      <c r="AJ61" s="6"/>
      <c r="AK61" s="6"/>
      <c r="AN61" s="7"/>
      <c r="AV61" s="7"/>
    </row>
    <row r="62" ht="20.1" customHeight="1" spans="29:48">
      <c r="AC62" s="6"/>
      <c r="AD62" s="6"/>
      <c r="AE62" s="6"/>
      <c r="AF62" s="6"/>
      <c r="AG62" s="6"/>
      <c r="AH62" s="6"/>
      <c r="AI62" s="6"/>
      <c r="AJ62" s="6"/>
      <c r="AK62" s="6"/>
      <c r="AN62" s="7"/>
      <c r="AV62" s="7"/>
    </row>
    <row r="63" ht="20.1" customHeight="1" spans="29:48">
      <c r="AC63" s="7"/>
      <c r="AD63" s="6"/>
      <c r="AE63" s="56" t="s">
        <v>367</v>
      </c>
      <c r="AF63" s="6" t="s">
        <v>506</v>
      </c>
      <c r="AG63" s="6" t="s">
        <v>506</v>
      </c>
      <c r="AH63" s="6" t="s">
        <v>506</v>
      </c>
      <c r="AI63" s="6" t="s">
        <v>506</v>
      </c>
      <c r="AJ63" s="6"/>
      <c r="AK63" s="6"/>
      <c r="AN63" s="7"/>
      <c r="AV63" s="7"/>
    </row>
    <row r="64" ht="20.1" customHeight="1" spans="29:48">
      <c r="AC64" s="6" t="s">
        <v>500</v>
      </c>
      <c r="AD64" s="6" t="s">
        <v>493</v>
      </c>
      <c r="AE64" s="6" t="s">
        <v>558</v>
      </c>
      <c r="AF64" s="6">
        <v>840</v>
      </c>
      <c r="AG64" s="6">
        <v>0</v>
      </c>
      <c r="AH64" s="6">
        <v>0</v>
      </c>
      <c r="AI64" s="6">
        <v>0</v>
      </c>
      <c r="AJ64" s="6"/>
      <c r="AK64" s="6"/>
      <c r="AN64" s="7"/>
      <c r="AV64" s="7"/>
    </row>
    <row r="65" ht="20.1" customHeight="1" spans="29:48">
      <c r="AC65" s="6" t="s">
        <v>500</v>
      </c>
      <c r="AD65" s="6" t="s">
        <v>493</v>
      </c>
      <c r="AE65" s="6" t="s">
        <v>559</v>
      </c>
      <c r="AF65" s="6">
        <v>1580</v>
      </c>
      <c r="AG65" s="6">
        <v>0</v>
      </c>
      <c r="AH65" s="6">
        <v>0</v>
      </c>
      <c r="AI65" s="6">
        <v>0</v>
      </c>
      <c r="AJ65" s="6"/>
      <c r="AK65" s="6"/>
      <c r="AN65" s="7"/>
      <c r="AV65" s="7"/>
    </row>
    <row r="66" ht="20.1" customHeight="1" spans="29:48">
      <c r="AC66" s="58" t="s">
        <v>500</v>
      </c>
      <c r="AD66" s="58" t="s">
        <v>485</v>
      </c>
      <c r="AE66" s="58" t="s">
        <v>560</v>
      </c>
      <c r="AF66" s="58">
        <v>2100</v>
      </c>
      <c r="AG66" s="58">
        <v>0</v>
      </c>
      <c r="AH66" s="58">
        <v>0</v>
      </c>
      <c r="AI66" s="58">
        <v>0</v>
      </c>
      <c r="AJ66" s="6"/>
      <c r="AK66" s="6"/>
      <c r="AN66" s="7"/>
      <c r="AV66" s="7"/>
    </row>
    <row r="67" ht="20.1" customHeight="1" spans="29:48">
      <c r="AC67" s="6"/>
      <c r="AD67" s="6"/>
      <c r="AE67" s="55"/>
      <c r="AF67" s="55"/>
      <c r="AG67" s="55"/>
      <c r="AH67" s="55"/>
      <c r="AI67" s="55"/>
      <c r="AJ67" s="6"/>
      <c r="AK67" s="6"/>
      <c r="AN67" s="7"/>
      <c r="AV67" s="7"/>
    </row>
    <row r="68" ht="20.1" customHeight="1" spans="29:48">
      <c r="AC68" s="7"/>
      <c r="AD68" s="6"/>
      <c r="AE68" s="56" t="s">
        <v>41</v>
      </c>
      <c r="AF68" s="6" t="s">
        <v>506</v>
      </c>
      <c r="AG68" s="6" t="s">
        <v>506</v>
      </c>
      <c r="AH68" s="6"/>
      <c r="AI68" s="6" t="s">
        <v>506</v>
      </c>
      <c r="AJ68" s="6"/>
      <c r="AK68" s="6"/>
      <c r="AN68" s="7"/>
      <c r="AV68" s="7"/>
    </row>
    <row r="69" ht="20.1" customHeight="1" spans="29:48">
      <c r="AC69" s="6" t="s">
        <v>492</v>
      </c>
      <c r="AD69" s="6" t="s">
        <v>493</v>
      </c>
      <c r="AE69" s="6" t="s">
        <v>561</v>
      </c>
      <c r="AF69" s="6">
        <v>0</v>
      </c>
      <c r="AG69" s="6">
        <v>70</v>
      </c>
      <c r="AH69" s="6">
        <v>0</v>
      </c>
      <c r="AI69" s="6">
        <v>0</v>
      </c>
      <c r="AJ69" s="6"/>
      <c r="AK69" s="6"/>
      <c r="AM69" s="64" t="s">
        <v>562</v>
      </c>
      <c r="AN69" s="6">
        <v>0</v>
      </c>
      <c r="AO69" s="6">
        <v>70</v>
      </c>
      <c r="AP69" s="6">
        <v>0</v>
      </c>
      <c r="AQ69" s="6">
        <v>0</v>
      </c>
      <c r="AV69" s="7"/>
    </row>
    <row r="70" ht="20.1" customHeight="1" spans="29:48">
      <c r="AC70" s="6" t="s">
        <v>500</v>
      </c>
      <c r="AD70" s="6" t="s">
        <v>493</v>
      </c>
      <c r="AE70" s="6" t="s">
        <v>563</v>
      </c>
      <c r="AF70" s="6">
        <v>0</v>
      </c>
      <c r="AG70" s="6">
        <v>130</v>
      </c>
      <c r="AH70" s="6">
        <v>0</v>
      </c>
      <c r="AI70" s="6">
        <v>0</v>
      </c>
      <c r="AJ70" s="6"/>
      <c r="AK70" s="6"/>
      <c r="AM70" s="64" t="s">
        <v>564</v>
      </c>
      <c r="AN70" s="6">
        <v>0</v>
      </c>
      <c r="AO70" s="6">
        <v>130</v>
      </c>
      <c r="AP70" s="6">
        <v>0</v>
      </c>
      <c r="AQ70" s="6">
        <v>0</v>
      </c>
      <c r="AV70" s="7"/>
    </row>
    <row r="71" ht="20.1" customHeight="1" spans="29:48">
      <c r="AC71" s="57" t="s">
        <v>492</v>
      </c>
      <c r="AD71" s="57" t="s">
        <v>565</v>
      </c>
      <c r="AE71" s="57" t="s">
        <v>566</v>
      </c>
      <c r="AF71" s="57">
        <v>0</v>
      </c>
      <c r="AG71" s="57">
        <v>175</v>
      </c>
      <c r="AH71" s="57">
        <v>0</v>
      </c>
      <c r="AI71" s="57">
        <v>0</v>
      </c>
      <c r="AJ71" s="6"/>
      <c r="AK71" s="6"/>
      <c r="AM71" s="64" t="s">
        <v>567</v>
      </c>
      <c r="AN71" s="57">
        <v>0</v>
      </c>
      <c r="AO71" s="57">
        <v>175</v>
      </c>
      <c r="AP71" s="57">
        <v>0</v>
      </c>
      <c r="AQ71" s="57">
        <v>0</v>
      </c>
      <c r="AV71" s="7"/>
    </row>
    <row r="72" ht="20.1" customHeight="1" spans="29:48">
      <c r="AC72" s="58" t="s">
        <v>492</v>
      </c>
      <c r="AD72" s="58" t="s">
        <v>485</v>
      </c>
      <c r="AE72" s="58" t="s">
        <v>568</v>
      </c>
      <c r="AF72" s="58">
        <v>0</v>
      </c>
      <c r="AG72" s="58">
        <v>210</v>
      </c>
      <c r="AH72" s="58">
        <v>0</v>
      </c>
      <c r="AI72" s="58">
        <v>0</v>
      </c>
      <c r="AJ72" s="6"/>
      <c r="AK72" s="6"/>
      <c r="AM72" s="64" t="s">
        <v>569</v>
      </c>
      <c r="AN72" s="58">
        <v>0</v>
      </c>
      <c r="AO72" s="58">
        <v>210</v>
      </c>
      <c r="AP72" s="58">
        <v>0</v>
      </c>
      <c r="AQ72" s="58">
        <v>0</v>
      </c>
      <c r="AV72" s="7"/>
    </row>
    <row r="73" ht="20.1" customHeight="1" spans="29:48">
      <c r="AC73" s="62"/>
      <c r="AD73" s="62"/>
      <c r="AE73" s="62"/>
      <c r="AF73" s="62"/>
      <c r="AG73" s="62"/>
      <c r="AH73" s="62"/>
      <c r="AI73" s="62"/>
      <c r="AJ73" s="6"/>
      <c r="AK73" s="6"/>
      <c r="AN73" s="7"/>
      <c r="AV73" s="7"/>
    </row>
    <row r="74" ht="20.1" customHeight="1" spans="29:48">
      <c r="AC74" s="6"/>
      <c r="AD74" s="6"/>
      <c r="AE74" s="56" t="s">
        <v>358</v>
      </c>
      <c r="AF74" s="6" t="s">
        <v>506</v>
      </c>
      <c r="AG74" s="6"/>
      <c r="AH74" s="6" t="s">
        <v>506</v>
      </c>
      <c r="AI74" s="6" t="s">
        <v>506</v>
      </c>
      <c r="AJ74" s="6"/>
      <c r="AK74" s="6"/>
      <c r="AN74" s="6"/>
      <c r="AV74" s="6"/>
    </row>
    <row r="75" ht="20.1" customHeight="1" spans="29:51">
      <c r="AC75" s="6" t="s">
        <v>492</v>
      </c>
      <c r="AD75" s="6" t="s">
        <v>493</v>
      </c>
      <c r="AE75" s="6" t="s">
        <v>570</v>
      </c>
      <c r="AF75" s="6">
        <v>520</v>
      </c>
      <c r="AG75" s="6">
        <v>0</v>
      </c>
      <c r="AH75" s="6">
        <v>12</v>
      </c>
      <c r="AI75" s="6">
        <v>12</v>
      </c>
      <c r="AJ75" s="6"/>
      <c r="AK75" s="6" t="s">
        <v>492</v>
      </c>
      <c r="AL75" s="6" t="s">
        <v>493</v>
      </c>
      <c r="AM75" s="6" t="s">
        <v>571</v>
      </c>
      <c r="AN75" s="6">
        <f ca="1" t="shared" ref="AN75:AN78" si="25">ROUND(AF75*AN$23,-1)</f>
        <v>260</v>
      </c>
      <c r="AO75" s="6">
        <f ca="1" t="shared" ref="AO75:AQ78" si="26">ROUND(AG75*AO$23,0)</f>
        <v>0</v>
      </c>
      <c r="AP75" s="6">
        <f ca="1" t="shared" si="26"/>
        <v>9</v>
      </c>
      <c r="AQ75" s="6">
        <f ca="1" t="shared" si="26"/>
        <v>9</v>
      </c>
      <c r="AS75" s="6" t="s">
        <v>492</v>
      </c>
      <c r="AT75" s="6" t="s">
        <v>493</v>
      </c>
      <c r="AU75" s="6" t="s">
        <v>572</v>
      </c>
      <c r="AV75" s="6">
        <f ca="1" t="shared" ref="AV75:AV78" si="27">ROUND(AN75*AV$23,-1)</f>
        <v>390</v>
      </c>
      <c r="AW75" s="6">
        <f ca="1" t="shared" ref="AW75:AY78" si="28">ROUND(AG75*AW$23,0)</f>
        <v>0</v>
      </c>
      <c r="AX75" s="6">
        <f ca="1" t="shared" si="28"/>
        <v>15</v>
      </c>
      <c r="AY75" s="6">
        <f ca="1" t="shared" si="28"/>
        <v>15</v>
      </c>
    </row>
    <row r="76" ht="20.1" customHeight="1" spans="29:51">
      <c r="AC76" s="6" t="s">
        <v>500</v>
      </c>
      <c r="AD76" s="6" t="s">
        <v>565</v>
      </c>
      <c r="AE76" s="6" t="s">
        <v>573</v>
      </c>
      <c r="AF76" s="6">
        <v>920</v>
      </c>
      <c r="AG76" s="6">
        <v>0</v>
      </c>
      <c r="AH76" s="6">
        <v>24</v>
      </c>
      <c r="AI76" s="6">
        <v>24</v>
      </c>
      <c r="AJ76" s="6"/>
      <c r="AK76" s="6" t="s">
        <v>500</v>
      </c>
      <c r="AL76" s="6" t="s">
        <v>565</v>
      </c>
      <c r="AM76" s="6" t="s">
        <v>574</v>
      </c>
      <c r="AN76" s="6">
        <f ca="1" t="shared" si="25"/>
        <v>460</v>
      </c>
      <c r="AO76" s="6">
        <f ca="1" t="shared" si="26"/>
        <v>0</v>
      </c>
      <c r="AP76" s="6">
        <f ca="1" t="shared" si="26"/>
        <v>18</v>
      </c>
      <c r="AQ76" s="6">
        <f ca="1" t="shared" si="26"/>
        <v>18</v>
      </c>
      <c r="AS76" s="6" t="s">
        <v>500</v>
      </c>
      <c r="AT76" s="6" t="s">
        <v>565</v>
      </c>
      <c r="AU76" s="6" t="s">
        <v>575</v>
      </c>
      <c r="AV76" s="6">
        <f ca="1" t="shared" si="27"/>
        <v>690</v>
      </c>
      <c r="AW76" s="6">
        <f ca="1" t="shared" si="28"/>
        <v>0</v>
      </c>
      <c r="AX76" s="6">
        <f ca="1" t="shared" si="28"/>
        <v>30</v>
      </c>
      <c r="AY76" s="6">
        <f ca="1" t="shared" si="28"/>
        <v>30</v>
      </c>
    </row>
    <row r="77" ht="20.1" customHeight="1" spans="29:51">
      <c r="AC77" s="57" t="s">
        <v>500</v>
      </c>
      <c r="AD77" s="57" t="s">
        <v>565</v>
      </c>
      <c r="AE77" s="57" t="s">
        <v>576</v>
      </c>
      <c r="AF77" s="57">
        <v>1080</v>
      </c>
      <c r="AG77" s="57">
        <v>0</v>
      </c>
      <c r="AH77" s="57">
        <v>28</v>
      </c>
      <c r="AI77" s="57">
        <v>28</v>
      </c>
      <c r="AJ77" s="6"/>
      <c r="AK77" s="57" t="s">
        <v>500</v>
      </c>
      <c r="AL77" s="57" t="s">
        <v>565</v>
      </c>
      <c r="AM77" s="57" t="s">
        <v>577</v>
      </c>
      <c r="AN77" s="6">
        <f ca="1" t="shared" si="25"/>
        <v>540</v>
      </c>
      <c r="AO77" s="6">
        <f ca="1" t="shared" si="26"/>
        <v>0</v>
      </c>
      <c r="AP77" s="6">
        <f ca="1" t="shared" si="26"/>
        <v>21</v>
      </c>
      <c r="AQ77" s="6">
        <f ca="1" t="shared" si="26"/>
        <v>21</v>
      </c>
      <c r="AS77" s="57" t="s">
        <v>500</v>
      </c>
      <c r="AT77" s="57" t="s">
        <v>565</v>
      </c>
      <c r="AU77" s="57" t="s">
        <v>576</v>
      </c>
      <c r="AV77" s="6">
        <f ca="1" t="shared" si="27"/>
        <v>810</v>
      </c>
      <c r="AW77" s="6">
        <f ca="1" t="shared" si="28"/>
        <v>0</v>
      </c>
      <c r="AX77" s="6">
        <f ca="1" t="shared" si="28"/>
        <v>35</v>
      </c>
      <c r="AY77" s="6">
        <f ca="1" t="shared" si="28"/>
        <v>35</v>
      </c>
    </row>
    <row r="78" ht="20.1" customHeight="1" spans="29:51">
      <c r="AC78" s="58" t="s">
        <v>500</v>
      </c>
      <c r="AD78" s="58" t="s">
        <v>485</v>
      </c>
      <c r="AE78" s="58" t="s">
        <v>578</v>
      </c>
      <c r="AF78" s="58">
        <v>1315</v>
      </c>
      <c r="AG78" s="58">
        <v>0</v>
      </c>
      <c r="AH78" s="58">
        <v>38</v>
      </c>
      <c r="AI78" s="58">
        <v>38</v>
      </c>
      <c r="AJ78" s="6"/>
      <c r="AK78" s="58" t="s">
        <v>500</v>
      </c>
      <c r="AL78" s="58" t="s">
        <v>485</v>
      </c>
      <c r="AM78" s="58" t="s">
        <v>579</v>
      </c>
      <c r="AN78" s="6">
        <f ca="1" t="shared" si="25"/>
        <v>660</v>
      </c>
      <c r="AO78" s="6">
        <f ca="1" t="shared" si="26"/>
        <v>0</v>
      </c>
      <c r="AP78" s="6">
        <f ca="1" t="shared" si="26"/>
        <v>29</v>
      </c>
      <c r="AQ78" s="6">
        <f ca="1" t="shared" si="26"/>
        <v>29</v>
      </c>
      <c r="AS78" s="58" t="s">
        <v>500</v>
      </c>
      <c r="AT78" s="58" t="s">
        <v>485</v>
      </c>
      <c r="AU78" s="58" t="s">
        <v>580</v>
      </c>
      <c r="AV78" s="6">
        <f ca="1" t="shared" si="27"/>
        <v>990</v>
      </c>
      <c r="AW78" s="6">
        <f ca="1" t="shared" si="28"/>
        <v>0</v>
      </c>
      <c r="AX78" s="6">
        <f ca="1" t="shared" si="28"/>
        <v>48</v>
      </c>
      <c r="AY78" s="6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5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6" customFormat="1" ht="20.1" customHeight="1"/>
    <row r="2" s="6" customFormat="1" ht="20.1" customHeight="1"/>
    <row r="3" s="6" customFormat="1" ht="20.1" customHeight="1"/>
    <row r="4" s="6" customFormat="1" ht="20.1" customHeight="1" spans="10:29">
      <c r="J4" s="6" t="s">
        <v>581</v>
      </c>
      <c r="K4" s="6" t="s">
        <v>582</v>
      </c>
      <c r="L4" s="6" t="s">
        <v>583</v>
      </c>
      <c r="M4" s="6" t="s">
        <v>584</v>
      </c>
      <c r="O4" s="6" t="s">
        <v>584</v>
      </c>
      <c r="W4" s="6" t="s">
        <v>585</v>
      </c>
      <c r="X4" s="6" t="s">
        <v>586</v>
      </c>
      <c r="Y4" s="6" t="s">
        <v>587</v>
      </c>
      <c r="Z4" s="6" t="s">
        <v>586</v>
      </c>
      <c r="AC4" s="6" t="s">
        <v>588</v>
      </c>
    </row>
    <row r="5" s="6" customFormat="1" ht="20.1" customHeight="1" spans="3:29">
      <c r="C5" s="6" t="s">
        <v>589</v>
      </c>
      <c r="D5" s="8" t="s">
        <v>590</v>
      </c>
      <c r="I5" s="6" t="s">
        <v>591</v>
      </c>
      <c r="J5" s="6" t="s">
        <v>592</v>
      </c>
      <c r="K5" s="6" t="s">
        <v>583</v>
      </c>
      <c r="L5" s="6" t="s">
        <v>593</v>
      </c>
      <c r="M5" s="6" t="s">
        <v>594</v>
      </c>
      <c r="S5" s="6" t="s">
        <v>595</v>
      </c>
      <c r="V5" s="6">
        <v>1</v>
      </c>
      <c r="W5" s="6">
        <v>1</v>
      </c>
      <c r="X5" s="6">
        <v>3</v>
      </c>
      <c r="Y5" s="6">
        <f t="shared" ref="Y5:Y9" si="0">(W5+X5)/2</f>
        <v>2</v>
      </c>
      <c r="Z5" s="6">
        <v>3</v>
      </c>
      <c r="AC5" s="6" t="s">
        <v>596</v>
      </c>
    </row>
    <row r="6" s="6" customFormat="1" ht="20.1" customHeight="1" spans="3:29">
      <c r="C6" s="6" t="s">
        <v>597</v>
      </c>
      <c r="D6" s="8" t="s">
        <v>379</v>
      </c>
      <c r="I6" s="6" t="s">
        <v>598</v>
      </c>
      <c r="J6" s="6" t="s">
        <v>599</v>
      </c>
      <c r="K6" s="6" t="s">
        <v>583</v>
      </c>
      <c r="L6" s="6" t="s">
        <v>600</v>
      </c>
      <c r="S6" s="6" t="s">
        <v>595</v>
      </c>
      <c r="V6" s="6">
        <v>2</v>
      </c>
      <c r="W6" s="6">
        <v>1</v>
      </c>
      <c r="X6" s="6">
        <v>4</v>
      </c>
      <c r="Y6" s="6">
        <f t="shared" si="0"/>
        <v>2.5</v>
      </c>
      <c r="Z6" s="6">
        <v>4</v>
      </c>
      <c r="AC6" s="6" t="s">
        <v>601</v>
      </c>
    </row>
    <row r="7" s="6" customFormat="1" ht="20.1" customHeight="1" spans="3:29">
      <c r="C7" s="6" t="s">
        <v>602</v>
      </c>
      <c r="D7" s="8" t="s">
        <v>603</v>
      </c>
      <c r="I7" s="6" t="s">
        <v>604</v>
      </c>
      <c r="J7" s="6" t="s">
        <v>605</v>
      </c>
      <c r="K7" s="6" t="s">
        <v>583</v>
      </c>
      <c r="L7" s="6" t="s">
        <v>606</v>
      </c>
      <c r="M7" s="6" t="s">
        <v>607</v>
      </c>
      <c r="S7" s="6" t="s">
        <v>595</v>
      </c>
      <c r="V7" s="6">
        <v>3</v>
      </c>
      <c r="W7" s="6">
        <v>2</v>
      </c>
      <c r="X7" s="6">
        <v>4</v>
      </c>
      <c r="Y7" s="6">
        <f t="shared" si="0"/>
        <v>3</v>
      </c>
      <c r="Z7" s="6">
        <v>4</v>
      </c>
      <c r="AC7" s="6" t="s">
        <v>608</v>
      </c>
    </row>
    <row r="8" s="6" customFormat="1" ht="20.1" customHeight="1" spans="4:29">
      <c r="D8" s="8" t="s">
        <v>609</v>
      </c>
      <c r="I8" s="6" t="s">
        <v>610</v>
      </c>
      <c r="J8" s="6" t="s">
        <v>611</v>
      </c>
      <c r="K8" s="6" t="s">
        <v>612</v>
      </c>
      <c r="O8" s="6" t="s">
        <v>613</v>
      </c>
      <c r="Q8" s="6" t="s">
        <v>614</v>
      </c>
      <c r="S8" s="6" t="s">
        <v>595</v>
      </c>
      <c r="V8" s="6">
        <v>4</v>
      </c>
      <c r="W8" s="6">
        <v>2</v>
      </c>
      <c r="X8" s="6">
        <v>5</v>
      </c>
      <c r="Y8" s="6">
        <f t="shared" si="0"/>
        <v>3.5</v>
      </c>
      <c r="Z8" s="6">
        <v>5</v>
      </c>
      <c r="AC8" s="6" t="s">
        <v>615</v>
      </c>
    </row>
    <row r="9" s="6" customFormat="1" ht="20.1" customHeight="1" spans="2:29">
      <c r="B9" s="6" t="s">
        <v>41</v>
      </c>
      <c r="D9" s="8" t="s">
        <v>616</v>
      </c>
      <c r="V9" s="6">
        <v>5</v>
      </c>
      <c r="W9" s="6">
        <v>3</v>
      </c>
      <c r="X9" s="6">
        <v>5</v>
      </c>
      <c r="Y9" s="6">
        <f t="shared" si="0"/>
        <v>4</v>
      </c>
      <c r="Z9" s="6">
        <v>5</v>
      </c>
      <c r="AC9" s="6" t="s">
        <v>617</v>
      </c>
    </row>
    <row r="10" s="6" customFormat="1" ht="20.1" customHeight="1" spans="3:29">
      <c r="C10" s="6" t="s">
        <v>618</v>
      </c>
      <c r="D10" s="8" t="s">
        <v>619</v>
      </c>
      <c r="I10" s="6" t="s">
        <v>591</v>
      </c>
      <c r="J10" s="6" t="s">
        <v>620</v>
      </c>
      <c r="K10" s="8" t="s">
        <v>621</v>
      </c>
      <c r="AC10" s="6" t="s">
        <v>622</v>
      </c>
    </row>
    <row r="11" s="6" customFormat="1" ht="20.1" customHeight="1" spans="4:29">
      <c r="D11" s="8" t="s">
        <v>623</v>
      </c>
      <c r="I11" s="6" t="s">
        <v>598</v>
      </c>
      <c r="J11" s="6" t="s">
        <v>624</v>
      </c>
      <c r="K11" s="8" t="s">
        <v>625</v>
      </c>
      <c r="AC11" s="6" t="s">
        <v>626</v>
      </c>
    </row>
    <row r="12" s="6" customFormat="1" ht="20.1" customHeight="1" spans="4:29">
      <c r="D12" s="8" t="s">
        <v>627</v>
      </c>
      <c r="I12" s="6" t="s">
        <v>604</v>
      </c>
      <c r="J12" s="6" t="s">
        <v>628</v>
      </c>
      <c r="K12" s="8" t="s">
        <v>629</v>
      </c>
      <c r="Q12" s="6" t="s">
        <v>630</v>
      </c>
      <c r="AC12" s="6" t="s">
        <v>631</v>
      </c>
    </row>
    <row r="13" s="6" customFormat="1" ht="20.1" customHeight="1" spans="4:29">
      <c r="D13" s="8" t="s">
        <v>632</v>
      </c>
      <c r="I13" s="6" t="s">
        <v>610</v>
      </c>
      <c r="K13" s="6" t="s">
        <v>633</v>
      </c>
      <c r="AC13" s="6" t="s">
        <v>634</v>
      </c>
    </row>
    <row r="14" s="6" customFormat="1" ht="20.1" customHeight="1" spans="11:29">
      <c r="K14" s="6" t="s">
        <v>635</v>
      </c>
      <c r="AC14" s="6" t="s">
        <v>636</v>
      </c>
    </row>
    <row r="15" s="6" customFormat="1" ht="20.1" customHeight="1" spans="11:15">
      <c r="K15" s="8" t="s">
        <v>637</v>
      </c>
      <c r="O15" s="6" t="s">
        <v>638</v>
      </c>
    </row>
    <row r="16" s="6" customFormat="1" ht="20.1" customHeight="1"/>
    <row r="17" s="6" customFormat="1" ht="20.1" customHeight="1" spans="10:10">
      <c r="J17" s="6" t="s">
        <v>639</v>
      </c>
    </row>
    <row r="18" s="6" customFormat="1" ht="20.1" customHeight="1" spans="17:21">
      <c r="Q18" s="6" t="s">
        <v>604</v>
      </c>
      <c r="U18" s="6" t="s">
        <v>610</v>
      </c>
    </row>
    <row r="19" s="6" customFormat="1" ht="20.1" customHeight="1" spans="9:44">
      <c r="I19" s="6" t="s">
        <v>620</v>
      </c>
      <c r="J19" s="6" t="s">
        <v>640</v>
      </c>
      <c r="L19" s="6" t="s">
        <v>624</v>
      </c>
      <c r="M19" s="8" t="s">
        <v>641</v>
      </c>
      <c r="P19" s="6" t="s">
        <v>642</v>
      </c>
      <c r="Q19" s="6" t="s">
        <v>643</v>
      </c>
      <c r="R19" s="8" t="s">
        <v>644</v>
      </c>
      <c r="U19" s="6" t="s">
        <v>392</v>
      </c>
      <c r="V19" s="6" t="s">
        <v>3</v>
      </c>
      <c r="W19" s="8" t="s">
        <v>645</v>
      </c>
      <c r="X19" s="6">
        <v>10</v>
      </c>
      <c r="Y19" s="6">
        <v>100403</v>
      </c>
      <c r="Z19" s="6">
        <v>10</v>
      </c>
      <c r="AA19" s="6">
        <v>60</v>
      </c>
      <c r="AB19" s="6" t="str">
        <f>X19&amp;"@"&amp;Y19&amp;";"&amp;Z19&amp;";"&amp;AA19</f>
        <v>10@100403;10;60</v>
      </c>
      <c r="AC19" s="6" t="s">
        <v>392</v>
      </c>
      <c r="AE19" s="8" t="s">
        <v>646</v>
      </c>
      <c r="AF19" s="6">
        <v>10</v>
      </c>
      <c r="AG19" s="6">
        <v>100403</v>
      </c>
      <c r="AH19" s="6">
        <v>30</v>
      </c>
      <c r="AI19" s="6">
        <v>100</v>
      </c>
      <c r="AJ19" s="6" t="str">
        <f>AF19&amp;"@"&amp;AG19&amp;";"&amp;AH19&amp;";"&amp;AI19</f>
        <v>10@100403;30;100</v>
      </c>
      <c r="AK19" s="6" t="s">
        <v>392</v>
      </c>
      <c r="AM19" s="8" t="s">
        <v>647</v>
      </c>
      <c r="AN19" s="6">
        <v>10</v>
      </c>
      <c r="AO19" s="6">
        <v>100403</v>
      </c>
      <c r="AP19" s="6">
        <v>50</v>
      </c>
      <c r="AQ19" s="6">
        <v>150</v>
      </c>
      <c r="AR19" s="6" t="str">
        <f>AN19&amp;"@"&amp;AO19&amp;";"&amp;AP19&amp;";"&amp;AQ19</f>
        <v>10@100403;50;150</v>
      </c>
    </row>
    <row r="20" s="6" customFormat="1" ht="20.1" customHeight="1" spans="9:44">
      <c r="I20" s="6" t="s">
        <v>620</v>
      </c>
      <c r="J20" s="6" t="s">
        <v>648</v>
      </c>
      <c r="L20" s="6" t="s">
        <v>649</v>
      </c>
      <c r="M20" s="8" t="s">
        <v>650</v>
      </c>
      <c r="Q20" s="6" t="s">
        <v>651</v>
      </c>
      <c r="R20" s="8" t="s">
        <v>652</v>
      </c>
      <c r="V20" s="6" t="s">
        <v>653</v>
      </c>
      <c r="W20" s="8" t="s">
        <v>654</v>
      </c>
      <c r="X20" s="6">
        <v>10</v>
      </c>
      <c r="Y20" s="6">
        <v>119103</v>
      </c>
      <c r="Z20" s="6">
        <v>10</v>
      </c>
      <c r="AA20" s="6">
        <v>50</v>
      </c>
      <c r="AB20" s="6" t="str">
        <f t="shared" ref="AB20:AB21" si="1">X20&amp;"@"&amp;Y20&amp;";"&amp;Z20&amp;";"&amp;AA20</f>
        <v>10@119103;10;50</v>
      </c>
      <c r="AE20" s="8" t="s">
        <v>655</v>
      </c>
      <c r="AF20" s="6">
        <v>10</v>
      </c>
      <c r="AG20" s="6">
        <v>119103</v>
      </c>
      <c r="AH20" s="6">
        <v>30</v>
      </c>
      <c r="AI20" s="6">
        <v>75</v>
      </c>
      <c r="AJ20" s="6" t="str">
        <f t="shared" ref="AJ20:AJ21" si="2">AF20&amp;"@"&amp;AG20&amp;";"&amp;AH20&amp;";"&amp;AI20</f>
        <v>10@119103;30;75</v>
      </c>
      <c r="AM20" s="8" t="s">
        <v>656</v>
      </c>
      <c r="AN20" s="6">
        <v>10</v>
      </c>
      <c r="AO20" s="6">
        <v>119103</v>
      </c>
      <c r="AP20" s="6">
        <v>30</v>
      </c>
      <c r="AQ20" s="6">
        <v>100</v>
      </c>
      <c r="AR20" s="6" t="str">
        <f t="shared" ref="AR20:AR21" si="3">AN20&amp;"@"&amp;AO20&amp;";"&amp;AP20&amp;";"&amp;AQ20</f>
        <v>10@119103;30;100</v>
      </c>
    </row>
    <row r="21" s="6" customFormat="1" ht="20.1" customHeight="1" spans="9:44">
      <c r="I21" s="6" t="s">
        <v>620</v>
      </c>
      <c r="J21" s="6" t="s">
        <v>657</v>
      </c>
      <c r="L21" s="6" t="s">
        <v>658</v>
      </c>
      <c r="M21" s="8" t="s">
        <v>659</v>
      </c>
      <c r="V21" s="6" t="s">
        <v>660</v>
      </c>
      <c r="W21" s="47" t="s">
        <v>661</v>
      </c>
      <c r="X21" s="46">
        <v>10</v>
      </c>
      <c r="Y21" s="6">
        <v>110103</v>
      </c>
      <c r="Z21" s="6">
        <v>50</v>
      </c>
      <c r="AA21" s="6">
        <v>100</v>
      </c>
      <c r="AB21" s="6" t="str">
        <f t="shared" si="1"/>
        <v>10@110103;50;100</v>
      </c>
      <c r="AE21" s="47" t="s">
        <v>662</v>
      </c>
      <c r="AF21" s="46">
        <v>10</v>
      </c>
      <c r="AG21" s="6">
        <v>110103</v>
      </c>
      <c r="AH21" s="6">
        <v>0.01</v>
      </c>
      <c r="AI21" s="6">
        <v>0.03</v>
      </c>
      <c r="AJ21" s="6" t="str">
        <f t="shared" si="2"/>
        <v>10@110103;0.01;0.03</v>
      </c>
      <c r="AK21" s="46"/>
      <c r="AL21" s="46"/>
      <c r="AM21" s="47" t="s">
        <v>663</v>
      </c>
      <c r="AN21" s="46">
        <v>10</v>
      </c>
      <c r="AO21" s="6">
        <v>110103</v>
      </c>
      <c r="AP21" s="6">
        <v>0.01</v>
      </c>
      <c r="AQ21" s="6">
        <v>0.03</v>
      </c>
      <c r="AR21" s="6" t="str">
        <f t="shared" si="3"/>
        <v>10@110103;0.01;0.03</v>
      </c>
    </row>
    <row r="22" s="6" customFormat="1" ht="20.1" customHeight="1" spans="9:13">
      <c r="I22" s="6" t="s">
        <v>620</v>
      </c>
      <c r="J22" s="6" t="s">
        <v>664</v>
      </c>
      <c r="L22" s="6" t="s">
        <v>665</v>
      </c>
      <c r="M22" s="8" t="s">
        <v>666</v>
      </c>
    </row>
    <row r="23" s="6" customFormat="1" ht="20.1" customHeight="1" spans="21:44">
      <c r="U23" s="6" t="s">
        <v>358</v>
      </c>
      <c r="V23" s="6" t="s">
        <v>354</v>
      </c>
      <c r="W23" s="8" t="s">
        <v>667</v>
      </c>
      <c r="X23" s="6">
        <v>2</v>
      </c>
      <c r="Y23" s="6">
        <v>100203</v>
      </c>
      <c r="Z23" s="6">
        <v>50</v>
      </c>
      <c r="AA23" s="6">
        <v>300</v>
      </c>
      <c r="AB23" s="6" t="str">
        <f>X23&amp;"@"&amp;Y23&amp;";"&amp;Z23&amp;";"&amp;AA23</f>
        <v>2@100203;50;300</v>
      </c>
      <c r="AC23" s="6" t="s">
        <v>358</v>
      </c>
      <c r="AE23" s="8" t="s">
        <v>668</v>
      </c>
      <c r="AF23" s="6">
        <v>2</v>
      </c>
      <c r="AG23" s="6">
        <v>100203</v>
      </c>
      <c r="AH23" s="6">
        <v>150</v>
      </c>
      <c r="AI23" s="6">
        <v>500</v>
      </c>
      <c r="AJ23" s="6" t="str">
        <f>AF23&amp;"@"&amp;AG23&amp;";"&amp;AH23&amp;";"&amp;AI23</f>
        <v>2@100203;150;500</v>
      </c>
      <c r="AK23" s="6" t="s">
        <v>358</v>
      </c>
      <c r="AM23" s="8" t="s">
        <v>669</v>
      </c>
      <c r="AN23" s="6">
        <v>2</v>
      </c>
      <c r="AO23" s="6">
        <v>100203</v>
      </c>
      <c r="AP23" s="6">
        <v>250</v>
      </c>
      <c r="AQ23" s="6">
        <v>750</v>
      </c>
      <c r="AR23" s="6" t="str">
        <f>AN23&amp;"@"&amp;AO23&amp;";"&amp;AP23&amp;";"&amp;AQ23</f>
        <v>2@100203;250;750</v>
      </c>
    </row>
    <row r="24" s="6" customFormat="1" ht="20.1" customHeight="1" spans="9:44">
      <c r="I24" s="6" t="s">
        <v>670</v>
      </c>
      <c r="J24" s="6" t="s">
        <v>671</v>
      </c>
      <c r="L24" s="6" t="s">
        <v>672</v>
      </c>
      <c r="M24" s="8" t="s">
        <v>673</v>
      </c>
      <c r="Q24" s="6" t="s">
        <v>674</v>
      </c>
      <c r="R24" s="8" t="s">
        <v>675</v>
      </c>
      <c r="W24" s="8" t="s">
        <v>676</v>
      </c>
      <c r="X24" s="6">
        <v>2</v>
      </c>
      <c r="Y24" s="6">
        <v>119403</v>
      </c>
      <c r="Z24" s="6">
        <v>10</v>
      </c>
      <c r="AA24" s="6">
        <v>50</v>
      </c>
      <c r="AB24" s="6" t="str">
        <f t="shared" ref="AB24:AB25" si="4">X24&amp;"@"&amp;Y24&amp;";"&amp;Z24&amp;";"&amp;AA24</f>
        <v>2@119403;10;50</v>
      </c>
      <c r="AE24" s="8" t="s">
        <v>677</v>
      </c>
      <c r="AF24" s="6">
        <v>2</v>
      </c>
      <c r="AG24" s="6">
        <v>119403</v>
      </c>
      <c r="AH24" s="6">
        <v>30</v>
      </c>
      <c r="AI24" s="6">
        <v>75</v>
      </c>
      <c r="AJ24" s="6" t="str">
        <f t="shared" ref="AJ24:AJ25" si="5">AF24&amp;"@"&amp;AG24&amp;";"&amp;AH24&amp;";"&amp;AI24</f>
        <v>2@119403;30;75</v>
      </c>
      <c r="AM24" s="8" t="s">
        <v>678</v>
      </c>
      <c r="AN24" s="6">
        <v>2</v>
      </c>
      <c r="AO24" s="6">
        <v>119403</v>
      </c>
      <c r="AP24" s="6">
        <v>30</v>
      </c>
      <c r="AQ24" s="6">
        <v>100</v>
      </c>
      <c r="AR24" s="6" t="str">
        <f t="shared" ref="AR24:AR25" si="6">AN24&amp;"@"&amp;AO24&amp;";"&amp;AP24&amp;";"&amp;AQ24</f>
        <v>2@119403;30;100</v>
      </c>
    </row>
    <row r="25" s="6" customFormat="1" ht="20.1" customHeight="1" spans="9:44">
      <c r="I25" s="6" t="s">
        <v>670</v>
      </c>
      <c r="J25" s="6" t="s">
        <v>679</v>
      </c>
      <c r="L25" s="6" t="s">
        <v>680</v>
      </c>
      <c r="M25" s="8" t="s">
        <v>681</v>
      </c>
      <c r="Q25" s="6" t="s">
        <v>682</v>
      </c>
      <c r="R25" s="8" t="s">
        <v>683</v>
      </c>
      <c r="W25" s="47" t="s">
        <v>684</v>
      </c>
      <c r="X25" s="46">
        <v>2</v>
      </c>
      <c r="Y25" s="6">
        <v>200403</v>
      </c>
      <c r="Z25" s="6">
        <v>0.01</v>
      </c>
      <c r="AA25" s="6">
        <v>0.03</v>
      </c>
      <c r="AB25" s="6" t="str">
        <f t="shared" si="4"/>
        <v>2@200403;0.01;0.03</v>
      </c>
      <c r="AE25" s="47" t="s">
        <v>685</v>
      </c>
      <c r="AF25" s="46">
        <v>2</v>
      </c>
      <c r="AG25" s="6">
        <v>204603</v>
      </c>
      <c r="AH25" s="6">
        <v>0.01</v>
      </c>
      <c r="AI25" s="6">
        <v>0.03</v>
      </c>
      <c r="AJ25" s="6" t="str">
        <f t="shared" si="5"/>
        <v>2@204603;0.01;0.03</v>
      </c>
      <c r="AM25" s="47" t="s">
        <v>686</v>
      </c>
      <c r="AN25" s="46">
        <v>2</v>
      </c>
      <c r="AO25" s="6">
        <v>200503</v>
      </c>
      <c r="AP25" s="6">
        <v>0.01</v>
      </c>
      <c r="AQ25" s="6">
        <v>0.03</v>
      </c>
      <c r="AR25" s="6" t="str">
        <f t="shared" si="6"/>
        <v>2@200503;0.01;0.03</v>
      </c>
    </row>
    <row r="26" s="6" customFormat="1" ht="20.1" customHeight="1" spans="9:13">
      <c r="I26" s="6" t="s">
        <v>670</v>
      </c>
      <c r="J26" s="6" t="s">
        <v>687</v>
      </c>
      <c r="L26" s="6" t="s">
        <v>688</v>
      </c>
      <c r="M26" s="8" t="s">
        <v>689</v>
      </c>
    </row>
    <row r="27" s="6" customFormat="1" ht="20.1" customHeight="1" spans="9:44">
      <c r="I27" s="6" t="s">
        <v>670</v>
      </c>
      <c r="J27" s="6" t="s">
        <v>690</v>
      </c>
      <c r="L27" s="6" t="s">
        <v>691</v>
      </c>
      <c r="M27" s="8" t="s">
        <v>692</v>
      </c>
      <c r="U27" s="6" t="s">
        <v>403</v>
      </c>
      <c r="W27" s="8" t="s">
        <v>693</v>
      </c>
      <c r="X27" s="6">
        <v>9</v>
      </c>
      <c r="Y27" s="6">
        <v>118103</v>
      </c>
      <c r="Z27" s="6">
        <v>10</v>
      </c>
      <c r="AA27" s="6">
        <v>60</v>
      </c>
      <c r="AB27" s="6" t="str">
        <f>X27&amp;"@"&amp;Y27&amp;";"&amp;Z27&amp;";"&amp;AA27</f>
        <v>9@118103;10;60</v>
      </c>
      <c r="AC27" s="6" t="s">
        <v>403</v>
      </c>
      <c r="AE27" s="8" t="s">
        <v>694</v>
      </c>
      <c r="AF27" s="6">
        <v>9</v>
      </c>
      <c r="AG27" s="6">
        <v>118103</v>
      </c>
      <c r="AH27" s="6">
        <v>30</v>
      </c>
      <c r="AI27" s="6">
        <v>100</v>
      </c>
      <c r="AJ27" s="6" t="str">
        <f>AF27&amp;"@"&amp;AG27&amp;";"&amp;AH27&amp;";"&amp;AI27</f>
        <v>9@118103;30;100</v>
      </c>
      <c r="AK27" s="6" t="s">
        <v>403</v>
      </c>
      <c r="AM27" s="8" t="s">
        <v>695</v>
      </c>
      <c r="AN27" s="6">
        <v>9</v>
      </c>
      <c r="AO27" s="6">
        <v>118103</v>
      </c>
      <c r="AP27" s="6">
        <v>50</v>
      </c>
      <c r="AQ27" s="6">
        <v>150</v>
      </c>
      <c r="AR27" s="6" t="str">
        <f>AN27&amp;"@"&amp;AO27&amp;";"&amp;AP27&amp;";"&amp;AQ27</f>
        <v>9@118103;50;150</v>
      </c>
    </row>
    <row r="28" s="6" customFormat="1" ht="20.1" customHeight="1" spans="23:44">
      <c r="W28" s="8" t="s">
        <v>696</v>
      </c>
      <c r="X28" s="6">
        <v>9</v>
      </c>
      <c r="Y28" s="6">
        <v>118203</v>
      </c>
      <c r="Z28" s="6">
        <v>10</v>
      </c>
      <c r="AA28" s="6">
        <v>60</v>
      </c>
      <c r="AB28" s="6" t="str">
        <f t="shared" ref="AB28:AB29" si="7">X28&amp;"@"&amp;Y28&amp;";"&amp;Z28&amp;";"&amp;AA28</f>
        <v>9@118203;10;60</v>
      </c>
      <c r="AE28" s="8" t="s">
        <v>697</v>
      </c>
      <c r="AF28" s="6">
        <v>9</v>
      </c>
      <c r="AG28" s="6">
        <v>118203</v>
      </c>
      <c r="AH28" s="6">
        <v>30</v>
      </c>
      <c r="AI28" s="6">
        <v>75</v>
      </c>
      <c r="AJ28" s="6" t="str">
        <f t="shared" ref="AJ28:AJ29" si="8">AF28&amp;"@"&amp;AG28&amp;";"&amp;AH28&amp;";"&amp;AI28</f>
        <v>9@118203;30;75</v>
      </c>
      <c r="AM28" s="8" t="s">
        <v>698</v>
      </c>
      <c r="AN28" s="6">
        <v>9</v>
      </c>
      <c r="AO28" s="6">
        <v>118203</v>
      </c>
      <c r="AP28" s="6">
        <v>50</v>
      </c>
      <c r="AQ28" s="6">
        <v>150</v>
      </c>
      <c r="AR28" s="6" t="str">
        <f t="shared" ref="AR28:AR29" si="9">AN28&amp;"@"&amp;AO28&amp;";"&amp;AP28&amp;";"&amp;AQ28</f>
        <v>9@118203;50;150</v>
      </c>
    </row>
    <row r="29" s="6" customFormat="1" ht="20.1" customHeight="1" spans="4:44">
      <c r="D29" s="6">
        <v>61011204</v>
      </c>
      <c r="E29" s="6" t="s">
        <v>94</v>
      </c>
      <c r="I29" s="6" t="s">
        <v>699</v>
      </c>
      <c r="J29" s="6" t="s">
        <v>700</v>
      </c>
      <c r="L29" s="6" t="s">
        <v>701</v>
      </c>
      <c r="M29" s="8" t="s">
        <v>702</v>
      </c>
      <c r="Q29" s="6" t="s">
        <v>703</v>
      </c>
      <c r="R29" s="8" t="s">
        <v>704</v>
      </c>
      <c r="W29" s="47" t="s">
        <v>705</v>
      </c>
      <c r="X29" s="46">
        <v>9</v>
      </c>
      <c r="Y29" s="6">
        <v>203603</v>
      </c>
      <c r="Z29" s="6">
        <v>0.01</v>
      </c>
      <c r="AA29" s="6">
        <v>0.03</v>
      </c>
      <c r="AB29" s="6" t="str">
        <f t="shared" si="7"/>
        <v>9@203603;0.01;0.03</v>
      </c>
      <c r="AE29" s="47" t="s">
        <v>706</v>
      </c>
      <c r="AF29" s="46">
        <v>9</v>
      </c>
      <c r="AG29" s="6">
        <v>205003</v>
      </c>
      <c r="AH29" s="6">
        <v>0.01</v>
      </c>
      <c r="AI29" s="6">
        <v>0.03</v>
      </c>
      <c r="AJ29" s="6" t="str">
        <f t="shared" si="8"/>
        <v>9@205003;0.01;0.03</v>
      </c>
      <c r="AK29" s="46"/>
      <c r="AL29" s="46"/>
      <c r="AM29" s="47" t="s">
        <v>707</v>
      </c>
      <c r="AN29" s="46">
        <v>9</v>
      </c>
      <c r="AO29" s="6">
        <v>110303</v>
      </c>
      <c r="AP29" s="6">
        <v>50</v>
      </c>
      <c r="AQ29" s="6">
        <v>150</v>
      </c>
      <c r="AR29" s="6" t="str">
        <f t="shared" si="9"/>
        <v>9@110303;50;150</v>
      </c>
    </row>
    <row r="30" s="6" customFormat="1" ht="20.1" customHeight="1" spans="4:18">
      <c r="D30" s="6">
        <v>61012204</v>
      </c>
      <c r="E30" s="6" t="s">
        <v>708</v>
      </c>
      <c r="I30" s="6" t="s">
        <v>699</v>
      </c>
      <c r="J30" s="6" t="s">
        <v>709</v>
      </c>
      <c r="L30" s="6" t="s">
        <v>710</v>
      </c>
      <c r="M30" s="8" t="s">
        <v>711</v>
      </c>
      <c r="Q30" s="6" t="s">
        <v>712</v>
      </c>
      <c r="R30" s="8" t="s">
        <v>713</v>
      </c>
    </row>
    <row r="31" s="6" customFormat="1" ht="20.1" customHeight="1" spans="7:44">
      <c r="G31" s="6" t="s">
        <v>714</v>
      </c>
      <c r="I31" s="6" t="s">
        <v>699</v>
      </c>
      <c r="J31" s="6" t="s">
        <v>715</v>
      </c>
      <c r="L31" s="6" t="s">
        <v>716</v>
      </c>
      <c r="M31" s="8" t="s">
        <v>717</v>
      </c>
      <c r="U31" s="6" t="s">
        <v>385</v>
      </c>
      <c r="W31" s="8" t="s">
        <v>718</v>
      </c>
      <c r="X31" s="6">
        <v>8</v>
      </c>
      <c r="Y31" s="6">
        <v>105403</v>
      </c>
      <c r="Z31" s="6">
        <v>3</v>
      </c>
      <c r="AA31" s="6">
        <v>12</v>
      </c>
      <c r="AB31" s="6" t="str">
        <f>X31&amp;"@"&amp;Y31&amp;";"&amp;Z31&amp;";"&amp;AA31</f>
        <v>8@105403;3;12</v>
      </c>
      <c r="AC31" s="6" t="s">
        <v>385</v>
      </c>
      <c r="AE31" s="8" t="s">
        <v>719</v>
      </c>
      <c r="AF31" s="6">
        <v>8</v>
      </c>
      <c r="AG31" s="6">
        <v>105403</v>
      </c>
      <c r="AH31" s="6">
        <v>5</v>
      </c>
      <c r="AI31" s="6">
        <v>20</v>
      </c>
      <c r="AJ31" s="6" t="str">
        <f>AF31&amp;"@"&amp;AG31&amp;";"&amp;AH31&amp;";"&amp;AI31</f>
        <v>8@105403;5;20</v>
      </c>
      <c r="AK31" s="6" t="s">
        <v>385</v>
      </c>
      <c r="AM31" s="8" t="s">
        <v>720</v>
      </c>
      <c r="AN31" s="6">
        <v>8</v>
      </c>
      <c r="AO31" s="6">
        <v>105403</v>
      </c>
      <c r="AP31" s="6">
        <v>8</v>
      </c>
      <c r="AQ31" s="6">
        <v>30</v>
      </c>
      <c r="AR31" s="6" t="str">
        <f>AN31&amp;"@"&amp;AO31&amp;";"&amp;AP31&amp;";"&amp;AQ31</f>
        <v>8@105403;8;30</v>
      </c>
    </row>
    <row r="32" s="6" customFormat="1" ht="20.1" customHeight="1" spans="9:44">
      <c r="I32" s="6" t="s">
        <v>699</v>
      </c>
      <c r="J32" s="6" t="s">
        <v>721</v>
      </c>
      <c r="L32" s="6" t="s">
        <v>722</v>
      </c>
      <c r="M32" s="8" t="s">
        <v>723</v>
      </c>
      <c r="W32" s="8" t="s">
        <v>724</v>
      </c>
      <c r="X32" s="6">
        <v>8</v>
      </c>
      <c r="Y32" s="6">
        <v>105203</v>
      </c>
      <c r="Z32" s="6">
        <v>3</v>
      </c>
      <c r="AA32" s="6">
        <v>12</v>
      </c>
      <c r="AB32" s="6" t="str">
        <f t="shared" ref="AB32:AB34" si="10">X32&amp;"@"&amp;Y32&amp;";"&amp;Z32&amp;";"&amp;AA32</f>
        <v>8@105203;3;12</v>
      </c>
      <c r="AE32" s="8" t="s">
        <v>725</v>
      </c>
      <c r="AF32" s="6">
        <v>8</v>
      </c>
      <c r="AG32" s="6">
        <v>105203</v>
      </c>
      <c r="AH32" s="6">
        <v>5</v>
      </c>
      <c r="AI32" s="6">
        <v>20</v>
      </c>
      <c r="AJ32" s="6" t="str">
        <f t="shared" ref="AJ32:AJ34" si="11">AF32&amp;"@"&amp;AG32&amp;";"&amp;AH32&amp;";"&amp;AI32</f>
        <v>8@105203;5;20</v>
      </c>
      <c r="AM32" s="8" t="s">
        <v>726</v>
      </c>
      <c r="AN32" s="6">
        <v>8</v>
      </c>
      <c r="AO32" s="6">
        <v>105203</v>
      </c>
      <c r="AP32" s="6">
        <v>8</v>
      </c>
      <c r="AQ32" s="6">
        <v>30</v>
      </c>
      <c r="AR32" s="6" t="str">
        <f t="shared" ref="AR32:AR34" si="12">AN32&amp;"@"&amp;AO32&amp;";"&amp;AP32&amp;";"&amp;AQ32</f>
        <v>8@105203;8;30</v>
      </c>
    </row>
    <row r="33" s="6" customFormat="1" ht="20.1" customHeight="1" spans="23:44">
      <c r="W33" s="8" t="s">
        <v>727</v>
      </c>
      <c r="X33" s="6">
        <v>8</v>
      </c>
      <c r="Y33" s="6">
        <v>105503</v>
      </c>
      <c r="Z33" s="6">
        <v>3</v>
      </c>
      <c r="AA33" s="6">
        <v>12</v>
      </c>
      <c r="AB33" s="6" t="str">
        <f t="shared" si="10"/>
        <v>8@105503;3;12</v>
      </c>
      <c r="AE33" s="8" t="s">
        <v>728</v>
      </c>
      <c r="AF33" s="6">
        <v>8</v>
      </c>
      <c r="AG33" s="6">
        <v>105503</v>
      </c>
      <c r="AH33" s="6">
        <v>5</v>
      </c>
      <c r="AI33" s="6">
        <v>20</v>
      </c>
      <c r="AJ33" s="6" t="str">
        <f t="shared" si="11"/>
        <v>8@105503;5;20</v>
      </c>
      <c r="AM33" s="8" t="s">
        <v>729</v>
      </c>
      <c r="AN33" s="6">
        <v>8</v>
      </c>
      <c r="AO33" s="6">
        <v>105503</v>
      </c>
      <c r="AP33" s="6">
        <v>8</v>
      </c>
      <c r="AQ33" s="6">
        <v>30</v>
      </c>
      <c r="AR33" s="6" t="str">
        <f t="shared" si="12"/>
        <v>8@105503;8;30</v>
      </c>
    </row>
    <row r="34" s="6" customFormat="1" ht="20.1" customHeight="1" spans="23:44">
      <c r="W34" s="47" t="s">
        <v>730</v>
      </c>
      <c r="X34" s="46">
        <v>8</v>
      </c>
      <c r="Y34" s="6">
        <v>200203</v>
      </c>
      <c r="Z34" s="6">
        <v>0.01</v>
      </c>
      <c r="AA34" s="6">
        <v>0.03</v>
      </c>
      <c r="AB34" s="6" t="str">
        <f t="shared" si="10"/>
        <v>8@200203;0.01;0.03</v>
      </c>
      <c r="AE34" s="47" t="s">
        <v>705</v>
      </c>
      <c r="AF34" s="46">
        <v>8</v>
      </c>
      <c r="AG34" s="6">
        <v>203603</v>
      </c>
      <c r="AH34" s="6">
        <v>0.01</v>
      </c>
      <c r="AI34" s="6">
        <v>0.03</v>
      </c>
      <c r="AJ34" s="6" t="str">
        <f t="shared" si="11"/>
        <v>8@203603;0.01;0.03</v>
      </c>
      <c r="AK34" s="46"/>
      <c r="AL34" s="46"/>
      <c r="AM34" s="47" t="s">
        <v>731</v>
      </c>
      <c r="AN34" s="46">
        <v>8</v>
      </c>
      <c r="AO34" s="6">
        <v>100202</v>
      </c>
      <c r="AP34" s="6">
        <v>0.01</v>
      </c>
      <c r="AQ34" s="6">
        <v>0.03</v>
      </c>
      <c r="AR34" s="6" t="str">
        <f t="shared" si="12"/>
        <v>8@100202;0.01;0.03</v>
      </c>
    </row>
    <row r="35" s="6" customFormat="1" ht="20.1" customHeight="1"/>
    <row r="36" s="6" customFormat="1" ht="20.1" customHeight="1" spans="7:44">
      <c r="G36" s="6" t="s">
        <v>732</v>
      </c>
      <c r="U36" s="6" t="s">
        <v>407</v>
      </c>
      <c r="W36" s="8" t="s">
        <v>733</v>
      </c>
      <c r="X36" s="6">
        <v>7</v>
      </c>
      <c r="Y36" s="6">
        <v>105103</v>
      </c>
      <c r="Z36" s="6">
        <v>3</v>
      </c>
      <c r="AA36" s="6">
        <v>12</v>
      </c>
      <c r="AB36" s="6" t="str">
        <f>X36&amp;"@"&amp;Y36&amp;";"&amp;Z36&amp;";"&amp;AA36</f>
        <v>7@105103;3;12</v>
      </c>
      <c r="AC36" s="6" t="s">
        <v>407</v>
      </c>
      <c r="AE36" s="8" t="s">
        <v>734</v>
      </c>
      <c r="AF36" s="6">
        <v>7</v>
      </c>
      <c r="AG36" s="6">
        <v>105103</v>
      </c>
      <c r="AH36" s="6">
        <v>5</v>
      </c>
      <c r="AI36" s="6">
        <v>20</v>
      </c>
      <c r="AJ36" s="6" t="str">
        <f>AF36&amp;"@"&amp;AG36&amp;";"&amp;AH36&amp;";"&amp;AI36</f>
        <v>7@105103;5;20</v>
      </c>
      <c r="AK36" s="6" t="s">
        <v>407</v>
      </c>
      <c r="AM36" s="8" t="s">
        <v>735</v>
      </c>
      <c r="AN36" s="6">
        <v>7</v>
      </c>
      <c r="AO36" s="6">
        <v>105103</v>
      </c>
      <c r="AP36" s="6">
        <v>8</v>
      </c>
      <c r="AQ36" s="6">
        <v>30</v>
      </c>
      <c r="AR36" s="6" t="str">
        <f>AN36&amp;"@"&amp;AO36&amp;";"&amp;AP36&amp;";"&amp;AQ36</f>
        <v>7@105103;8;30</v>
      </c>
    </row>
    <row r="37" s="6" customFormat="1" ht="20.1" customHeight="1" spans="23:44">
      <c r="W37" s="8" t="s">
        <v>736</v>
      </c>
      <c r="X37" s="6">
        <v>7</v>
      </c>
      <c r="Y37" s="6">
        <v>105303</v>
      </c>
      <c r="Z37" s="6">
        <v>3</v>
      </c>
      <c r="AA37" s="6">
        <v>12</v>
      </c>
      <c r="AB37" s="6" t="str">
        <f t="shared" ref="AB37:AB39" si="13">X37&amp;"@"&amp;Y37&amp;";"&amp;Z37&amp;";"&amp;AA37</f>
        <v>7@105303;3;12</v>
      </c>
      <c r="AE37" s="8" t="s">
        <v>737</v>
      </c>
      <c r="AF37" s="6">
        <v>7</v>
      </c>
      <c r="AG37" s="6">
        <v>105303</v>
      </c>
      <c r="AH37" s="6">
        <v>5</v>
      </c>
      <c r="AI37" s="6">
        <v>20</v>
      </c>
      <c r="AJ37" s="6" t="str">
        <f t="shared" ref="AJ37:AJ39" si="14">AF37&amp;"@"&amp;AG37&amp;";"&amp;AH37&amp;";"&amp;AI37</f>
        <v>7@105303;5;20</v>
      </c>
      <c r="AM37" s="8" t="s">
        <v>738</v>
      </c>
      <c r="AN37" s="6">
        <v>7</v>
      </c>
      <c r="AO37" s="6">
        <v>105303</v>
      </c>
      <c r="AP37" s="6">
        <v>8</v>
      </c>
      <c r="AQ37" s="6">
        <v>30</v>
      </c>
      <c r="AR37" s="6" t="str">
        <f t="shared" ref="AR37:AR39" si="15">AN37&amp;"@"&amp;AO37&amp;";"&amp;AP37&amp;";"&amp;AQ37</f>
        <v>7@105303;8;30</v>
      </c>
    </row>
    <row r="38" s="6" customFormat="1" ht="20.1" customHeight="1" spans="23:44">
      <c r="W38" s="8" t="s">
        <v>727</v>
      </c>
      <c r="X38" s="6">
        <v>7</v>
      </c>
      <c r="Y38" s="6">
        <v>105503</v>
      </c>
      <c r="Z38" s="6">
        <v>3</v>
      </c>
      <c r="AA38" s="6">
        <v>12</v>
      </c>
      <c r="AB38" s="6" t="str">
        <f t="shared" si="13"/>
        <v>7@105503;3;12</v>
      </c>
      <c r="AE38" s="8" t="s">
        <v>728</v>
      </c>
      <c r="AF38" s="6">
        <v>7</v>
      </c>
      <c r="AG38" s="6">
        <v>105503</v>
      </c>
      <c r="AH38" s="6">
        <v>5</v>
      </c>
      <c r="AI38" s="6">
        <v>20</v>
      </c>
      <c r="AJ38" s="6" t="str">
        <f t="shared" si="14"/>
        <v>7@105503;5;20</v>
      </c>
      <c r="AM38" s="8" t="s">
        <v>729</v>
      </c>
      <c r="AN38" s="6">
        <v>7</v>
      </c>
      <c r="AO38" s="6">
        <v>105503</v>
      </c>
      <c r="AP38" s="6">
        <v>8</v>
      </c>
      <c r="AQ38" s="6">
        <v>30</v>
      </c>
      <c r="AR38" s="6" t="str">
        <f t="shared" si="15"/>
        <v>7@105503;8;30</v>
      </c>
    </row>
    <row r="39" s="6" customFormat="1" ht="20.1" customHeight="1" spans="23:44">
      <c r="W39" s="47" t="s">
        <v>739</v>
      </c>
      <c r="X39" s="46">
        <v>7</v>
      </c>
      <c r="Y39" s="6">
        <v>110303</v>
      </c>
      <c r="Z39" s="6">
        <v>10</v>
      </c>
      <c r="AA39" s="6">
        <v>60</v>
      </c>
      <c r="AB39" s="6" t="str">
        <f t="shared" si="13"/>
        <v>7@110303;10;60</v>
      </c>
      <c r="AE39" s="47" t="s">
        <v>740</v>
      </c>
      <c r="AF39" s="46">
        <v>7</v>
      </c>
      <c r="AG39" s="6">
        <v>200503</v>
      </c>
      <c r="AH39" s="6">
        <v>0.01</v>
      </c>
      <c r="AI39" s="6">
        <v>0.03</v>
      </c>
      <c r="AJ39" s="6" t="str">
        <f t="shared" si="14"/>
        <v>7@200503;0.01;0.03</v>
      </c>
      <c r="AK39" s="46"/>
      <c r="AL39" s="46"/>
      <c r="AM39" s="47" t="s">
        <v>741</v>
      </c>
      <c r="AN39" s="46">
        <v>7</v>
      </c>
      <c r="AO39" s="6">
        <v>200603</v>
      </c>
      <c r="AP39" s="6">
        <v>0.01</v>
      </c>
      <c r="AQ39" s="6">
        <v>0.03</v>
      </c>
      <c r="AR39" s="6" t="str">
        <f t="shared" si="15"/>
        <v>7@200603;0.01;0.03</v>
      </c>
    </row>
    <row r="40" s="6" customFormat="1" ht="20.1" customHeight="1" spans="2:15">
      <c r="B40" s="43">
        <v>14060005</v>
      </c>
      <c r="C40" s="44" t="s">
        <v>742</v>
      </c>
      <c r="D40" s="6" t="s">
        <v>590</v>
      </c>
      <c r="E40" s="6" t="str">
        <f>"效果:"&amp;D40</f>
        <v>效果:攻击速度提升5%</v>
      </c>
      <c r="F40" s="6">
        <v>1</v>
      </c>
      <c r="G40" s="6">
        <v>119103</v>
      </c>
      <c r="H40" s="6">
        <v>50</v>
      </c>
      <c r="I40" s="6">
        <v>200</v>
      </c>
      <c r="J40" s="6" t="str">
        <f t="shared" ref="J40:J51" si="16">F40&amp;"@"&amp;G40&amp;";"&amp;H40&amp;";"&amp;I40</f>
        <v>1@119103;50;200</v>
      </c>
      <c r="K40" s="6">
        <v>11</v>
      </c>
      <c r="L40" s="6">
        <v>120703</v>
      </c>
      <c r="M40" s="6">
        <v>10</v>
      </c>
      <c r="N40" s="6">
        <v>50</v>
      </c>
      <c r="O40" s="8" t="str">
        <f t="shared" ref="O40:O51" si="17">K40&amp;"@"&amp;L40&amp;";"&amp;M40&amp;";"&amp;N40</f>
        <v>11@120703;10;50</v>
      </c>
    </row>
    <row r="41" s="6" customFormat="1" ht="20.1" customHeight="1" spans="2:44">
      <c r="B41" s="45">
        <v>14100011</v>
      </c>
      <c r="C41" s="44" t="s">
        <v>743</v>
      </c>
      <c r="D41" s="6" t="s">
        <v>744</v>
      </c>
      <c r="E41" s="6" t="str">
        <f>"效果:"&amp;D41</f>
        <v>效果:旋风击+1</v>
      </c>
      <c r="F41" s="6">
        <v>1</v>
      </c>
      <c r="G41" s="6">
        <v>119303</v>
      </c>
      <c r="H41" s="6">
        <v>50</v>
      </c>
      <c r="I41" s="6">
        <v>200</v>
      </c>
      <c r="J41" s="6" t="str">
        <f t="shared" si="16"/>
        <v>1@119303;50;200</v>
      </c>
      <c r="K41" s="6">
        <v>11</v>
      </c>
      <c r="L41" s="6">
        <v>120703</v>
      </c>
      <c r="M41" s="6">
        <v>10</v>
      </c>
      <c r="N41" s="6">
        <v>50</v>
      </c>
      <c r="O41" s="8" t="str">
        <f t="shared" si="17"/>
        <v>11@120703;10;50</v>
      </c>
      <c r="U41" s="6" t="s">
        <v>479</v>
      </c>
      <c r="W41" s="8" t="s">
        <v>745</v>
      </c>
      <c r="X41" s="6">
        <v>6</v>
      </c>
      <c r="Y41" s="6">
        <v>100503</v>
      </c>
      <c r="Z41" s="6">
        <v>10</v>
      </c>
      <c r="AA41" s="6">
        <v>60</v>
      </c>
      <c r="AB41" s="6" t="str">
        <f>X41&amp;"@"&amp;Y41&amp;";"&amp;Z41&amp;";"&amp;AA41</f>
        <v>6@100503;10;60</v>
      </c>
      <c r="AC41" s="6" t="s">
        <v>479</v>
      </c>
      <c r="AE41" s="8" t="s">
        <v>746</v>
      </c>
      <c r="AF41" s="6">
        <v>6</v>
      </c>
      <c r="AG41" s="6">
        <v>100503</v>
      </c>
      <c r="AH41" s="6">
        <v>30</v>
      </c>
      <c r="AI41" s="6">
        <v>100</v>
      </c>
      <c r="AJ41" s="6" t="str">
        <f>AF41&amp;"@"&amp;AG41&amp;";"&amp;AH41&amp;";"&amp;AI41</f>
        <v>6@100503;30;100</v>
      </c>
      <c r="AK41" s="6" t="s">
        <v>479</v>
      </c>
      <c r="AM41" s="8" t="s">
        <v>747</v>
      </c>
      <c r="AN41" s="6">
        <v>6</v>
      </c>
      <c r="AO41" s="6">
        <v>100503</v>
      </c>
      <c r="AP41" s="6">
        <v>50</v>
      </c>
      <c r="AQ41" s="6">
        <v>150</v>
      </c>
      <c r="AR41" s="6" t="str">
        <f>AN41&amp;"@"&amp;AO41&amp;";"&amp;AP41&amp;";"&amp;AQ41</f>
        <v>6@100503;50;150</v>
      </c>
    </row>
    <row r="42" s="6" customFormat="1" ht="20.1" customHeight="1" spans="2:44">
      <c r="B42" s="45">
        <v>14100012</v>
      </c>
      <c r="C42" s="44" t="s">
        <v>748</v>
      </c>
      <c r="D42" s="6" t="s">
        <v>749</v>
      </c>
      <c r="E42" s="6" t="str">
        <f t="shared" ref="E42:E57" si="18">"效果:"&amp;D42</f>
        <v>效果:攻击恢复当前造成伤害的5%</v>
      </c>
      <c r="F42" s="46">
        <v>1</v>
      </c>
      <c r="G42" s="6">
        <v>119403</v>
      </c>
      <c r="H42" s="6">
        <v>50</v>
      </c>
      <c r="I42" s="6">
        <v>200</v>
      </c>
      <c r="J42" s="6" t="str">
        <f t="shared" si="16"/>
        <v>1@119403;50;200</v>
      </c>
      <c r="K42" s="6">
        <v>4</v>
      </c>
      <c r="L42" s="6">
        <v>120603</v>
      </c>
      <c r="M42" s="6">
        <v>10</v>
      </c>
      <c r="N42" s="6">
        <v>50</v>
      </c>
      <c r="O42" s="8" t="str">
        <f t="shared" si="17"/>
        <v>4@120603;10;50</v>
      </c>
      <c r="W42" s="8" t="s">
        <v>750</v>
      </c>
      <c r="X42" s="6">
        <v>6</v>
      </c>
      <c r="Y42" s="6">
        <v>100603</v>
      </c>
      <c r="Z42" s="6">
        <v>10</v>
      </c>
      <c r="AA42" s="6">
        <v>60</v>
      </c>
      <c r="AB42" s="6" t="str">
        <f t="shared" ref="AB42:AB43" si="19">X42&amp;"@"&amp;Y42&amp;";"&amp;Z42&amp;";"&amp;AA42</f>
        <v>6@100603;10;60</v>
      </c>
      <c r="AE42" s="8" t="s">
        <v>751</v>
      </c>
      <c r="AF42" s="6">
        <v>6</v>
      </c>
      <c r="AG42" s="6">
        <v>100603</v>
      </c>
      <c r="AH42" s="6">
        <v>30</v>
      </c>
      <c r="AI42" s="6">
        <v>100</v>
      </c>
      <c r="AJ42" s="6" t="str">
        <f t="shared" ref="AJ42:AJ43" si="20">AF42&amp;"@"&amp;AG42&amp;";"&amp;AH42&amp;";"&amp;AI42</f>
        <v>6@100603;30;100</v>
      </c>
      <c r="AM42" s="8" t="s">
        <v>752</v>
      </c>
      <c r="AN42" s="6">
        <v>6</v>
      </c>
      <c r="AO42" s="6">
        <v>100603</v>
      </c>
      <c r="AP42" s="6">
        <v>50</v>
      </c>
      <c r="AQ42" s="6">
        <v>150</v>
      </c>
      <c r="AR42" s="6" t="str">
        <f t="shared" ref="AR42:AR43" si="21">AN42&amp;"@"&amp;AO42&amp;";"&amp;AP42&amp;";"&amp;AQ42</f>
        <v>6@100603;50;150</v>
      </c>
    </row>
    <row r="43" s="6" customFormat="1" ht="20.1" customHeight="1" spans="2:44">
      <c r="B43" s="43">
        <v>14100111</v>
      </c>
      <c r="C43" s="44" t="s">
        <v>753</v>
      </c>
      <c r="D43" s="6" t="s">
        <v>754</v>
      </c>
      <c r="E43" s="6" t="str">
        <f t="shared" si="18"/>
        <v>效果:攻击概率提升自身10%攻击,持续6秒</v>
      </c>
      <c r="F43" s="46">
        <v>1</v>
      </c>
      <c r="G43" s="6">
        <v>119203</v>
      </c>
      <c r="H43" s="6">
        <v>50</v>
      </c>
      <c r="I43" s="6">
        <v>200</v>
      </c>
      <c r="J43" s="6" t="str">
        <f t="shared" si="16"/>
        <v>1@119203;50;200</v>
      </c>
      <c r="K43" s="6">
        <v>4</v>
      </c>
      <c r="L43" s="6">
        <v>120603</v>
      </c>
      <c r="M43" s="6">
        <v>10</v>
      </c>
      <c r="N43" s="6">
        <v>50</v>
      </c>
      <c r="O43" s="8" t="str">
        <f t="shared" si="17"/>
        <v>4@120603;10;50</v>
      </c>
      <c r="V43" s="46" t="s">
        <v>755</v>
      </c>
      <c r="W43" s="47" t="s">
        <v>756</v>
      </c>
      <c r="X43" s="46">
        <v>6</v>
      </c>
      <c r="Y43" s="6">
        <v>100903</v>
      </c>
      <c r="Z43" s="6">
        <v>0.01</v>
      </c>
      <c r="AA43" s="6">
        <v>0.03</v>
      </c>
      <c r="AB43" s="6" t="str">
        <f t="shared" si="19"/>
        <v>6@100903;0.01;0.03</v>
      </c>
      <c r="AE43" s="47" t="s">
        <v>757</v>
      </c>
      <c r="AF43" s="46">
        <v>6</v>
      </c>
      <c r="AG43" s="6">
        <v>200103</v>
      </c>
      <c r="AH43" s="6">
        <v>0.01</v>
      </c>
      <c r="AI43" s="6">
        <v>0.03</v>
      </c>
      <c r="AJ43" s="6" t="str">
        <f t="shared" si="20"/>
        <v>6@200103;0.01;0.03</v>
      </c>
      <c r="AM43" s="47" t="s">
        <v>758</v>
      </c>
      <c r="AN43" s="46">
        <v>6</v>
      </c>
      <c r="AO43" s="6">
        <v>200303</v>
      </c>
      <c r="AP43" s="6">
        <v>0.01</v>
      </c>
      <c r="AQ43" s="6">
        <v>0.03</v>
      </c>
      <c r="AR43" s="6" t="str">
        <f t="shared" si="21"/>
        <v>6@200303;0.01;0.03</v>
      </c>
    </row>
    <row r="44" s="6" customFormat="1" ht="20.1" customHeight="1" spans="2:15">
      <c r="B44" s="43">
        <v>14100112</v>
      </c>
      <c r="C44" s="44" t="s">
        <v>759</v>
      </c>
      <c r="D44" s="6" t="s">
        <v>760</v>
      </c>
      <c r="E44" s="6" t="str">
        <f t="shared" si="18"/>
        <v>效果:守护之击+1</v>
      </c>
      <c r="F44" s="6">
        <v>1</v>
      </c>
      <c r="G44" s="6">
        <v>119103</v>
      </c>
      <c r="H44" s="6">
        <v>100</v>
      </c>
      <c r="I44" s="6">
        <v>250</v>
      </c>
      <c r="J44" s="6" t="str">
        <f t="shared" si="16"/>
        <v>1@119103;100;250</v>
      </c>
      <c r="K44" s="6">
        <v>11</v>
      </c>
      <c r="L44" s="6">
        <v>120703</v>
      </c>
      <c r="M44" s="6">
        <v>30</v>
      </c>
      <c r="N44" s="6">
        <v>80</v>
      </c>
      <c r="O44" s="8" t="str">
        <f t="shared" si="17"/>
        <v>11@120703;30;80</v>
      </c>
    </row>
    <row r="45" s="6" customFormat="1" ht="20.1" customHeight="1" spans="2:15">
      <c r="B45" s="43">
        <v>14110021</v>
      </c>
      <c r="C45" s="44" t="s">
        <v>761</v>
      </c>
      <c r="D45" s="6" t="s">
        <v>762</v>
      </c>
      <c r="E45" s="6" t="str">
        <f t="shared" si="18"/>
        <v>效果:有5%概率躲避敌人的法术攻击</v>
      </c>
      <c r="F45" s="6">
        <v>1</v>
      </c>
      <c r="G45" s="6">
        <v>119303</v>
      </c>
      <c r="H45" s="6">
        <v>100</v>
      </c>
      <c r="I45" s="6">
        <v>250</v>
      </c>
      <c r="J45" s="6" t="str">
        <f t="shared" si="16"/>
        <v>1@119303;100;250</v>
      </c>
      <c r="K45" s="6">
        <v>11</v>
      </c>
      <c r="L45" s="6">
        <v>120703</v>
      </c>
      <c r="M45" s="6">
        <v>30</v>
      </c>
      <c r="N45" s="6">
        <v>80</v>
      </c>
      <c r="O45" s="8" t="str">
        <f t="shared" si="17"/>
        <v>11@120703;30;80</v>
      </c>
    </row>
    <row r="46" s="6" customFormat="1" ht="20.1" customHeight="1" spans="2:15">
      <c r="B46" s="43">
        <v>14110022</v>
      </c>
      <c r="C46" s="44" t="s">
        <v>763</v>
      </c>
      <c r="D46" s="6" t="s">
        <v>764</v>
      </c>
      <c r="E46" s="6" t="str">
        <f t="shared" si="18"/>
        <v>效果:有5%概率躲避敌人的物理攻击</v>
      </c>
      <c r="F46" s="46">
        <v>1</v>
      </c>
      <c r="G46" s="6">
        <v>119403</v>
      </c>
      <c r="H46" s="6">
        <v>100</v>
      </c>
      <c r="I46" s="6">
        <v>250</v>
      </c>
      <c r="J46" s="6" t="str">
        <f t="shared" si="16"/>
        <v>1@119403;100;250</v>
      </c>
      <c r="K46" s="6">
        <v>4</v>
      </c>
      <c r="L46" s="6">
        <v>120603</v>
      </c>
      <c r="M46" s="6">
        <v>30</v>
      </c>
      <c r="N46" s="6">
        <v>80</v>
      </c>
      <c r="O46" s="8" t="str">
        <f t="shared" si="17"/>
        <v>4@120603;30;80</v>
      </c>
    </row>
    <row r="47" s="6" customFormat="1" ht="20.1" customHeight="1" spans="2:15">
      <c r="B47" s="43">
        <v>14110023</v>
      </c>
      <c r="C47" s="44" t="s">
        <v>765</v>
      </c>
      <c r="D47" s="6" t="s">
        <v>766</v>
      </c>
      <c r="E47" s="6" t="str">
        <f t="shared" si="18"/>
        <v>效果:提升自身5%的最大生命值</v>
      </c>
      <c r="F47" s="46">
        <v>1</v>
      </c>
      <c r="G47" s="6">
        <v>119203</v>
      </c>
      <c r="H47" s="6">
        <v>100</v>
      </c>
      <c r="I47" s="6">
        <v>250</v>
      </c>
      <c r="J47" s="6" t="str">
        <f t="shared" si="16"/>
        <v>1@119203;100;250</v>
      </c>
      <c r="K47" s="6">
        <v>4</v>
      </c>
      <c r="L47" s="6">
        <v>120603</v>
      </c>
      <c r="M47" s="6">
        <v>30</v>
      </c>
      <c r="N47" s="6">
        <v>80</v>
      </c>
      <c r="O47" s="8" t="str">
        <f t="shared" si="17"/>
        <v>4@120603;30;80</v>
      </c>
    </row>
    <row r="48" s="6" customFormat="1" ht="20.1" customHeight="1" spans="5:15">
      <c r="E48" s="6" t="str">
        <f t="shared" si="18"/>
        <v>效果:</v>
      </c>
      <c r="F48" s="6">
        <v>1</v>
      </c>
      <c r="G48" s="6">
        <v>119103</v>
      </c>
      <c r="H48" s="6">
        <v>150</v>
      </c>
      <c r="I48" s="6">
        <v>300</v>
      </c>
      <c r="J48" s="6" t="str">
        <f t="shared" si="16"/>
        <v>1@119103;150;300</v>
      </c>
      <c r="K48" s="6">
        <v>11</v>
      </c>
      <c r="L48" s="6">
        <v>120703</v>
      </c>
      <c r="M48" s="6">
        <v>50</v>
      </c>
      <c r="N48" s="6">
        <v>120</v>
      </c>
      <c r="O48" s="8" t="str">
        <f t="shared" si="17"/>
        <v>11@120703;50;120</v>
      </c>
    </row>
    <row r="49" s="6" customFormat="1" ht="20.1" customHeight="1" spans="5:15">
      <c r="E49" s="6" t="str">
        <f t="shared" si="18"/>
        <v>效果:</v>
      </c>
      <c r="F49" s="6">
        <v>1</v>
      </c>
      <c r="G49" s="6">
        <v>119303</v>
      </c>
      <c r="H49" s="6">
        <v>150</v>
      </c>
      <c r="I49" s="6">
        <v>300</v>
      </c>
      <c r="J49" s="6" t="str">
        <f t="shared" si="16"/>
        <v>1@119303;150;300</v>
      </c>
      <c r="K49" s="6">
        <v>11</v>
      </c>
      <c r="L49" s="6">
        <v>120703</v>
      </c>
      <c r="M49" s="6">
        <v>50</v>
      </c>
      <c r="N49" s="6">
        <v>120</v>
      </c>
      <c r="O49" s="8" t="str">
        <f t="shared" si="17"/>
        <v>11@120703;50;120</v>
      </c>
    </row>
    <row r="50" s="6" customFormat="1" ht="20.1" customHeight="1" spans="2:15">
      <c r="B50" s="44">
        <v>15206003</v>
      </c>
      <c r="C50" s="44" t="s">
        <v>767</v>
      </c>
      <c r="D50" s="6" t="s">
        <v>768</v>
      </c>
      <c r="E50" s="6" t="str">
        <f t="shared" si="18"/>
        <v>效果:装备:攻击提升100点</v>
      </c>
      <c r="F50" s="46">
        <v>1</v>
      </c>
      <c r="G50" s="6">
        <v>119403</v>
      </c>
      <c r="H50" s="6">
        <v>150</v>
      </c>
      <c r="I50" s="6">
        <v>300</v>
      </c>
      <c r="J50" s="6" t="str">
        <f t="shared" si="16"/>
        <v>1@119403;150;300</v>
      </c>
      <c r="K50" s="6">
        <v>4</v>
      </c>
      <c r="L50" s="6">
        <v>120603</v>
      </c>
      <c r="M50" s="6">
        <v>50</v>
      </c>
      <c r="N50" s="6">
        <v>120</v>
      </c>
      <c r="O50" s="8" t="str">
        <f t="shared" si="17"/>
        <v>4@120603;50;120</v>
      </c>
    </row>
    <row r="51" ht="20.1" customHeight="1" spans="2:15">
      <c r="B51" s="44">
        <v>15210011</v>
      </c>
      <c r="C51" s="44" t="s">
        <v>769</v>
      </c>
      <c r="D51" s="6" t="s">
        <v>770</v>
      </c>
      <c r="E51" s="6" t="str">
        <f t="shared" si="18"/>
        <v>效果:装备:暴击概率提升5%</v>
      </c>
      <c r="F51" s="46">
        <v>1</v>
      </c>
      <c r="G51" s="6">
        <v>119203</v>
      </c>
      <c r="H51" s="6">
        <v>150</v>
      </c>
      <c r="I51" s="6">
        <v>300</v>
      </c>
      <c r="J51" s="6" t="str">
        <f t="shared" si="16"/>
        <v>1@119203;150;300</v>
      </c>
      <c r="K51" s="6">
        <v>4</v>
      </c>
      <c r="L51" s="6">
        <v>120603</v>
      </c>
      <c r="M51" s="6">
        <v>50</v>
      </c>
      <c r="N51" s="6">
        <v>120</v>
      </c>
      <c r="O51" s="8" t="str">
        <f t="shared" si="17"/>
        <v>4@120603;50;120</v>
      </c>
    </row>
    <row r="52" ht="20.1" customHeight="1" spans="2:5">
      <c r="B52" s="44">
        <v>15210012</v>
      </c>
      <c r="C52" s="44" t="s">
        <v>771</v>
      </c>
      <c r="D52" s="6" t="s">
        <v>772</v>
      </c>
      <c r="E52" s="6" t="str">
        <f t="shared" si="18"/>
        <v>效果:使用裂波击技能冷却时间减少2秒</v>
      </c>
    </row>
    <row r="53" ht="20.1" customHeight="1" spans="2:5">
      <c r="B53" s="44">
        <v>15210111</v>
      </c>
      <c r="C53" s="44" t="s">
        <v>773</v>
      </c>
      <c r="D53" s="6" t="s">
        <v>774</v>
      </c>
      <c r="E53" s="6" t="str">
        <f t="shared" si="18"/>
        <v>效果:魔法闪击造成伤害提升50%</v>
      </c>
    </row>
    <row r="54" ht="20.1" customHeight="1" spans="2:13">
      <c r="B54" s="44">
        <v>15210112</v>
      </c>
      <c r="C54" s="44" t="s">
        <v>775</v>
      </c>
      <c r="D54" s="6" t="s">
        <v>776</v>
      </c>
      <c r="E54" s="6" t="str">
        <f t="shared" si="18"/>
        <v>效果:攻击忽略目标5%防御</v>
      </c>
      <c r="J54" s="6"/>
      <c r="K54" s="6"/>
      <c r="L54" s="6"/>
      <c r="M54" s="6"/>
    </row>
    <row r="55" ht="20.1" customHeight="1" spans="2:5">
      <c r="B55" s="44">
        <v>15211011</v>
      </c>
      <c r="C55" s="44" t="s">
        <v>777</v>
      </c>
      <c r="D55" s="6" t="s">
        <v>778</v>
      </c>
      <c r="E55" s="6" t="str">
        <f t="shared" si="18"/>
        <v>效果:所有技能的冷却时间缩减5%</v>
      </c>
    </row>
    <row r="56" ht="20.1" customHeight="1" spans="2:5">
      <c r="B56" s="44">
        <v>15211012</v>
      </c>
      <c r="C56" s="44" t="s">
        <v>779</v>
      </c>
      <c r="D56" s="6" t="s">
        <v>780</v>
      </c>
      <c r="E56" s="6" t="str">
        <f t="shared" si="18"/>
        <v>效果:反击伤害+10%</v>
      </c>
    </row>
    <row r="57" ht="20.1" customHeight="1" spans="2:5">
      <c r="B57" s="44">
        <v>15211013</v>
      </c>
      <c r="C57" s="44" t="s">
        <v>781</v>
      </c>
      <c r="D57" s="6" t="s">
        <v>782</v>
      </c>
      <c r="E57" s="6" t="str">
        <f t="shared" si="18"/>
        <v>效果:受到攻击有一定概率恢复自身的生命值</v>
      </c>
    </row>
    <row r="58" ht="20.1" customHeight="1" spans="2:5">
      <c r="B58" s="6"/>
      <c r="C58" s="6"/>
      <c r="D58" s="6"/>
      <c r="E58" s="6"/>
    </row>
    <row r="59" ht="20.1" customHeight="1" spans="2:5">
      <c r="B59" s="44">
        <v>15306003</v>
      </c>
      <c r="C59" s="44" t="s">
        <v>783</v>
      </c>
      <c r="D59" s="6" t="s">
        <v>379</v>
      </c>
      <c r="E59" s="6" t="str">
        <f t="shared" ref="E59:E86" si="22">"效果:"&amp;D59</f>
        <v>效果:移动速度提升5%</v>
      </c>
    </row>
    <row r="60" ht="20.1" customHeight="1" spans="2:8">
      <c r="B60" s="44">
        <v>15310011</v>
      </c>
      <c r="C60" s="44" t="s">
        <v>784</v>
      </c>
      <c r="D60" s="6" t="s">
        <v>785</v>
      </c>
      <c r="E60" s="6" t="str">
        <f t="shared" si="22"/>
        <v>效果:使用裂地击会附加2秒眩晕效果</v>
      </c>
      <c r="H60" s="6" t="s">
        <v>754</v>
      </c>
    </row>
    <row r="61" ht="20.1" customHeight="1" spans="2:5">
      <c r="B61" s="44">
        <v>15310012</v>
      </c>
      <c r="C61" s="44" t="s">
        <v>786</v>
      </c>
      <c r="D61" s="6" t="s">
        <v>787</v>
      </c>
      <c r="E61" s="6" t="str">
        <f t="shared" si="22"/>
        <v>效果:使用裂波击技能伤害提升50%</v>
      </c>
    </row>
    <row r="62" ht="20.1" customHeight="1" spans="2:5">
      <c r="B62" s="44">
        <v>15310111</v>
      </c>
      <c r="C62" s="44" t="s">
        <v>788</v>
      </c>
      <c r="D62" s="15" t="s">
        <v>789</v>
      </c>
      <c r="E62" s="6" t="str">
        <f t="shared" si="22"/>
        <v>效果:龙卷雨击+1</v>
      </c>
    </row>
    <row r="63" ht="20.1" customHeight="1" spans="2:5">
      <c r="B63" s="44">
        <v>15310112</v>
      </c>
      <c r="C63" s="44" t="s">
        <v>790</v>
      </c>
      <c r="D63" s="6" t="s">
        <v>791</v>
      </c>
      <c r="E63" s="6" t="str">
        <f t="shared" si="22"/>
        <v>效果:冰锥之击会额外对目标造成2秒眩晕</v>
      </c>
    </row>
    <row r="64" ht="20.1" customHeight="1" spans="2:5">
      <c r="B64" s="44">
        <v>15311011</v>
      </c>
      <c r="C64" s="44" t="s">
        <v>792</v>
      </c>
      <c r="D64" s="6" t="s">
        <v>793</v>
      </c>
      <c r="E64" s="6" t="str">
        <f t="shared" si="22"/>
        <v>效果:暴击概率提升5%</v>
      </c>
    </row>
    <row r="65" ht="20.1" customHeight="1" spans="2:5">
      <c r="B65" s="44">
        <v>15311012</v>
      </c>
      <c r="C65" s="44" t="s">
        <v>794</v>
      </c>
      <c r="D65" s="6" t="s">
        <v>795</v>
      </c>
      <c r="E65" s="6" t="str">
        <f t="shared" si="22"/>
        <v>效果:攻击提升5%</v>
      </c>
    </row>
    <row r="66" ht="20.1" customHeight="1" spans="2:13">
      <c r="B66" s="44">
        <v>15311013</v>
      </c>
      <c r="C66" s="44" t="s">
        <v>796</v>
      </c>
      <c r="D66" s="6" t="s">
        <v>797</v>
      </c>
      <c r="E66" s="6" t="str">
        <f t="shared" si="22"/>
        <v>效果:受到伤害有概率对目标造成1000点伤害</v>
      </c>
      <c r="H66" s="6"/>
      <c r="I66" s="6" t="s">
        <v>798</v>
      </c>
      <c r="J66" s="6"/>
      <c r="K66" s="6"/>
      <c r="L66" s="6"/>
      <c r="M66" s="6">
        <f>100/(5000+250*20)</f>
        <v>0.01</v>
      </c>
    </row>
    <row r="67" ht="20.1" customHeight="1" spans="2:13">
      <c r="B67" s="6"/>
      <c r="C67" s="6"/>
      <c r="D67" s="6"/>
      <c r="E67" s="6"/>
      <c r="H67" s="6">
        <v>10</v>
      </c>
      <c r="I67" s="6">
        <v>1</v>
      </c>
      <c r="J67" s="6" t="s">
        <v>475</v>
      </c>
      <c r="K67" s="6"/>
      <c r="L67" s="6"/>
      <c r="M67" s="6"/>
    </row>
    <row r="68" ht="20.1" customHeight="1" spans="2:13">
      <c r="B68" s="6"/>
      <c r="C68" s="6"/>
      <c r="D68" s="6"/>
      <c r="E68" s="6"/>
      <c r="H68" s="6"/>
      <c r="I68" s="6">
        <v>2</v>
      </c>
      <c r="J68" s="6"/>
      <c r="K68" s="6"/>
      <c r="L68" s="6"/>
      <c r="M68" s="6"/>
    </row>
    <row r="69" ht="20.1" customHeight="1" spans="2:13">
      <c r="B69" s="6"/>
      <c r="C69" s="6"/>
      <c r="D69" s="6"/>
      <c r="E69" s="6"/>
      <c r="H69" s="6"/>
      <c r="I69" s="6">
        <v>3</v>
      </c>
      <c r="J69" s="6"/>
      <c r="K69" s="6"/>
      <c r="L69" s="6"/>
      <c r="M69" s="6"/>
    </row>
    <row r="70" ht="20.1" customHeight="1" spans="2:13">
      <c r="B70" s="44">
        <v>15406003</v>
      </c>
      <c r="C70" s="44" t="s">
        <v>799</v>
      </c>
      <c r="D70" s="6" t="s">
        <v>800</v>
      </c>
      <c r="E70" s="6" t="str">
        <f t="shared" si="22"/>
        <v>效果:攻击有概率使自身攻击速度提升30%,持续5秒</v>
      </c>
      <c r="H70" s="6">
        <v>20</v>
      </c>
      <c r="I70" s="6">
        <v>1</v>
      </c>
      <c r="J70" s="6"/>
      <c r="K70" s="6"/>
      <c r="L70" s="6"/>
      <c r="M70" s="6"/>
    </row>
    <row r="71" ht="20.1" customHeight="1" spans="2:13">
      <c r="B71" s="44">
        <v>15410011</v>
      </c>
      <c r="C71" s="44" t="s">
        <v>801</v>
      </c>
      <c r="D71" s="6" t="s">
        <v>802</v>
      </c>
      <c r="E71" s="6" t="str">
        <f t="shared" si="22"/>
        <v>效果:使用跳跃击技能会使自身移动速度提升30%,持续3秒</v>
      </c>
      <c r="H71" s="6"/>
      <c r="I71" s="6">
        <v>2</v>
      </c>
      <c r="J71" s="6"/>
      <c r="K71" s="6"/>
      <c r="L71" s="6"/>
      <c r="M71" s="6"/>
    </row>
    <row r="72" ht="20.1" customHeight="1" spans="2:13">
      <c r="B72" s="44">
        <v>15410012</v>
      </c>
      <c r="C72" s="44" t="s">
        <v>803</v>
      </c>
      <c r="D72" s="6" t="s">
        <v>804</v>
      </c>
      <c r="E72" s="6" t="str">
        <f t="shared" si="22"/>
        <v>效果:回旋击+1</v>
      </c>
      <c r="F72" s="8" t="s">
        <v>805</v>
      </c>
      <c r="H72" s="6"/>
      <c r="I72" s="6">
        <v>3</v>
      </c>
      <c r="J72" s="6"/>
      <c r="K72" s="6"/>
      <c r="L72" s="6"/>
      <c r="M72" s="6"/>
    </row>
    <row r="73" ht="20.1" customHeight="1" spans="2:13">
      <c r="B73" s="44">
        <v>15410111</v>
      </c>
      <c r="C73" s="44" t="s">
        <v>806</v>
      </c>
      <c r="D73" s="6" t="s">
        <v>807</v>
      </c>
      <c r="E73" s="6" t="str">
        <f t="shared" si="22"/>
        <v>效果:守护之击冷却时间缩减2秒</v>
      </c>
      <c r="F73" s="8"/>
      <c r="H73" s="6">
        <v>30</v>
      </c>
      <c r="I73" s="6">
        <v>1</v>
      </c>
      <c r="J73" s="6"/>
      <c r="K73" s="6"/>
      <c r="L73" s="6"/>
      <c r="M73" s="6"/>
    </row>
    <row r="74" ht="20.1" customHeight="1" spans="2:13">
      <c r="B74" s="44">
        <v>15410112</v>
      </c>
      <c r="C74" s="44" t="s">
        <v>808</v>
      </c>
      <c r="D74" s="48" t="s">
        <v>809</v>
      </c>
      <c r="E74" s="48" t="str">
        <f t="shared" si="22"/>
        <v>效果:光能灼烧+1</v>
      </c>
      <c r="F74" s="8" t="s">
        <v>805</v>
      </c>
      <c r="H74" s="6"/>
      <c r="I74" s="6">
        <v>2</v>
      </c>
      <c r="J74" s="6"/>
      <c r="K74" s="6"/>
      <c r="L74" s="6"/>
      <c r="M74" s="6"/>
    </row>
    <row r="75" ht="20.1" customHeight="1" spans="2:13">
      <c r="B75" s="44">
        <v>15411011</v>
      </c>
      <c r="C75" s="44" t="s">
        <v>810</v>
      </c>
      <c r="D75" s="48" t="s">
        <v>811</v>
      </c>
      <c r="E75" s="48" t="str">
        <f t="shared" si="22"/>
        <v>效果:受到伤害有概率出发抵抗状态,抵抗造成的异常状态,持续5秒</v>
      </c>
      <c r="F75" s="8" t="s">
        <v>812</v>
      </c>
      <c r="H75" s="6"/>
      <c r="I75" s="6">
        <v>3</v>
      </c>
      <c r="J75" s="6"/>
      <c r="K75" s="6"/>
      <c r="L75" s="6"/>
      <c r="M75" s="6"/>
    </row>
    <row r="76" ht="20.1" customHeight="1" spans="2:13">
      <c r="B76" s="44">
        <v>15411012</v>
      </c>
      <c r="C76" s="44" t="s">
        <v>813</v>
      </c>
      <c r="D76" s="6" t="s">
        <v>814</v>
      </c>
      <c r="E76" s="6" t="str">
        <f t="shared" si="22"/>
        <v>效果:每次受到伤害有概率提升自身10%攻击,持续6秒</v>
      </c>
      <c r="H76" s="6">
        <v>40</v>
      </c>
      <c r="I76" s="6">
        <v>1</v>
      </c>
      <c r="J76" s="6"/>
      <c r="K76" s="6"/>
      <c r="L76" s="6"/>
      <c r="M76" s="6"/>
    </row>
    <row r="77" ht="20.1" customHeight="1" spans="2:13">
      <c r="B77" s="44">
        <v>15411013</v>
      </c>
      <c r="C77" s="44" t="s">
        <v>815</v>
      </c>
      <c r="D77" s="6" t="s">
        <v>816</v>
      </c>
      <c r="E77" s="6" t="str">
        <f t="shared" si="22"/>
        <v>效果:受到普通攻击有10%概率免除自身造成的伤害</v>
      </c>
      <c r="H77" s="6"/>
      <c r="I77" s="6">
        <v>2</v>
      </c>
      <c r="J77" s="6"/>
      <c r="K77" s="6"/>
      <c r="L77" s="6" t="s">
        <v>795</v>
      </c>
      <c r="M77" s="6"/>
    </row>
    <row r="78" ht="20.1" customHeight="1" spans="2:13">
      <c r="B78" s="6"/>
      <c r="C78" s="6"/>
      <c r="D78" s="6"/>
      <c r="E78" s="6" t="str">
        <f t="shared" si="22"/>
        <v>效果:</v>
      </c>
      <c r="H78" s="6"/>
      <c r="I78" s="6">
        <v>3</v>
      </c>
      <c r="J78" s="6"/>
      <c r="K78" s="6"/>
      <c r="L78" s="6"/>
      <c r="M78" s="6"/>
    </row>
    <row r="79" ht="20.1" customHeight="1" spans="2:11">
      <c r="B79" s="44">
        <v>15506003</v>
      </c>
      <c r="C79" s="44" t="s">
        <v>817</v>
      </c>
      <c r="D79" s="6" t="s">
        <v>818</v>
      </c>
      <c r="E79" s="6" t="str">
        <f t="shared" si="22"/>
        <v>效果:暴击率+5%</v>
      </c>
      <c r="H79" s="6">
        <v>50</v>
      </c>
      <c r="I79" s="6">
        <v>1</v>
      </c>
      <c r="J79" s="6"/>
      <c r="K79" s="6"/>
    </row>
    <row r="80" ht="20.1" customHeight="1" spans="2:11">
      <c r="B80" s="44">
        <v>15510011</v>
      </c>
      <c r="C80" s="44" t="s">
        <v>819</v>
      </c>
      <c r="D80" s="6" t="s">
        <v>820</v>
      </c>
      <c r="E80" s="6" t="str">
        <f t="shared" si="22"/>
        <v>效果:使用跳跃击技能,冷却时间降低2秒</v>
      </c>
      <c r="H80" s="6"/>
      <c r="I80" s="6">
        <v>2</v>
      </c>
      <c r="J80" s="6"/>
      <c r="K80" s="6"/>
    </row>
    <row r="81" ht="20.1" customHeight="1" spans="2:11">
      <c r="B81" s="44">
        <v>15510012</v>
      </c>
      <c r="C81" s="44" t="s">
        <v>821</v>
      </c>
      <c r="D81" s="6" t="s">
        <v>822</v>
      </c>
      <c r="E81" s="6" t="str">
        <f t="shared" si="22"/>
        <v>效果:使用冲锋击技能伤害提升50%</v>
      </c>
      <c r="H81" s="6"/>
      <c r="I81" s="6">
        <v>3</v>
      </c>
      <c r="J81" s="6"/>
      <c r="K81" s="6"/>
    </row>
    <row r="82" ht="20.1" customHeight="1" spans="2:5">
      <c r="B82" s="44">
        <v>15510121</v>
      </c>
      <c r="C82" s="44" t="s">
        <v>823</v>
      </c>
      <c r="D82" s="6" t="s">
        <v>824</v>
      </c>
      <c r="E82" s="6" t="str">
        <f t="shared" si="22"/>
        <v>效果:攻击有一定概率提升自身的20%攻击速度,持续6秒</v>
      </c>
    </row>
    <row r="83" ht="20.1" customHeight="1" spans="2:5">
      <c r="B83" s="44">
        <v>15510122</v>
      </c>
      <c r="C83" s="44" t="s">
        <v>825</v>
      </c>
      <c r="D83" s="6" t="s">
        <v>826</v>
      </c>
      <c r="E83" s="6" t="str">
        <f t="shared" si="22"/>
        <v>效果:使用龙卷雨击技能伤害提升50%</v>
      </c>
    </row>
    <row r="84" ht="20.1" customHeight="1" spans="2:5">
      <c r="B84" s="44">
        <v>15511011</v>
      </c>
      <c r="C84" s="44" t="s">
        <v>827</v>
      </c>
      <c r="D84" s="6" t="s">
        <v>828</v>
      </c>
      <c r="E84" s="6" t="str">
        <f t="shared" si="22"/>
        <v>效果:受到伤害有概率使攻击者移动速度降低30%,持续5秒</v>
      </c>
    </row>
    <row r="85" ht="20.1" customHeight="1" spans="2:5">
      <c r="B85" s="44">
        <v>15511012</v>
      </c>
      <c r="C85" s="44" t="s">
        <v>829</v>
      </c>
      <c r="D85" s="6" t="s">
        <v>830</v>
      </c>
      <c r="E85" s="6" t="str">
        <f t="shared" si="22"/>
        <v>效果:提升自身攻击5%</v>
      </c>
    </row>
    <row r="86" ht="20.1" customHeight="1" spans="2:5">
      <c r="B86" s="44">
        <v>15511013</v>
      </c>
      <c r="C86" s="44" t="s">
        <v>831</v>
      </c>
      <c r="D86" s="6" t="s">
        <v>832</v>
      </c>
      <c r="E86" s="6" t="str">
        <f t="shared" si="22"/>
        <v>效果:提升闪避概率+5%</v>
      </c>
    </row>
    <row r="87" ht="20.1" customHeight="1"/>
    <row r="88" ht="20.1" customHeight="1"/>
    <row r="89" ht="20.1" customHeight="1" spans="2:12">
      <c r="B89" s="15" t="s">
        <v>588</v>
      </c>
      <c r="C89" s="25"/>
      <c r="D89" s="6" t="s">
        <v>833</v>
      </c>
      <c r="E89" s="6" t="str">
        <f t="shared" ref="E89:E99" si="23">"效果:"&amp;D89</f>
        <v>效果:提升伤害加成5%</v>
      </c>
      <c r="F89" s="15">
        <v>200903</v>
      </c>
      <c r="L89">
        <v>500</v>
      </c>
    </row>
    <row r="90" ht="20.1" customHeight="1" spans="2:12">
      <c r="B90" s="15" t="s">
        <v>596</v>
      </c>
      <c r="C90" s="25"/>
      <c r="D90" s="6" t="s">
        <v>834</v>
      </c>
      <c r="E90" s="6" t="str">
        <f t="shared" si="23"/>
        <v>效果:提升伤害减免5%</v>
      </c>
      <c r="F90" s="15">
        <v>201003</v>
      </c>
      <c r="L90">
        <f>300/L89</f>
        <v>0.6</v>
      </c>
    </row>
    <row r="91" ht="20.1" customHeight="1" spans="2:6">
      <c r="B91" s="15" t="s">
        <v>601</v>
      </c>
      <c r="C91" s="25"/>
      <c r="D91" s="6" t="s">
        <v>835</v>
      </c>
      <c r="E91" s="6" t="str">
        <f t="shared" si="23"/>
        <v>效果:提升闪避率2%</v>
      </c>
      <c r="F91" s="15">
        <v>200303</v>
      </c>
    </row>
    <row r="92" ht="20.1" customHeight="1" spans="2:6">
      <c r="B92" s="15" t="s">
        <v>608</v>
      </c>
      <c r="C92" s="25"/>
      <c r="D92" s="6" t="s">
        <v>836</v>
      </c>
      <c r="E92" s="6" t="str">
        <f t="shared" si="23"/>
        <v>效果:提升命中率2%</v>
      </c>
      <c r="F92" s="15">
        <v>200203</v>
      </c>
    </row>
    <row r="93" ht="20.1" customHeight="1" spans="2:6">
      <c r="B93" s="15" t="s">
        <v>615</v>
      </c>
      <c r="C93" s="25"/>
      <c r="F93" s="15"/>
    </row>
    <row r="94" ht="20.1" customHeight="1" spans="2:14">
      <c r="B94" s="15" t="s">
        <v>617</v>
      </c>
      <c r="C94" s="25"/>
      <c r="D94" s="6" t="s">
        <v>837</v>
      </c>
      <c r="E94" s="6" t="str">
        <f t="shared" si="23"/>
        <v>效果:提升攻击穿透2%</v>
      </c>
      <c r="F94" s="15">
        <v>202203</v>
      </c>
      <c r="H94" s="15"/>
      <c r="I94" s="15"/>
      <c r="J94" s="15"/>
      <c r="K94" s="15"/>
      <c r="L94" s="15"/>
      <c r="M94" s="15"/>
      <c r="N94" s="15"/>
    </row>
    <row r="95" ht="20.1" customHeight="1" spans="2:14">
      <c r="B95" s="15" t="s">
        <v>622</v>
      </c>
      <c r="C95" s="25"/>
      <c r="D95" s="6" t="s">
        <v>838</v>
      </c>
      <c r="E95" s="6" t="str">
        <f t="shared" si="23"/>
        <v>效果:提升暴击率2%</v>
      </c>
      <c r="F95" s="15">
        <v>200103</v>
      </c>
      <c r="H95" s="15"/>
      <c r="I95" s="25">
        <f>1-J95</f>
        <v>-0.0493333333333332</v>
      </c>
      <c r="J95" s="25">
        <f>1574/1500</f>
        <v>1.04933333333333</v>
      </c>
      <c r="K95" s="15"/>
      <c r="L95" s="15">
        <v>0.72</v>
      </c>
      <c r="M95" s="15"/>
      <c r="N95" s="15"/>
    </row>
    <row r="96" ht="20.1" customHeight="1" spans="2:14">
      <c r="B96" s="15" t="s">
        <v>626</v>
      </c>
      <c r="C96" s="25"/>
      <c r="D96" s="6" t="s">
        <v>839</v>
      </c>
      <c r="E96" s="6" t="str">
        <f t="shared" si="23"/>
        <v>效果:提升抗暴率2%</v>
      </c>
      <c r="F96" s="15">
        <v>200403</v>
      </c>
      <c r="H96" s="15"/>
      <c r="I96" s="15">
        <v>1400</v>
      </c>
      <c r="J96" s="15">
        <f>I96-1200</f>
        <v>200</v>
      </c>
      <c r="K96" s="15"/>
      <c r="L96" s="15"/>
      <c r="M96" s="15"/>
      <c r="N96" s="15"/>
    </row>
    <row r="97" ht="20.1" customHeight="1" spans="2:14">
      <c r="B97" s="15" t="s">
        <v>631</v>
      </c>
      <c r="C97" s="25"/>
      <c r="D97" s="6" t="s">
        <v>840</v>
      </c>
      <c r="E97" s="6" t="str">
        <f t="shared" ref="E97" si="24">"效果:"&amp;D97</f>
        <v>效果:提升魔法穿透2%</v>
      </c>
      <c r="F97" s="15">
        <v>202303</v>
      </c>
      <c r="H97" s="15"/>
      <c r="I97" s="15"/>
      <c r="J97" s="15">
        <f>J96/600</f>
        <v>0.333333333333333</v>
      </c>
      <c r="K97" s="15"/>
      <c r="L97" s="15"/>
      <c r="M97" s="15"/>
      <c r="N97" s="15"/>
    </row>
    <row r="98" ht="20.1" customHeight="1" spans="2:14">
      <c r="B98" s="15" t="s">
        <v>634</v>
      </c>
      <c r="C98" s="25"/>
      <c r="D98" s="6" t="s">
        <v>841</v>
      </c>
      <c r="E98" s="6" t="str">
        <f t="shared" si="23"/>
        <v>效果:提升物理伤害加成2%</v>
      </c>
      <c r="F98" s="15">
        <v>200503</v>
      </c>
      <c r="H98" s="15"/>
      <c r="I98" s="15"/>
      <c r="J98" s="15">
        <f>0.8+J97</f>
        <v>1.13333333333333</v>
      </c>
      <c r="K98" s="15"/>
      <c r="L98" s="15"/>
      <c r="M98" s="15"/>
      <c r="N98" s="15"/>
    </row>
    <row r="99" ht="20.1" customHeight="1" spans="2:14">
      <c r="B99" s="15" t="s">
        <v>636</v>
      </c>
      <c r="C99" s="25"/>
      <c r="D99" s="6" t="s">
        <v>830</v>
      </c>
      <c r="E99" s="6" t="str">
        <f t="shared" si="23"/>
        <v>效果:提升自身攻击5%</v>
      </c>
      <c r="F99" s="15">
        <v>100402</v>
      </c>
      <c r="H99" s="15"/>
      <c r="I99" s="15"/>
      <c r="J99" s="15"/>
      <c r="K99" s="15"/>
      <c r="L99" s="25" t="s">
        <v>842</v>
      </c>
      <c r="M99" s="15"/>
      <c r="N99" s="15"/>
    </row>
    <row r="100" ht="20.1" customHeight="1" spans="10:10">
      <c r="J100" s="36">
        <f>1200/1500</f>
        <v>0.8</v>
      </c>
    </row>
    <row r="101" ht="20.1" customHeight="1"/>
    <row r="102" s="7" customFormat="1" ht="20.1" customHeight="1" spans="3:10">
      <c r="C102" s="6"/>
      <c r="D102" s="6"/>
      <c r="I102" s="6">
        <v>1100</v>
      </c>
      <c r="J102" s="6">
        <f>I102/1500</f>
        <v>0.733333333333333</v>
      </c>
    </row>
    <row r="103" s="7" customFormat="1" ht="20.1" customHeight="1" spans="3:10">
      <c r="C103" s="6"/>
      <c r="I103" s="6"/>
      <c r="J103" s="6">
        <f>J102/500</f>
        <v>0.00146666666666667</v>
      </c>
    </row>
    <row r="104" s="7" customFormat="1" ht="20.1" customHeight="1" spans="1:10">
      <c r="A104" s="6" t="s">
        <v>843</v>
      </c>
      <c r="B104" s="7" t="s">
        <v>844</v>
      </c>
      <c r="C104" s="6" t="s">
        <v>845</v>
      </c>
      <c r="D104" s="6" t="s">
        <v>846</v>
      </c>
      <c r="E104" s="6" t="s">
        <v>847</v>
      </c>
      <c r="F104" s="7" t="s">
        <v>848</v>
      </c>
      <c r="I104" s="6"/>
      <c r="J104" s="6">
        <f>0.8+J103</f>
        <v>0.801466666666667</v>
      </c>
    </row>
    <row r="105" s="7" customFormat="1" ht="20.1" customHeight="1" spans="2:6">
      <c r="B105" s="7" t="s">
        <v>849</v>
      </c>
      <c r="C105" s="6" t="s">
        <v>850</v>
      </c>
      <c r="D105" s="6" t="s">
        <v>851</v>
      </c>
      <c r="E105" s="6" t="s">
        <v>852</v>
      </c>
      <c r="F105" s="7" t="s">
        <v>853</v>
      </c>
    </row>
    <row r="106" s="7" customFormat="1" ht="20.1" customHeight="1" spans="2:10">
      <c r="B106" s="7" t="s">
        <v>854</v>
      </c>
      <c r="C106" s="6" t="s">
        <v>855</v>
      </c>
      <c r="D106" s="6" t="s">
        <v>856</v>
      </c>
      <c r="E106" s="6" t="s">
        <v>857</v>
      </c>
      <c r="J106" s="7">
        <f>1200/1500</f>
        <v>0.8</v>
      </c>
    </row>
    <row r="107" s="7" customFormat="1" ht="20.1" customHeight="1" spans="2:7">
      <c r="B107" s="7" t="s">
        <v>858</v>
      </c>
      <c r="C107" s="6" t="s">
        <v>859</v>
      </c>
      <c r="D107" s="6" t="s">
        <v>860</v>
      </c>
      <c r="E107" s="7" t="s">
        <v>861</v>
      </c>
      <c r="G107" s="7" t="s">
        <v>862</v>
      </c>
    </row>
    <row r="108" s="7" customFormat="1" ht="20.1" customHeight="1" spans="2:5">
      <c r="B108" s="7" t="s">
        <v>863</v>
      </c>
      <c r="C108" s="6" t="s">
        <v>864</v>
      </c>
      <c r="D108" s="6" t="s">
        <v>865</v>
      </c>
      <c r="E108" s="7" t="s">
        <v>866</v>
      </c>
    </row>
    <row r="109" s="7" customFormat="1" ht="20.1" customHeight="1" spans="2:7">
      <c r="B109" s="7" t="s">
        <v>867</v>
      </c>
      <c r="C109" s="6" t="s">
        <v>855</v>
      </c>
      <c r="D109" s="6" t="s">
        <v>868</v>
      </c>
      <c r="E109" s="7" t="s">
        <v>869</v>
      </c>
      <c r="G109" s="7" t="s">
        <v>281</v>
      </c>
    </row>
    <row r="110" s="7" customFormat="1" ht="20.1" customHeight="1" spans="3:7">
      <c r="C110" s="6"/>
      <c r="D110" s="6" t="s">
        <v>870</v>
      </c>
      <c r="G110" s="7" t="s">
        <v>871</v>
      </c>
    </row>
    <row r="111" s="7" customFormat="1" ht="20.1" customHeight="1" spans="3:7">
      <c r="C111" s="6"/>
      <c r="G111" s="7" t="s">
        <v>286</v>
      </c>
    </row>
    <row r="112" s="7" customFormat="1" ht="20.1" customHeight="1" spans="3:7">
      <c r="C112" s="6"/>
      <c r="G112" s="7" t="s">
        <v>872</v>
      </c>
    </row>
    <row r="113" s="7" customFormat="1" ht="20.1" customHeight="1" spans="2:7">
      <c r="B113" s="49" t="s">
        <v>873</v>
      </c>
      <c r="C113" s="48" t="s">
        <v>874</v>
      </c>
      <c r="D113" s="49" t="s">
        <v>875</v>
      </c>
      <c r="G113" s="7" t="s">
        <v>291</v>
      </c>
    </row>
    <row r="114" s="7" customFormat="1" ht="20.1" customHeight="1" spans="2:7">
      <c r="B114" s="49" t="s">
        <v>876</v>
      </c>
      <c r="C114" s="48" t="s">
        <v>877</v>
      </c>
      <c r="D114" s="49" t="s">
        <v>878</v>
      </c>
      <c r="G114" s="7" t="s">
        <v>293</v>
      </c>
    </row>
    <row r="115" s="7" customFormat="1" ht="20.1" customHeight="1" spans="2:7">
      <c r="B115" s="49" t="s">
        <v>879</v>
      </c>
      <c r="C115" s="48" t="s">
        <v>880</v>
      </c>
      <c r="D115" s="49" t="s">
        <v>881</v>
      </c>
      <c r="G115" s="7" t="s">
        <v>882</v>
      </c>
    </row>
    <row r="116" s="7" customFormat="1" ht="20.1" customHeight="1" spans="2:7">
      <c r="B116" s="49" t="s">
        <v>883</v>
      </c>
      <c r="C116" s="48" t="s">
        <v>884</v>
      </c>
      <c r="D116" s="49" t="s">
        <v>885</v>
      </c>
      <c r="G116" s="7" t="s">
        <v>886</v>
      </c>
    </row>
    <row r="117" s="7" customFormat="1" ht="20.1" customHeight="1" spans="2:7">
      <c r="B117" s="49" t="s">
        <v>887</v>
      </c>
      <c r="C117" s="48" t="s">
        <v>888</v>
      </c>
      <c r="D117" s="49" t="s">
        <v>889</v>
      </c>
      <c r="G117" s="7" t="s">
        <v>890</v>
      </c>
    </row>
    <row r="118" s="7" customFormat="1" ht="20.1" customHeight="1" spans="2:7">
      <c r="B118" s="49" t="s">
        <v>891</v>
      </c>
      <c r="C118" s="48" t="s">
        <v>892</v>
      </c>
      <c r="D118" s="49" t="s">
        <v>893</v>
      </c>
      <c r="G118" s="7" t="s">
        <v>302</v>
      </c>
    </row>
    <row r="119" s="7" customFormat="1" ht="20.1" customHeight="1" spans="2:7">
      <c r="B119" s="49" t="s">
        <v>894</v>
      </c>
      <c r="C119" s="48" t="s">
        <v>895</v>
      </c>
      <c r="D119" s="49" t="s">
        <v>896</v>
      </c>
      <c r="G119" s="7" t="s">
        <v>897</v>
      </c>
    </row>
    <row r="120" s="7" customFormat="1" ht="20.1" customHeight="1" spans="2:4">
      <c r="B120" s="49" t="s">
        <v>898</v>
      </c>
      <c r="C120" s="48" t="s">
        <v>899</v>
      </c>
      <c r="D120" s="49" t="s">
        <v>900</v>
      </c>
    </row>
    <row r="121" s="7" customFormat="1" ht="20.1" customHeight="1" spans="2:4">
      <c r="B121" s="49" t="s">
        <v>901</v>
      </c>
      <c r="C121" s="48" t="s">
        <v>902</v>
      </c>
      <c r="D121" s="49" t="s">
        <v>903</v>
      </c>
    </row>
    <row r="122" s="7" customFormat="1" ht="20.1" customHeight="1" spans="2:4">
      <c r="B122" s="49" t="s">
        <v>904</v>
      </c>
      <c r="C122" s="48" t="s">
        <v>905</v>
      </c>
      <c r="D122" s="49" t="s">
        <v>906</v>
      </c>
    </row>
    <row r="123" s="7" customFormat="1" ht="20.1" customHeight="1" spans="2:4">
      <c r="B123" s="49" t="s">
        <v>907</v>
      </c>
      <c r="C123" s="48" t="s">
        <v>908</v>
      </c>
      <c r="D123" s="49" t="s">
        <v>909</v>
      </c>
    </row>
    <row r="124" ht="20.1" customHeight="1" spans="2:4">
      <c r="B124" s="49" t="s">
        <v>910</v>
      </c>
      <c r="C124" s="48" t="s">
        <v>911</v>
      </c>
      <c r="D124" s="49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7" t="s">
        <v>913</v>
      </c>
    </row>
    <row r="130" ht="20.1" customHeight="1"/>
    <row r="131" s="6" customFormat="1" ht="20.1" customHeight="1"/>
    <row r="132" s="6" customFormat="1" ht="20.1" customHeight="1"/>
    <row r="133" s="6" customFormat="1" ht="20.1" customHeight="1" spans="2:2">
      <c r="B133" s="6" t="s">
        <v>914</v>
      </c>
    </row>
    <row r="134" s="6" customFormat="1" ht="20.1" customHeight="1" spans="2:5">
      <c r="B134" s="50" t="s">
        <v>915</v>
      </c>
      <c r="C134" s="6">
        <v>10000</v>
      </c>
      <c r="E134" s="6" t="s">
        <v>916</v>
      </c>
    </row>
    <row r="135" s="6" customFormat="1" ht="20.1" customHeight="1" spans="2:8">
      <c r="B135" s="50" t="s">
        <v>917</v>
      </c>
      <c r="C135" s="6">
        <v>20000</v>
      </c>
      <c r="E135" s="6" t="s">
        <v>918</v>
      </c>
      <c r="H135" s="6" t="s">
        <v>918</v>
      </c>
    </row>
    <row r="136" s="6" customFormat="1" ht="20.1" customHeight="1" spans="2:8">
      <c r="B136" s="50" t="s">
        <v>919</v>
      </c>
      <c r="E136" s="6" t="s">
        <v>920</v>
      </c>
      <c r="H136" s="6" t="s">
        <v>920</v>
      </c>
    </row>
    <row r="137" s="6" customFormat="1" ht="20.1" customHeight="1" spans="2:8">
      <c r="B137" s="50" t="s">
        <v>921</v>
      </c>
      <c r="E137" s="6" t="s">
        <v>922</v>
      </c>
      <c r="H137" s="6" t="s">
        <v>922</v>
      </c>
    </row>
    <row r="138" s="6" customFormat="1" ht="20.1" customHeight="1" spans="2:8">
      <c r="B138" s="50" t="s">
        <v>923</v>
      </c>
      <c r="E138" s="6" t="s">
        <v>924</v>
      </c>
      <c r="H138" s="6" t="s">
        <v>924</v>
      </c>
    </row>
    <row r="139" s="6" customFormat="1" ht="20.1" customHeight="1" spans="2:2">
      <c r="B139" s="50" t="s">
        <v>925</v>
      </c>
    </row>
    <row r="140" s="6" customFormat="1" ht="20.1" customHeight="1" spans="2:2">
      <c r="B140" s="50" t="s">
        <v>926</v>
      </c>
    </row>
    <row r="141" s="6" customFormat="1" ht="20.1" customHeight="1" spans="2:11">
      <c r="B141" s="50" t="s">
        <v>927</v>
      </c>
      <c r="H141" s="6" t="s">
        <v>916</v>
      </c>
      <c r="I141" s="6">
        <v>3</v>
      </c>
      <c r="J141" s="6">
        <v>5</v>
      </c>
      <c r="K141" s="6">
        <f>J141*I141</f>
        <v>15</v>
      </c>
    </row>
    <row r="142" s="6" customFormat="1" ht="20.1" customHeight="1" spans="2:11">
      <c r="B142" s="50" t="s">
        <v>928</v>
      </c>
      <c r="H142" s="6" t="s">
        <v>918</v>
      </c>
      <c r="I142" s="6">
        <v>3</v>
      </c>
      <c r="J142" s="6">
        <v>5</v>
      </c>
      <c r="K142" s="6">
        <f t="shared" ref="K142:K145" si="25">J142*I142</f>
        <v>15</v>
      </c>
    </row>
    <row r="143" s="6" customFormat="1" ht="20.1" customHeight="1" spans="2:11">
      <c r="B143" s="50" t="s">
        <v>929</v>
      </c>
      <c r="H143" s="6" t="s">
        <v>920</v>
      </c>
      <c r="I143" s="6">
        <v>3</v>
      </c>
      <c r="J143" s="6">
        <v>5</v>
      </c>
      <c r="K143" s="6">
        <f t="shared" si="25"/>
        <v>15</v>
      </c>
    </row>
    <row r="144" s="6" customFormat="1" ht="20.1" customHeight="1" spans="2:11">
      <c r="B144" s="50" t="s">
        <v>930</v>
      </c>
      <c r="H144" s="6" t="s">
        <v>922</v>
      </c>
      <c r="I144" s="6">
        <v>4</v>
      </c>
      <c r="J144" s="6">
        <v>5</v>
      </c>
      <c r="K144" s="6">
        <f t="shared" si="25"/>
        <v>20</v>
      </c>
    </row>
    <row r="145" s="6" customFormat="1" ht="20.1" customHeight="1" spans="2:11">
      <c r="B145" s="50" t="s">
        <v>931</v>
      </c>
      <c r="H145" s="6" t="s">
        <v>924</v>
      </c>
      <c r="I145" s="6">
        <v>4</v>
      </c>
      <c r="J145" s="6">
        <v>5</v>
      </c>
      <c r="K145" s="6">
        <f t="shared" si="25"/>
        <v>20</v>
      </c>
    </row>
    <row r="146" s="6" customFormat="1" ht="20.1" customHeight="1" spans="11:13">
      <c r="K146" s="6">
        <f>SUM(K141:K145)</f>
        <v>85</v>
      </c>
      <c r="L146" s="6">
        <f>K146/10</f>
        <v>8.5</v>
      </c>
      <c r="M146" s="6">
        <f>K146/5</f>
        <v>17</v>
      </c>
    </row>
    <row r="147" s="6" customFormat="1" ht="20.1" customHeight="1"/>
    <row r="148" s="6" customFormat="1" ht="20.1" customHeight="1" spans="8:15">
      <c r="H148" s="6" t="s">
        <v>918</v>
      </c>
      <c r="K148" s="6">
        <v>10</v>
      </c>
      <c r="L148" s="6">
        <f>K148*17</f>
        <v>170</v>
      </c>
      <c r="M148" s="6">
        <f>L148/10</f>
        <v>17</v>
      </c>
      <c r="O148" s="90" t="s">
        <v>932</v>
      </c>
    </row>
    <row r="149" s="6" customFormat="1" ht="20.1" customHeight="1" spans="2:17">
      <c r="B149" s="51" t="s">
        <v>933</v>
      </c>
      <c r="C149" s="51" t="s">
        <v>934</v>
      </c>
      <c r="D149" s="6" t="str">
        <f>B149&amp;"·"&amp;C149</f>
        <v>子鼠·破晓</v>
      </c>
      <c r="E149" s="6" t="s">
        <v>916</v>
      </c>
      <c r="F149" s="39">
        <v>105101</v>
      </c>
      <c r="H149" s="6" t="s">
        <v>922</v>
      </c>
      <c r="K149" s="6">
        <v>15</v>
      </c>
      <c r="L149" s="6">
        <f t="shared" ref="L149:L150" si="26">K149*17</f>
        <v>255</v>
      </c>
      <c r="M149" s="6">
        <f t="shared" ref="M149:M150" si="27">L149/10</f>
        <v>25.5</v>
      </c>
      <c r="O149" s="90" t="s">
        <v>935</v>
      </c>
      <c r="Q149" s="39" t="s">
        <v>916</v>
      </c>
    </row>
    <row r="150" s="6" customFormat="1" ht="20.1" customHeight="1" spans="2:17">
      <c r="B150" s="51" t="s">
        <v>936</v>
      </c>
      <c r="C150" s="51" t="s">
        <v>937</v>
      </c>
      <c r="D150" s="6" t="str">
        <f t="shared" ref="D150:D160" si="28">B150&amp;"·"&amp;C150</f>
        <v>丑牛·破风</v>
      </c>
      <c r="E150" s="6" t="s">
        <v>920</v>
      </c>
      <c r="F150" s="39">
        <v>105501</v>
      </c>
      <c r="H150" s="6" t="s">
        <v>924</v>
      </c>
      <c r="K150" s="6">
        <v>20</v>
      </c>
      <c r="L150" s="6">
        <f t="shared" si="26"/>
        <v>340</v>
      </c>
      <c r="M150" s="6">
        <f t="shared" si="27"/>
        <v>34</v>
      </c>
      <c r="O150" s="90" t="s">
        <v>938</v>
      </c>
      <c r="Q150" s="39" t="s">
        <v>918</v>
      </c>
    </row>
    <row r="151" s="6" customFormat="1" ht="20.1" customHeight="1" spans="2:17">
      <c r="B151" s="51" t="s">
        <v>939</v>
      </c>
      <c r="C151" s="51" t="s">
        <v>940</v>
      </c>
      <c r="D151" s="6" t="str">
        <f t="shared" si="28"/>
        <v>寅虎·破军</v>
      </c>
      <c r="E151" s="6" t="s">
        <v>918</v>
      </c>
      <c r="F151" s="39">
        <v>105301</v>
      </c>
      <c r="Q151" s="39" t="s">
        <v>920</v>
      </c>
    </row>
    <row r="152" s="6" customFormat="1" ht="20.1" customHeight="1" spans="2:17">
      <c r="B152" s="51" t="s">
        <v>941</v>
      </c>
      <c r="C152" s="50" t="s">
        <v>942</v>
      </c>
      <c r="D152" s="6" t="str">
        <f t="shared" si="28"/>
        <v>卯兔·洪流</v>
      </c>
      <c r="E152" s="6" t="s">
        <v>922</v>
      </c>
      <c r="F152" s="39">
        <v>105201</v>
      </c>
      <c r="L152" s="6">
        <f>SUM(L148:L150)</f>
        <v>765</v>
      </c>
      <c r="Q152" s="39" t="s">
        <v>924</v>
      </c>
    </row>
    <row r="153" s="6" customFormat="1" ht="20.1" customHeight="1" spans="2:17">
      <c r="B153" s="51" t="s">
        <v>943</v>
      </c>
      <c r="C153" s="50" t="s">
        <v>944</v>
      </c>
      <c r="D153" s="6" t="str">
        <f t="shared" si="28"/>
        <v>辰龙·挽歌</v>
      </c>
      <c r="E153" s="6" t="s">
        <v>945</v>
      </c>
      <c r="F153" s="39">
        <v>105501</v>
      </c>
      <c r="G153" s="39">
        <v>105401</v>
      </c>
      <c r="H153" s="6" t="s">
        <v>946</v>
      </c>
      <c r="J153" s="6" t="str">
        <f>F153&amp;","&amp;G153</f>
        <v>105501,105401</v>
      </c>
      <c r="Q153" s="39" t="s">
        <v>922</v>
      </c>
    </row>
    <row r="154" s="6" customFormat="1" ht="20.1" customHeight="1" spans="2:10">
      <c r="B154" s="51" t="s">
        <v>947</v>
      </c>
      <c r="C154" s="51" t="s">
        <v>948</v>
      </c>
      <c r="D154" s="6" t="str">
        <f t="shared" si="28"/>
        <v>巳蛇·逐风</v>
      </c>
      <c r="E154" s="6" t="s">
        <v>949</v>
      </c>
      <c r="F154" s="39">
        <v>105301</v>
      </c>
      <c r="G154" s="39">
        <v>105201</v>
      </c>
      <c r="H154" s="6" t="s">
        <v>945</v>
      </c>
      <c r="J154" s="6" t="str">
        <f t="shared" ref="J154:J160" si="29">F154&amp;","&amp;G154</f>
        <v>105301,105201</v>
      </c>
    </row>
    <row r="155" s="6" customFormat="1" ht="20.1" customHeight="1" spans="2:10">
      <c r="B155" s="51" t="s">
        <v>950</v>
      </c>
      <c r="C155" s="51" t="s">
        <v>951</v>
      </c>
      <c r="D155" s="6" t="str">
        <f t="shared" si="28"/>
        <v>午马·利刃</v>
      </c>
      <c r="E155" s="6" t="s">
        <v>952</v>
      </c>
      <c r="F155" s="39">
        <v>105101</v>
      </c>
      <c r="G155" s="39">
        <v>105401</v>
      </c>
      <c r="H155" s="6" t="s">
        <v>953</v>
      </c>
      <c r="J155" s="6" t="str">
        <f t="shared" si="29"/>
        <v>105101,105401</v>
      </c>
    </row>
    <row r="156" s="6" customFormat="1" ht="20.1" customHeight="1" spans="2:10">
      <c r="B156" s="51" t="s">
        <v>954</v>
      </c>
      <c r="C156" s="51" t="s">
        <v>955</v>
      </c>
      <c r="D156" s="6" t="str">
        <f t="shared" si="28"/>
        <v>未羊·战魂</v>
      </c>
      <c r="E156" s="6" t="s">
        <v>956</v>
      </c>
      <c r="F156" s="39">
        <v>105501</v>
      </c>
      <c r="G156" s="39">
        <v>105201</v>
      </c>
      <c r="H156" s="6" t="s">
        <v>918</v>
      </c>
      <c r="J156" s="6" t="str">
        <f t="shared" si="29"/>
        <v>105501,105201</v>
      </c>
    </row>
    <row r="157" s="6" customFormat="1" ht="20.1" customHeight="1" spans="2:8">
      <c r="B157" s="51" t="s">
        <v>957</v>
      </c>
      <c r="C157" s="51" t="s">
        <v>958</v>
      </c>
      <c r="D157" s="6" t="str">
        <f t="shared" si="28"/>
        <v>申猴·清风</v>
      </c>
      <c r="E157" s="6" t="s">
        <v>924</v>
      </c>
      <c r="F157" s="39">
        <v>105401</v>
      </c>
      <c r="H157" s="6" t="s">
        <v>959</v>
      </c>
    </row>
    <row r="158" s="6" customFormat="1" ht="20.1" customHeight="1" spans="2:10">
      <c r="B158" s="51" t="s">
        <v>960</v>
      </c>
      <c r="C158" s="51" t="s">
        <v>961</v>
      </c>
      <c r="D158" s="6" t="str">
        <f t="shared" si="28"/>
        <v>酉鸡·天刺</v>
      </c>
      <c r="E158" s="6" t="s">
        <v>962</v>
      </c>
      <c r="F158" s="39">
        <v>105101</v>
      </c>
      <c r="G158" s="39">
        <v>105201</v>
      </c>
      <c r="H158" s="6" t="s">
        <v>918</v>
      </c>
      <c r="J158" s="6" t="str">
        <f t="shared" si="29"/>
        <v>105101,105201</v>
      </c>
    </row>
    <row r="159" s="6" customFormat="1" ht="20.1" customHeight="1" spans="2:10">
      <c r="B159" s="51" t="s">
        <v>963</v>
      </c>
      <c r="C159" s="51" t="s">
        <v>964</v>
      </c>
      <c r="D159" s="6" t="str">
        <f t="shared" si="28"/>
        <v>戌狗·惊鸿</v>
      </c>
      <c r="E159" s="6" t="s">
        <v>959</v>
      </c>
      <c r="F159" s="39">
        <v>105501</v>
      </c>
      <c r="G159" s="39">
        <v>105301</v>
      </c>
      <c r="H159" s="6" t="s">
        <v>922</v>
      </c>
      <c r="J159" s="6" t="str">
        <f t="shared" si="29"/>
        <v>105501,105301</v>
      </c>
    </row>
    <row r="160" s="6" customFormat="1" ht="20.1" customHeight="1" spans="2:10">
      <c r="B160" s="51" t="s">
        <v>965</v>
      </c>
      <c r="C160" s="51" t="s">
        <v>966</v>
      </c>
      <c r="D160" s="6" t="str">
        <f t="shared" si="28"/>
        <v>亥猪·寒裂</v>
      </c>
      <c r="E160" s="6" t="s">
        <v>967</v>
      </c>
      <c r="F160" s="39">
        <v>105301</v>
      </c>
      <c r="G160" s="39">
        <v>105401</v>
      </c>
      <c r="H160" s="6" t="s">
        <v>924</v>
      </c>
      <c r="J160" s="6" t="str">
        <f t="shared" si="29"/>
        <v>105301,105401</v>
      </c>
    </row>
    <row r="161" ht="20.1" customHeight="1" spans="2:4">
      <c r="B161" s="6"/>
      <c r="C161" s="6"/>
      <c r="D161" s="6"/>
    </row>
    <row r="162" ht="20.1" customHeight="1" spans="2:4">
      <c r="B162" s="6"/>
      <c r="C162" s="6"/>
      <c r="D162" s="6"/>
    </row>
    <row r="163" ht="20.1" customHeight="1" spans="2:8">
      <c r="B163" s="51" t="s">
        <v>933</v>
      </c>
      <c r="C163" s="51" t="s">
        <v>968</v>
      </c>
      <c r="D163" s="6" t="str">
        <f>B163&amp;"·"&amp;C163</f>
        <v>子鼠·天启</v>
      </c>
      <c r="H163" s="6" t="s">
        <v>969</v>
      </c>
    </row>
    <row r="164" ht="20.1" customHeight="1" spans="2:8">
      <c r="B164" s="51" t="s">
        <v>936</v>
      </c>
      <c r="C164" s="50" t="s">
        <v>970</v>
      </c>
      <c r="D164" s="6" t="str">
        <f t="shared" ref="D164:D174" si="30">B164&amp;"·"&amp;C164</f>
        <v>丑牛·天正</v>
      </c>
      <c r="E164" s="36"/>
      <c r="H164" s="6" t="s">
        <v>971</v>
      </c>
    </row>
    <row r="165" ht="20.1" customHeight="1" spans="2:8">
      <c r="B165" s="51" t="s">
        <v>939</v>
      </c>
      <c r="C165" s="51" t="s">
        <v>972</v>
      </c>
      <c r="D165" s="6" t="str">
        <f t="shared" si="30"/>
        <v>寅虎·天罡</v>
      </c>
      <c r="H165" s="6" t="s">
        <v>973</v>
      </c>
    </row>
    <row r="166" ht="20.1" customHeight="1" spans="2:8">
      <c r="B166" s="51" t="s">
        <v>941</v>
      </c>
      <c r="C166" s="50" t="s">
        <v>974</v>
      </c>
      <c r="D166" s="6" t="str">
        <f t="shared" si="30"/>
        <v>卯兔·白鸿</v>
      </c>
      <c r="H166" s="6" t="s">
        <v>975</v>
      </c>
    </row>
    <row r="167" ht="20.1" customHeight="1" spans="2:8">
      <c r="B167" s="51" t="s">
        <v>943</v>
      </c>
      <c r="C167" s="51" t="s">
        <v>976</v>
      </c>
      <c r="D167" s="6" t="str">
        <f t="shared" si="30"/>
        <v>辰龙·紫金</v>
      </c>
      <c r="H167" s="6" t="s">
        <v>977</v>
      </c>
    </row>
    <row r="168" ht="20.1" customHeight="1" spans="2:8">
      <c r="B168" s="51" t="s">
        <v>947</v>
      </c>
      <c r="C168" s="51" t="s">
        <v>978</v>
      </c>
      <c r="D168" s="6" t="str">
        <f t="shared" si="30"/>
        <v>巳蛇·修罗</v>
      </c>
      <c r="H168" s="6" t="s">
        <v>979</v>
      </c>
    </row>
    <row r="169" ht="20.1" customHeight="1" spans="2:8">
      <c r="B169" s="51" t="s">
        <v>950</v>
      </c>
      <c r="C169" s="51" t="s">
        <v>980</v>
      </c>
      <c r="D169" s="6" t="str">
        <f t="shared" si="30"/>
        <v>午马·金甲</v>
      </c>
      <c r="H169" s="6" t="s">
        <v>981</v>
      </c>
    </row>
    <row r="170" ht="20.1" customHeight="1" spans="2:8">
      <c r="B170" s="51" t="s">
        <v>954</v>
      </c>
      <c r="C170" s="51" t="s">
        <v>982</v>
      </c>
      <c r="D170" s="6" t="str">
        <f t="shared" si="30"/>
        <v>未羊·苍穹</v>
      </c>
      <c r="H170" s="6" t="s">
        <v>983</v>
      </c>
    </row>
    <row r="171" ht="20.1" customHeight="1" spans="2:8">
      <c r="B171" s="51" t="s">
        <v>957</v>
      </c>
      <c r="C171" s="51" t="s">
        <v>984</v>
      </c>
      <c r="D171" s="6" t="str">
        <f t="shared" si="30"/>
        <v>申猴·龙牙</v>
      </c>
      <c r="H171" s="6" t="s">
        <v>985</v>
      </c>
    </row>
    <row r="172" ht="20.1" customHeight="1" spans="2:8">
      <c r="B172" s="51" t="s">
        <v>960</v>
      </c>
      <c r="C172" s="51" t="s">
        <v>986</v>
      </c>
      <c r="D172" s="6" t="str">
        <f t="shared" si="30"/>
        <v>酉鸡·漠灵</v>
      </c>
      <c r="H172" s="6" t="s">
        <v>987</v>
      </c>
    </row>
    <row r="173" ht="20.1" customHeight="1" spans="2:8">
      <c r="B173" s="51" t="s">
        <v>963</v>
      </c>
      <c r="C173" s="51" t="s">
        <v>988</v>
      </c>
      <c r="D173" s="6" t="str">
        <f t="shared" si="30"/>
        <v>戌狗·无尽</v>
      </c>
      <c r="H173" s="6" t="s">
        <v>989</v>
      </c>
    </row>
    <row r="174" ht="20.1" customHeight="1" spans="2:8">
      <c r="B174" s="51" t="s">
        <v>965</v>
      </c>
      <c r="C174" s="51" t="s">
        <v>990</v>
      </c>
      <c r="D174" s="6" t="str">
        <f t="shared" si="30"/>
        <v>亥猪·焚天</v>
      </c>
      <c r="H174" s="6" t="s">
        <v>991</v>
      </c>
    </row>
    <row r="175" ht="20.1" customHeight="1"/>
    <row r="176" ht="20.1" customHeight="1"/>
    <row r="177" ht="20.1" customHeight="1"/>
    <row r="178" ht="20.1" customHeight="1" spans="5:5">
      <c r="E178" s="6"/>
    </row>
    <row r="179" ht="20.1" customHeight="1" spans="4:7">
      <c r="D179" s="6"/>
      <c r="E179" s="4"/>
      <c r="F179" s="6"/>
      <c r="G179" s="6"/>
    </row>
    <row r="180" ht="20.1" customHeight="1" spans="2:7">
      <c r="B180" s="52">
        <v>10010037</v>
      </c>
      <c r="C180" s="53" t="s">
        <v>992</v>
      </c>
      <c r="D180" s="6"/>
      <c r="E180" s="7" t="s">
        <v>485</v>
      </c>
      <c r="F180" s="6"/>
      <c r="G180" s="6"/>
    </row>
    <row r="181" ht="20.1" customHeight="1" spans="4:7">
      <c r="D181" s="15"/>
      <c r="E181" s="7" t="s">
        <v>993</v>
      </c>
      <c r="F181" s="6">
        <v>1</v>
      </c>
      <c r="G181" s="6">
        <v>2</v>
      </c>
    </row>
    <row r="182" ht="20.1" customHeight="1" spans="2:7">
      <c r="B182" s="6" t="s">
        <v>994</v>
      </c>
      <c r="C182" s="15">
        <v>3</v>
      </c>
      <c r="E182" s="7" t="s">
        <v>995</v>
      </c>
      <c r="F182" s="6">
        <v>1.5</v>
      </c>
      <c r="G182" s="6">
        <v>3</v>
      </c>
    </row>
    <row r="183" ht="20.1" customHeight="1" spans="5:7">
      <c r="E183" s="7" t="s">
        <v>996</v>
      </c>
      <c r="F183" s="6">
        <v>2</v>
      </c>
      <c r="G183" s="6">
        <v>4</v>
      </c>
    </row>
    <row r="184" ht="20.1" customHeight="1" spans="5:7">
      <c r="E184" s="7"/>
      <c r="F184" s="6"/>
      <c r="G184" s="6"/>
    </row>
    <row r="185" ht="20.1" customHeight="1" spans="2:5">
      <c r="B185" s="6" t="s">
        <v>997</v>
      </c>
      <c r="C185" s="6"/>
      <c r="E185" s="7"/>
    </row>
    <row r="186" ht="20.1" customHeight="1" spans="2:3">
      <c r="B186" s="6">
        <v>1</v>
      </c>
      <c r="C186" s="6">
        <v>3</v>
      </c>
    </row>
    <row r="187" ht="20.1" customHeight="1" spans="2:3">
      <c r="B187" s="6">
        <v>2</v>
      </c>
      <c r="C187" s="6">
        <v>10</v>
      </c>
    </row>
    <row r="188" ht="20.1" customHeight="1" spans="2:3">
      <c r="B188" s="6">
        <v>3</v>
      </c>
      <c r="C188" s="6">
        <v>25</v>
      </c>
    </row>
    <row r="189" ht="20.1" customHeight="1" spans="1:7">
      <c r="A189" s="4"/>
      <c r="B189" s="4"/>
      <c r="C189" s="6"/>
      <c r="D189" s="4"/>
      <c r="E189" s="4"/>
      <c r="F189" s="4"/>
      <c r="G189" s="6" t="s">
        <v>998</v>
      </c>
    </row>
    <row r="190" ht="20.1" customHeight="1" spans="1:6">
      <c r="A190" s="4"/>
      <c r="B190" s="6" t="s">
        <v>999</v>
      </c>
      <c r="C190" s="6"/>
      <c r="D190" s="4"/>
      <c r="E190" s="6"/>
      <c r="F190" s="4"/>
    </row>
    <row r="191" ht="20.1" customHeight="1" spans="1:6">
      <c r="A191" s="4"/>
      <c r="B191" s="6">
        <v>1</v>
      </c>
      <c r="C191" s="6">
        <v>12</v>
      </c>
      <c r="D191" s="6">
        <f>C191/3</f>
        <v>4</v>
      </c>
      <c r="E191" s="4"/>
      <c r="F191" s="4"/>
    </row>
    <row r="192" ht="20.1" customHeight="1" spans="1:6">
      <c r="A192" s="4"/>
      <c r="B192" s="6">
        <v>2</v>
      </c>
      <c r="C192" s="6">
        <v>36</v>
      </c>
      <c r="D192" s="6">
        <f t="shared" ref="D192:D193" si="31">C192/3</f>
        <v>12</v>
      </c>
      <c r="E192" s="4"/>
      <c r="F192" s="4"/>
    </row>
    <row r="193" ht="20.1" customHeight="1" spans="1:6">
      <c r="A193" s="4"/>
      <c r="B193" s="6">
        <v>3</v>
      </c>
      <c r="C193" s="6">
        <f>C192*3</f>
        <v>108</v>
      </c>
      <c r="D193" s="6">
        <f t="shared" si="31"/>
        <v>36</v>
      </c>
      <c r="E193" s="4"/>
      <c r="F193" s="4"/>
    </row>
    <row r="194" ht="20.1" customHeight="1" spans="1:6">
      <c r="A194" s="4"/>
      <c r="B194" s="4"/>
      <c r="C194" s="6"/>
      <c r="D194" s="4"/>
      <c r="E194" s="4"/>
      <c r="F194" s="4"/>
    </row>
    <row r="195" ht="20.1" customHeight="1"/>
    <row r="196" ht="20.1" customHeight="1" spans="2:2">
      <c r="B196" s="6">
        <v>10</v>
      </c>
    </row>
    <row r="197" ht="20.1" customHeight="1" spans="2:2">
      <c r="B197" s="6">
        <v>30</v>
      </c>
    </row>
    <row r="198" ht="20.1" customHeight="1" spans="2:2">
      <c r="B198" s="6">
        <v>100</v>
      </c>
    </row>
    <row r="199" ht="20.1" customHeight="1"/>
    <row r="200" ht="20.1" customHeight="1" spans="2:4">
      <c r="B200" s="6" t="s">
        <v>1000</v>
      </c>
      <c r="C200" s="6" t="s">
        <v>1001</v>
      </c>
      <c r="D200" s="6"/>
    </row>
    <row r="201" ht="20.1" customHeight="1" spans="2:5">
      <c r="B201" s="6" t="s">
        <v>1002</v>
      </c>
      <c r="C201" s="6">
        <f>4*3*1.5+3*3</f>
        <v>27</v>
      </c>
      <c r="D201" s="6"/>
      <c r="E201">
        <f>3*3*2</f>
        <v>18</v>
      </c>
    </row>
    <row r="202" ht="20.1" customHeight="1" spans="2:4">
      <c r="B202" s="6">
        <v>1</v>
      </c>
      <c r="C202" s="6">
        <v>0.08</v>
      </c>
      <c r="D202" s="6">
        <f>C202*C201</f>
        <v>2.16</v>
      </c>
    </row>
    <row r="203" ht="20.1" customHeight="1" spans="2:4">
      <c r="B203" s="6">
        <v>2</v>
      </c>
      <c r="C203" s="6">
        <v>0.01</v>
      </c>
      <c r="D203" s="6">
        <f>C203*C201</f>
        <v>0.27</v>
      </c>
    </row>
    <row r="204" ht="20.1" customHeight="1" spans="2:4">
      <c r="B204" s="6" t="s">
        <v>1003</v>
      </c>
      <c r="C204" s="6">
        <v>0.3</v>
      </c>
      <c r="D204" s="6">
        <f>C201*C204/10</f>
        <v>0.81</v>
      </c>
    </row>
    <row r="205" ht="20.1" customHeight="1"/>
    <row r="206" ht="20.1" customHeight="1" spans="2:4">
      <c r="B206" s="52">
        <v>10010037</v>
      </c>
      <c r="C206" s="53" t="s">
        <v>992</v>
      </c>
      <c r="D206" s="6">
        <v>0.3</v>
      </c>
    </row>
    <row r="207" ht="20.1" customHeight="1" spans="2:4">
      <c r="B207" s="37">
        <v>16000101</v>
      </c>
      <c r="C207" s="38" t="s">
        <v>915</v>
      </c>
      <c r="D207" s="6">
        <v>0.08</v>
      </c>
    </row>
    <row r="208" ht="20.1" customHeight="1" spans="2:4">
      <c r="B208" s="37">
        <v>16000102</v>
      </c>
      <c r="C208" s="38" t="s">
        <v>917</v>
      </c>
      <c r="D208" s="6">
        <v>0.08</v>
      </c>
    </row>
    <row r="209" ht="20.1" customHeight="1" spans="2:8">
      <c r="B209" s="37">
        <v>16000103</v>
      </c>
      <c r="C209" s="38" t="s">
        <v>919</v>
      </c>
      <c r="D209" s="6">
        <v>0.08</v>
      </c>
      <c r="G209">
        <v>1380</v>
      </c>
      <c r="H209">
        <v>1500</v>
      </c>
    </row>
    <row r="210" ht="20.1" customHeight="1" spans="2:7">
      <c r="B210" s="37">
        <v>16000104</v>
      </c>
      <c r="C210" s="38" t="s">
        <v>921</v>
      </c>
      <c r="D210" s="6">
        <v>0.08</v>
      </c>
      <c r="G210">
        <v>1400</v>
      </c>
    </row>
    <row r="211" ht="20.1" customHeight="1" spans="2:7">
      <c r="B211" s="37">
        <v>16000105</v>
      </c>
      <c r="C211" s="38" t="s">
        <v>923</v>
      </c>
      <c r="D211" s="6">
        <v>0.08</v>
      </c>
      <c r="G211">
        <v>1400</v>
      </c>
    </row>
    <row r="212" ht="20.1" customHeight="1" spans="2:4">
      <c r="B212" s="37">
        <v>16000106</v>
      </c>
      <c r="C212" s="38" t="s">
        <v>925</v>
      </c>
      <c r="D212" s="6">
        <v>0.08</v>
      </c>
    </row>
    <row r="213" ht="20.1" customHeight="1" spans="2:8">
      <c r="B213" s="37">
        <v>16000107</v>
      </c>
      <c r="C213" s="38" t="s">
        <v>926</v>
      </c>
      <c r="D213" s="6">
        <v>0.08</v>
      </c>
      <c r="G213">
        <v>1400</v>
      </c>
      <c r="H213">
        <v>1380</v>
      </c>
    </row>
    <row r="214" ht="20.1" customHeight="1" spans="2:4">
      <c r="B214" s="37">
        <v>16000108</v>
      </c>
      <c r="C214" s="38" t="s">
        <v>927</v>
      </c>
      <c r="D214" s="6">
        <v>0.08</v>
      </c>
    </row>
    <row r="215" ht="20.1" customHeight="1" spans="2:4">
      <c r="B215" s="37">
        <v>16000109</v>
      </c>
      <c r="C215" s="38" t="s">
        <v>928</v>
      </c>
      <c r="D215" s="6">
        <v>0.08</v>
      </c>
    </row>
    <row r="216" ht="20.1" customHeight="1" spans="2:4">
      <c r="B216" s="37">
        <v>16000110</v>
      </c>
      <c r="C216" s="38" t="s">
        <v>929</v>
      </c>
      <c r="D216" s="6">
        <v>0.08</v>
      </c>
    </row>
    <row r="217" ht="20.1" customHeight="1" spans="2:4">
      <c r="B217" s="37">
        <v>16000111</v>
      </c>
      <c r="C217" s="38" t="s">
        <v>930</v>
      </c>
      <c r="D217" s="6">
        <v>0.08</v>
      </c>
    </row>
    <row r="218" ht="20.1" customHeight="1" spans="2:4">
      <c r="B218" s="37">
        <v>16000112</v>
      </c>
      <c r="C218" s="38" t="s">
        <v>931</v>
      </c>
      <c r="D218" s="6">
        <v>0.08</v>
      </c>
    </row>
    <row r="219" ht="20.1" customHeight="1" spans="2:4">
      <c r="B219" s="37">
        <v>16000201</v>
      </c>
      <c r="C219" s="38" t="s">
        <v>1004</v>
      </c>
      <c r="D219" s="6">
        <v>0.015</v>
      </c>
    </row>
    <row r="220" ht="20.1" customHeight="1" spans="2:4">
      <c r="B220" s="37">
        <v>16000202</v>
      </c>
      <c r="C220" s="38" t="s">
        <v>1005</v>
      </c>
      <c r="D220" s="6">
        <v>0.015</v>
      </c>
    </row>
    <row r="221" ht="20.1" customHeight="1" spans="2:4">
      <c r="B221" s="37">
        <v>16000203</v>
      </c>
      <c r="C221" s="38" t="s">
        <v>1006</v>
      </c>
      <c r="D221" s="6">
        <v>0.015</v>
      </c>
    </row>
    <row r="222" ht="20.1" customHeight="1" spans="2:4">
      <c r="B222" s="37">
        <v>16000204</v>
      </c>
      <c r="C222" s="38" t="s">
        <v>1007</v>
      </c>
      <c r="D222" s="6">
        <v>0.015</v>
      </c>
    </row>
    <row r="223" ht="20.1" customHeight="1" spans="2:4">
      <c r="B223" s="37">
        <v>16000205</v>
      </c>
      <c r="C223" s="38" t="s">
        <v>1008</v>
      </c>
      <c r="D223" s="6">
        <v>0.015</v>
      </c>
    </row>
    <row r="224" ht="20.1" customHeight="1" spans="2:4">
      <c r="B224" s="37">
        <v>16000206</v>
      </c>
      <c r="C224" s="38" t="s">
        <v>1009</v>
      </c>
      <c r="D224" s="6">
        <v>0.015</v>
      </c>
    </row>
    <row r="225" ht="20.1" customHeight="1" spans="2:4">
      <c r="B225" s="37">
        <v>16000207</v>
      </c>
      <c r="C225" s="38" t="s">
        <v>1010</v>
      </c>
      <c r="D225" s="6">
        <v>0.015</v>
      </c>
    </row>
    <row r="226" ht="20.1" customHeight="1" spans="2:4">
      <c r="B226" s="37">
        <v>16000208</v>
      </c>
      <c r="C226" s="38" t="s">
        <v>1011</v>
      </c>
      <c r="D226" s="6">
        <v>0.015</v>
      </c>
    </row>
    <row r="227" ht="20.1" customHeight="1" spans="2:4">
      <c r="B227" s="37">
        <v>16000209</v>
      </c>
      <c r="C227" s="38" t="s">
        <v>1012</v>
      </c>
      <c r="D227" s="6">
        <v>0.015</v>
      </c>
    </row>
    <row r="228" ht="20.1" customHeight="1" spans="2:4">
      <c r="B228" s="37">
        <v>16000210</v>
      </c>
      <c r="C228" s="38" t="s">
        <v>1013</v>
      </c>
      <c r="D228" s="6">
        <v>0.015</v>
      </c>
    </row>
    <row r="229" ht="20.1" customHeight="1" spans="2:4">
      <c r="B229" s="37">
        <v>16000211</v>
      </c>
      <c r="C229" s="38" t="s">
        <v>1014</v>
      </c>
      <c r="D229" s="6">
        <v>0.015</v>
      </c>
    </row>
    <row r="230" ht="20.1" customHeight="1" spans="2:4">
      <c r="B230" s="37">
        <v>16000212</v>
      </c>
      <c r="C230" s="38" t="s">
        <v>1015</v>
      </c>
      <c r="D230" s="6">
        <v>0.015</v>
      </c>
    </row>
    <row r="231" ht="20.1" customHeight="1" spans="2:3">
      <c r="B231" s="37">
        <v>16000301</v>
      </c>
      <c r="C231" s="38" t="s">
        <v>1016</v>
      </c>
    </row>
    <row r="232" ht="20.1" customHeight="1" spans="2:3">
      <c r="B232" s="37">
        <v>16000302</v>
      </c>
      <c r="C232" s="38" t="s">
        <v>1017</v>
      </c>
    </row>
    <row r="233" ht="20.1" customHeight="1" spans="2:3">
      <c r="B233" s="37">
        <v>16000303</v>
      </c>
      <c r="C233" s="38" t="s">
        <v>1018</v>
      </c>
    </row>
    <row r="234" ht="20.1" customHeight="1" spans="2:3">
      <c r="B234" s="37">
        <v>16000304</v>
      </c>
      <c r="C234" s="38" t="s">
        <v>1019</v>
      </c>
    </row>
    <row r="235" ht="20.1" customHeight="1" spans="2:3">
      <c r="B235" s="37">
        <v>16000305</v>
      </c>
      <c r="C235" s="38" t="s">
        <v>1020</v>
      </c>
    </row>
    <row r="236" ht="20.1" customHeight="1" spans="2:3">
      <c r="B236" s="37">
        <v>16000306</v>
      </c>
      <c r="C236" s="38" t="s">
        <v>1021</v>
      </c>
    </row>
    <row r="237" ht="20.1" customHeight="1" spans="2:3">
      <c r="B237" s="37">
        <v>16000307</v>
      </c>
      <c r="C237" s="38" t="s">
        <v>1022</v>
      </c>
    </row>
    <row r="238" ht="20.1" customHeight="1" spans="2:3">
      <c r="B238" s="37">
        <v>16000308</v>
      </c>
      <c r="C238" s="38" t="s">
        <v>1023</v>
      </c>
    </row>
    <row r="239" ht="20.1" customHeight="1" spans="2:3">
      <c r="B239" s="37">
        <v>16000309</v>
      </c>
      <c r="C239" s="38" t="s">
        <v>1024</v>
      </c>
    </row>
    <row r="240" ht="20.1" customHeight="1" spans="2:3">
      <c r="B240" s="37">
        <v>16000310</v>
      </c>
      <c r="C240" s="38" t="s">
        <v>1025</v>
      </c>
    </row>
    <row r="241" ht="20.1" customHeight="1" spans="2:3">
      <c r="B241" s="37">
        <v>16000311</v>
      </c>
      <c r="C241" s="38" t="s">
        <v>1026</v>
      </c>
    </row>
    <row r="242" ht="20.1" customHeight="1" spans="2:3">
      <c r="B242" s="37">
        <v>16000312</v>
      </c>
      <c r="C242" s="38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92"/>
  <sheetViews>
    <sheetView topLeftCell="A31" workbookViewId="0">
      <selection activeCell="I39" sqref="I39"/>
    </sheetView>
  </sheetViews>
  <sheetFormatPr defaultColWidth="9" defaultRowHeight="14.25"/>
  <cols>
    <col min="7" max="7" width="9" style="6"/>
    <col min="8" max="8" width="10.125" customWidth="1"/>
  </cols>
  <sheetData>
    <row r="1" ht="20.1" customHeight="1"/>
    <row r="2" ht="20.1" customHeight="1" spans="19:23">
      <c r="S2" s="6"/>
      <c r="T2" s="6"/>
      <c r="U2" s="6"/>
      <c r="V2" s="6"/>
      <c r="W2" s="6"/>
    </row>
    <row r="3" ht="20.1" customHeight="1" spans="2:23">
      <c r="B3" s="25" t="s">
        <v>1028</v>
      </c>
      <c r="S3" s="6"/>
      <c r="T3" s="6" t="s">
        <v>2</v>
      </c>
      <c r="U3" s="6" t="s">
        <v>3</v>
      </c>
      <c r="V3" s="6" t="s">
        <v>12</v>
      </c>
      <c r="W3" s="6"/>
    </row>
    <row r="4" ht="20.1" customHeight="1" spans="13:23">
      <c r="M4" s="6"/>
      <c r="S4" s="6"/>
      <c r="T4" s="6">
        <v>21000</v>
      </c>
      <c r="U4" s="6">
        <v>1000</v>
      </c>
      <c r="V4" s="6">
        <v>300</v>
      </c>
      <c r="W4" s="6"/>
    </row>
    <row r="5" ht="20.1" customHeight="1" spans="2:23">
      <c r="B5" s="37">
        <v>14010004</v>
      </c>
      <c r="C5" s="38" t="s">
        <v>1029</v>
      </c>
      <c r="D5" s="38">
        <v>3</v>
      </c>
      <c r="E5" s="39" t="s">
        <v>28</v>
      </c>
      <c r="F5" s="39">
        <v>100603</v>
      </c>
      <c r="G5" s="39">
        <v>15</v>
      </c>
      <c r="H5" t="str">
        <f>F5&amp;","&amp;G5</f>
        <v>100603,15</v>
      </c>
      <c r="J5" s="6">
        <v>100</v>
      </c>
      <c r="M5" s="6">
        <v>100</v>
      </c>
      <c r="P5" s="39" t="s">
        <v>354</v>
      </c>
      <c r="Q5" s="39">
        <v>100203</v>
      </c>
      <c r="S5" s="6"/>
      <c r="T5" s="6"/>
      <c r="U5" s="6"/>
      <c r="V5" s="6"/>
      <c r="W5" s="6"/>
    </row>
    <row r="6" ht="20.1" customHeight="1" spans="2:24">
      <c r="B6" s="37">
        <v>14010008</v>
      </c>
      <c r="C6" s="38" t="s">
        <v>1030</v>
      </c>
      <c r="D6" s="38">
        <v>3</v>
      </c>
      <c r="E6" s="39" t="s">
        <v>397</v>
      </c>
      <c r="F6" s="39">
        <v>119303</v>
      </c>
      <c r="G6" s="39">
        <v>12</v>
      </c>
      <c r="H6" t="str">
        <f t="shared" ref="H6:H39" si="0">F6&amp;","&amp;G6</f>
        <v>119303,12</v>
      </c>
      <c r="J6" s="6">
        <v>150</v>
      </c>
      <c r="M6" s="6">
        <v>30</v>
      </c>
      <c r="P6" s="39" t="s">
        <v>3</v>
      </c>
      <c r="Q6" s="39">
        <v>100403</v>
      </c>
      <c r="S6" s="6"/>
      <c r="T6" s="6">
        <v>1000</v>
      </c>
      <c r="U6" s="6">
        <v>100</v>
      </c>
      <c r="V6" s="6">
        <v>30</v>
      </c>
      <c r="W6" s="6">
        <v>1</v>
      </c>
      <c r="X6" s="6">
        <v>30</v>
      </c>
    </row>
    <row r="7" ht="20.1" customHeight="1" spans="2:23">
      <c r="B7" s="37">
        <v>14010012</v>
      </c>
      <c r="C7" s="38" t="s">
        <v>1031</v>
      </c>
      <c r="D7" s="38">
        <v>3</v>
      </c>
      <c r="E7" s="39" t="s">
        <v>354</v>
      </c>
      <c r="F7" s="39">
        <v>100203</v>
      </c>
      <c r="G7" s="39">
        <v>200</v>
      </c>
      <c r="H7" t="str">
        <f t="shared" si="0"/>
        <v>100203,200</v>
      </c>
      <c r="J7" s="6">
        <v>200</v>
      </c>
      <c r="M7" s="6">
        <v>30</v>
      </c>
      <c r="P7" s="39" t="s">
        <v>28</v>
      </c>
      <c r="Q7" s="39">
        <v>100603</v>
      </c>
      <c r="S7" s="6"/>
      <c r="T7" s="6"/>
      <c r="U7" s="6">
        <v>150</v>
      </c>
      <c r="V7" s="6">
        <v>45</v>
      </c>
      <c r="W7" s="6">
        <v>1.5</v>
      </c>
    </row>
    <row r="8" ht="20.1" customHeight="1" spans="2:23">
      <c r="B8" s="37">
        <v>14020004</v>
      </c>
      <c r="C8" s="38" t="s">
        <v>1032</v>
      </c>
      <c r="D8" s="38">
        <v>3</v>
      </c>
      <c r="E8" s="39" t="s">
        <v>401</v>
      </c>
      <c r="F8" s="39">
        <v>119403</v>
      </c>
      <c r="G8" s="39">
        <v>12</v>
      </c>
      <c r="H8" t="str">
        <f t="shared" si="0"/>
        <v>119403,12</v>
      </c>
      <c r="J8" s="6">
        <v>250</v>
      </c>
      <c r="M8" s="6">
        <v>1000</v>
      </c>
      <c r="P8" s="39" t="s">
        <v>29</v>
      </c>
      <c r="Q8" s="39">
        <v>100803</v>
      </c>
      <c r="S8" s="6"/>
      <c r="T8" s="6"/>
      <c r="U8" s="6">
        <v>200</v>
      </c>
      <c r="V8" s="6">
        <v>60</v>
      </c>
      <c r="W8" s="6">
        <v>2</v>
      </c>
    </row>
    <row r="9" ht="20.1" customHeight="1" spans="2:23">
      <c r="B9" s="37">
        <v>14020008</v>
      </c>
      <c r="C9" s="38" t="s">
        <v>1033</v>
      </c>
      <c r="D9" s="38">
        <v>3</v>
      </c>
      <c r="E9" s="39" t="s">
        <v>394</v>
      </c>
      <c r="F9" s="39">
        <v>119103</v>
      </c>
      <c r="G9" s="39">
        <v>12</v>
      </c>
      <c r="H9" t="str">
        <f t="shared" si="0"/>
        <v>119103,12</v>
      </c>
      <c r="J9" s="6">
        <v>300</v>
      </c>
      <c r="M9" s="4"/>
      <c r="S9" s="6"/>
      <c r="T9" s="6"/>
      <c r="U9" s="6">
        <v>250</v>
      </c>
      <c r="V9" s="6">
        <v>75</v>
      </c>
      <c r="W9" s="6">
        <v>2.5</v>
      </c>
    </row>
    <row r="10" ht="20.1" customHeight="1" spans="2:23">
      <c r="B10" s="37">
        <v>14020012</v>
      </c>
      <c r="C10" s="38" t="s">
        <v>1034</v>
      </c>
      <c r="D10" s="38">
        <v>3</v>
      </c>
      <c r="E10" s="39" t="s">
        <v>1035</v>
      </c>
      <c r="F10" s="39">
        <v>101003</v>
      </c>
      <c r="G10" s="39">
        <v>15</v>
      </c>
      <c r="H10" t="str">
        <f t="shared" si="0"/>
        <v>101003,15</v>
      </c>
      <c r="M10" s="4"/>
      <c r="P10" s="39" t="s">
        <v>394</v>
      </c>
      <c r="Q10" s="39">
        <v>119103</v>
      </c>
      <c r="S10" s="6">
        <v>5</v>
      </c>
      <c r="T10" s="6"/>
      <c r="U10" s="6">
        <v>300</v>
      </c>
      <c r="V10" s="6">
        <v>90</v>
      </c>
      <c r="W10" s="6">
        <v>3</v>
      </c>
    </row>
    <row r="11" ht="20.1" customHeight="1" spans="2:23">
      <c r="B11" s="37">
        <v>14030004</v>
      </c>
      <c r="C11" s="38" t="s">
        <v>1036</v>
      </c>
      <c r="D11" s="38">
        <v>3</v>
      </c>
      <c r="E11" s="39" t="s">
        <v>29</v>
      </c>
      <c r="F11" s="39">
        <v>100803</v>
      </c>
      <c r="G11" s="39">
        <v>15</v>
      </c>
      <c r="H11" t="str">
        <f t="shared" si="0"/>
        <v>100803,15</v>
      </c>
      <c r="P11" s="39" t="s">
        <v>397</v>
      </c>
      <c r="Q11" s="39">
        <v>119303</v>
      </c>
      <c r="S11" s="6">
        <v>5</v>
      </c>
      <c r="T11" s="6"/>
      <c r="U11" s="6"/>
      <c r="V11" s="6"/>
      <c r="W11" s="6"/>
    </row>
    <row r="12" ht="20.1" customHeight="1" spans="2:19">
      <c r="B12" s="37">
        <v>14030008</v>
      </c>
      <c r="C12" s="38" t="s">
        <v>1037</v>
      </c>
      <c r="D12" s="38">
        <v>3</v>
      </c>
      <c r="E12" s="39" t="s">
        <v>405</v>
      </c>
      <c r="F12" s="39">
        <v>119203</v>
      </c>
      <c r="G12" s="39">
        <v>12</v>
      </c>
      <c r="H12" t="str">
        <f t="shared" si="0"/>
        <v>119203,12</v>
      </c>
      <c r="P12" s="39" t="s">
        <v>401</v>
      </c>
      <c r="Q12" s="39">
        <v>119403</v>
      </c>
      <c r="S12" s="15">
        <v>5</v>
      </c>
    </row>
    <row r="13" ht="20.1" customHeight="1" spans="2:19">
      <c r="B13" s="37">
        <v>14030012</v>
      </c>
      <c r="C13" s="38" t="s">
        <v>1038</v>
      </c>
      <c r="D13" s="38">
        <v>3</v>
      </c>
      <c r="E13" s="39" t="s">
        <v>354</v>
      </c>
      <c r="F13" s="39">
        <v>100203</v>
      </c>
      <c r="G13" s="39">
        <v>200</v>
      </c>
      <c r="H13" t="str">
        <f t="shared" si="0"/>
        <v>100203,200</v>
      </c>
      <c r="P13" s="39" t="s">
        <v>405</v>
      </c>
      <c r="Q13" s="39">
        <v>119203</v>
      </c>
      <c r="S13" s="6">
        <v>5</v>
      </c>
    </row>
    <row r="14" ht="20.1" customHeight="1" spans="2:8">
      <c r="B14" s="37">
        <v>14040004</v>
      </c>
      <c r="C14" s="38" t="s">
        <v>1039</v>
      </c>
      <c r="D14" s="38">
        <v>3</v>
      </c>
      <c r="E14" s="39" t="s">
        <v>28</v>
      </c>
      <c r="F14" s="39">
        <v>100603</v>
      </c>
      <c r="G14" s="39">
        <v>15</v>
      </c>
      <c r="H14" t="str">
        <f t="shared" si="0"/>
        <v>100603,15</v>
      </c>
    </row>
    <row r="15" ht="20.1" customHeight="1" spans="2:19">
      <c r="B15" s="37">
        <v>14040008</v>
      </c>
      <c r="C15" s="38" t="s">
        <v>1040</v>
      </c>
      <c r="D15" s="38">
        <v>3</v>
      </c>
      <c r="E15" s="39" t="s">
        <v>405</v>
      </c>
      <c r="F15" s="39">
        <v>119203</v>
      </c>
      <c r="G15" s="39">
        <v>12</v>
      </c>
      <c r="H15" t="str">
        <f t="shared" si="0"/>
        <v>119203,12</v>
      </c>
      <c r="P15" s="41" t="s">
        <v>1035</v>
      </c>
      <c r="Q15">
        <v>101003</v>
      </c>
      <c r="S15" s="6">
        <v>150</v>
      </c>
    </row>
    <row r="16" ht="20.1" customHeight="1" spans="2:16">
      <c r="B16" s="37">
        <v>14040012</v>
      </c>
      <c r="C16" s="38" t="s">
        <v>1041</v>
      </c>
      <c r="D16" s="38">
        <v>3</v>
      </c>
      <c r="E16" s="39" t="s">
        <v>397</v>
      </c>
      <c r="F16" s="39">
        <v>119303</v>
      </c>
      <c r="G16" s="39">
        <v>12</v>
      </c>
      <c r="H16" t="str">
        <f t="shared" si="0"/>
        <v>119303,12</v>
      </c>
      <c r="P16" s="6"/>
    </row>
    <row r="17" ht="20.1" customHeight="1" spans="2:20">
      <c r="B17" s="37">
        <v>14050004</v>
      </c>
      <c r="C17" s="38" t="s">
        <v>1042</v>
      </c>
      <c r="D17" s="38">
        <v>3</v>
      </c>
      <c r="E17" s="39" t="s">
        <v>29</v>
      </c>
      <c r="F17" s="39">
        <v>100803</v>
      </c>
      <c r="G17" s="39">
        <v>15</v>
      </c>
      <c r="H17" t="str">
        <f t="shared" si="0"/>
        <v>100803,15</v>
      </c>
      <c r="P17" s="6">
        <v>10</v>
      </c>
      <c r="Q17">
        <v>12</v>
      </c>
      <c r="R17">
        <f>S17/3</f>
        <v>13.3333333333333</v>
      </c>
      <c r="S17" s="6">
        <v>40</v>
      </c>
      <c r="T17" s="6">
        <v>1</v>
      </c>
    </row>
    <row r="18" ht="20.1" customHeight="1" spans="2:20">
      <c r="B18" s="37">
        <v>14050008</v>
      </c>
      <c r="C18" s="38" t="s">
        <v>1043</v>
      </c>
      <c r="D18" s="38">
        <v>3</v>
      </c>
      <c r="E18" s="39" t="s">
        <v>401</v>
      </c>
      <c r="F18" s="39">
        <v>119403</v>
      </c>
      <c r="G18" s="39">
        <v>12</v>
      </c>
      <c r="H18" t="str">
        <f t="shared" si="0"/>
        <v>119403,12</v>
      </c>
      <c r="P18" s="6"/>
      <c r="Q18">
        <v>16</v>
      </c>
      <c r="R18">
        <f t="shared" ref="R18:R21" si="1">S18/3</f>
        <v>16.6666666666667</v>
      </c>
      <c r="S18" s="6">
        <v>50</v>
      </c>
      <c r="T18" s="6">
        <v>1.25</v>
      </c>
    </row>
    <row r="19" ht="20.1" customHeight="1" spans="2:20">
      <c r="B19" s="37">
        <v>14050012</v>
      </c>
      <c r="C19" s="38" t="s">
        <v>1044</v>
      </c>
      <c r="D19" s="38">
        <v>3</v>
      </c>
      <c r="E19" s="39" t="s">
        <v>354</v>
      </c>
      <c r="F19" s="39">
        <v>100203</v>
      </c>
      <c r="G19" s="39">
        <v>200</v>
      </c>
      <c r="H19" t="str">
        <f t="shared" si="0"/>
        <v>100203,200</v>
      </c>
      <c r="P19" s="6"/>
      <c r="Q19">
        <v>20</v>
      </c>
      <c r="R19">
        <f t="shared" si="1"/>
        <v>20</v>
      </c>
      <c r="S19" s="6">
        <v>60</v>
      </c>
      <c r="T19" s="6">
        <v>1.5</v>
      </c>
    </row>
    <row r="20" ht="20.1" customHeight="1" spans="2:20">
      <c r="B20" s="37">
        <v>14060004</v>
      </c>
      <c r="C20" s="38" t="s">
        <v>1045</v>
      </c>
      <c r="D20" s="38">
        <v>3</v>
      </c>
      <c r="E20" s="39" t="s">
        <v>3</v>
      </c>
      <c r="F20" s="39">
        <v>100403</v>
      </c>
      <c r="G20" s="39">
        <v>15</v>
      </c>
      <c r="H20" t="str">
        <f t="shared" si="0"/>
        <v>100403,15</v>
      </c>
      <c r="P20" s="6"/>
      <c r="Q20">
        <v>24</v>
      </c>
      <c r="R20">
        <f t="shared" si="1"/>
        <v>23.3333333333333</v>
      </c>
      <c r="S20" s="6">
        <v>70</v>
      </c>
      <c r="T20" s="6">
        <v>1.75</v>
      </c>
    </row>
    <row r="21" ht="20.1" customHeight="1" spans="2:20">
      <c r="B21" s="37">
        <v>14070004</v>
      </c>
      <c r="C21" s="38" t="s">
        <v>1046</v>
      </c>
      <c r="D21" s="38">
        <v>3</v>
      </c>
      <c r="E21" s="39" t="s">
        <v>3</v>
      </c>
      <c r="F21" s="39">
        <v>100403</v>
      </c>
      <c r="G21" s="39">
        <v>15</v>
      </c>
      <c r="H21" t="str">
        <f t="shared" si="0"/>
        <v>100403,15</v>
      </c>
      <c r="P21" s="6"/>
      <c r="Q21">
        <v>28</v>
      </c>
      <c r="R21">
        <f t="shared" si="1"/>
        <v>26.6666666666667</v>
      </c>
      <c r="S21" s="6">
        <v>80</v>
      </c>
      <c r="T21" s="6">
        <v>2</v>
      </c>
    </row>
    <row r="22" ht="20.1" customHeight="1" spans="2:16">
      <c r="B22" s="37">
        <v>14080003</v>
      </c>
      <c r="C22" s="38" t="s">
        <v>1047</v>
      </c>
      <c r="D22" s="38">
        <v>3</v>
      </c>
      <c r="E22" s="39" t="s">
        <v>397</v>
      </c>
      <c r="F22" s="39">
        <v>119303</v>
      </c>
      <c r="G22" s="39">
        <v>12</v>
      </c>
      <c r="H22" t="str">
        <f t="shared" si="0"/>
        <v>119303,12</v>
      </c>
      <c r="P22" s="6"/>
    </row>
    <row r="23" ht="20.1" customHeight="1" spans="2:16">
      <c r="B23" s="37">
        <v>14090003</v>
      </c>
      <c r="C23" s="38" t="s">
        <v>1048</v>
      </c>
      <c r="D23" s="38">
        <v>3</v>
      </c>
      <c r="E23" s="39" t="s">
        <v>354</v>
      </c>
      <c r="F23" s="39">
        <v>100203</v>
      </c>
      <c r="G23" s="39">
        <v>200</v>
      </c>
      <c r="H23" t="str">
        <f t="shared" si="0"/>
        <v>100203,200</v>
      </c>
      <c r="P23" s="6"/>
    </row>
    <row r="24" ht="20.1" customHeight="1" spans="2:16">
      <c r="B24" s="37">
        <v>14100004</v>
      </c>
      <c r="C24" s="38" t="s">
        <v>1049</v>
      </c>
      <c r="D24" s="38">
        <v>3</v>
      </c>
      <c r="E24" s="39" t="s">
        <v>1035</v>
      </c>
      <c r="F24" s="39">
        <v>101003</v>
      </c>
      <c r="G24" s="39">
        <v>15</v>
      </c>
      <c r="H24" t="str">
        <f t="shared" si="0"/>
        <v>101003,15</v>
      </c>
      <c r="P24" s="6">
        <f>7500+60*250</f>
        <v>22500</v>
      </c>
    </row>
    <row r="25" ht="20.1" customHeight="1" spans="2:16">
      <c r="B25" s="37">
        <v>14100008</v>
      </c>
      <c r="C25" s="38" t="s">
        <v>1050</v>
      </c>
      <c r="D25" s="38">
        <v>3</v>
      </c>
      <c r="E25" s="39" t="s">
        <v>1035</v>
      </c>
      <c r="F25" s="39">
        <v>101003</v>
      </c>
      <c r="G25" s="39">
        <v>15</v>
      </c>
      <c r="H25" t="str">
        <f t="shared" si="0"/>
        <v>101003,15</v>
      </c>
      <c r="J25" s="6" t="s">
        <v>3</v>
      </c>
      <c r="K25" s="39">
        <v>100403</v>
      </c>
      <c r="L25" s="6">
        <v>20</v>
      </c>
      <c r="P25" s="6"/>
    </row>
    <row r="26" ht="20.1" customHeight="1" spans="2:16">
      <c r="B26" s="37">
        <v>14100104</v>
      </c>
      <c r="C26" s="38" t="s">
        <v>1051</v>
      </c>
      <c r="D26" s="38">
        <v>3</v>
      </c>
      <c r="E26" s="39" t="s">
        <v>3</v>
      </c>
      <c r="F26" s="39">
        <v>100403</v>
      </c>
      <c r="G26" s="39">
        <v>15</v>
      </c>
      <c r="H26" t="str">
        <f t="shared" si="0"/>
        <v>100403,15</v>
      </c>
      <c r="P26" s="6">
        <f>300/P24</f>
        <v>0.0133333333333333</v>
      </c>
    </row>
    <row r="27" ht="20.1" customHeight="1" spans="2:16">
      <c r="B27" s="37">
        <v>14100108</v>
      </c>
      <c r="C27" s="38" t="s">
        <v>1052</v>
      </c>
      <c r="D27" s="38">
        <v>3</v>
      </c>
      <c r="E27" s="39" t="s">
        <v>3</v>
      </c>
      <c r="F27" s="39">
        <v>100403</v>
      </c>
      <c r="G27" s="39">
        <v>15</v>
      </c>
      <c r="H27" t="str">
        <f t="shared" si="0"/>
        <v>100403,15</v>
      </c>
      <c r="P27" s="6"/>
    </row>
    <row r="28" ht="20.1" customHeight="1" spans="2:16">
      <c r="B28" s="37">
        <v>14110004</v>
      </c>
      <c r="C28" s="38" t="s">
        <v>1053</v>
      </c>
      <c r="D28" s="38">
        <v>3</v>
      </c>
      <c r="E28" s="39" t="s">
        <v>394</v>
      </c>
      <c r="F28" s="39">
        <v>119103</v>
      </c>
      <c r="G28" s="39">
        <v>12</v>
      </c>
      <c r="H28" t="str">
        <f t="shared" si="0"/>
        <v>119103,12</v>
      </c>
      <c r="P28" s="6"/>
    </row>
    <row r="29" ht="20.1" customHeight="1" spans="2:8">
      <c r="B29" s="37">
        <v>14110008</v>
      </c>
      <c r="C29" s="38" t="s">
        <v>1054</v>
      </c>
      <c r="D29" s="38">
        <v>3</v>
      </c>
      <c r="E29" s="39" t="s">
        <v>401</v>
      </c>
      <c r="F29" s="39">
        <v>119403</v>
      </c>
      <c r="G29" s="39">
        <v>12</v>
      </c>
      <c r="H29" t="str">
        <f t="shared" si="0"/>
        <v>119403,12</v>
      </c>
    </row>
    <row r="30" ht="20.1" customHeight="1" spans="2:8">
      <c r="B30" s="37">
        <v>14110012</v>
      </c>
      <c r="C30" s="38" t="s">
        <v>1055</v>
      </c>
      <c r="D30" s="38">
        <v>3</v>
      </c>
      <c r="E30" s="39" t="s">
        <v>354</v>
      </c>
      <c r="F30" s="39">
        <v>100203</v>
      </c>
      <c r="G30" s="39">
        <v>200</v>
      </c>
      <c r="H30" t="str">
        <f t="shared" si="0"/>
        <v>100203,200</v>
      </c>
    </row>
    <row r="31" ht="20.1" customHeight="1" spans="2:8">
      <c r="B31" s="40">
        <v>10021010</v>
      </c>
      <c r="C31" s="37" t="s">
        <v>1056</v>
      </c>
      <c r="D31" s="37">
        <v>300</v>
      </c>
      <c r="E31" s="39" t="s">
        <v>405</v>
      </c>
      <c r="F31" s="39">
        <v>119203</v>
      </c>
      <c r="G31" s="39">
        <v>12</v>
      </c>
      <c r="H31" t="str">
        <f t="shared" si="0"/>
        <v>119203,12</v>
      </c>
    </row>
    <row r="32" ht="20.1" customHeight="1" spans="2:8">
      <c r="B32" s="40">
        <v>10021010</v>
      </c>
      <c r="C32" s="37" t="s">
        <v>1056</v>
      </c>
      <c r="D32" s="37">
        <v>500</v>
      </c>
      <c r="E32" s="39" t="s">
        <v>354</v>
      </c>
      <c r="F32" s="39">
        <v>100203</v>
      </c>
      <c r="G32" s="39">
        <v>200</v>
      </c>
      <c r="H32" t="str">
        <f t="shared" si="0"/>
        <v>100203,200</v>
      </c>
    </row>
    <row r="33" ht="20.1" customHeight="1" spans="2:8">
      <c r="B33" s="40">
        <v>10021010</v>
      </c>
      <c r="C33" s="37" t="s">
        <v>1056</v>
      </c>
      <c r="D33" s="37">
        <v>1000</v>
      </c>
      <c r="E33" s="39" t="s">
        <v>1035</v>
      </c>
      <c r="F33" s="39">
        <v>101003</v>
      </c>
      <c r="G33" s="39">
        <v>15</v>
      </c>
      <c r="H33" t="str">
        <f t="shared" si="0"/>
        <v>101003,15</v>
      </c>
    </row>
    <row r="34" ht="20.1" customHeight="1" spans="2:12">
      <c r="B34" s="40">
        <v>10021008</v>
      </c>
      <c r="C34" s="37" t="s">
        <v>1057</v>
      </c>
      <c r="D34" s="37">
        <v>5</v>
      </c>
      <c r="E34" s="39" t="s">
        <v>354</v>
      </c>
      <c r="F34" s="39">
        <v>100203</v>
      </c>
      <c r="G34" s="39">
        <v>200</v>
      </c>
      <c r="H34" t="str">
        <f t="shared" si="0"/>
        <v>100203,200</v>
      </c>
      <c r="J34" s="6"/>
      <c r="K34" s="39"/>
      <c r="L34" s="6"/>
    </row>
    <row r="35" ht="20.1" customHeight="1" spans="2:8">
      <c r="B35" s="40">
        <v>10021008</v>
      </c>
      <c r="C35" s="37" t="s">
        <v>1057</v>
      </c>
      <c r="D35" s="37">
        <v>10</v>
      </c>
      <c r="E35" s="39" t="s">
        <v>3</v>
      </c>
      <c r="F35" s="39">
        <v>100403</v>
      </c>
      <c r="G35" s="39">
        <v>15</v>
      </c>
      <c r="H35" t="str">
        <f t="shared" si="0"/>
        <v>100403,15</v>
      </c>
    </row>
    <row r="36" ht="20.1" customHeight="1" spans="2:8">
      <c r="B36" s="40">
        <v>10021008</v>
      </c>
      <c r="C36" s="37" t="s">
        <v>1057</v>
      </c>
      <c r="D36" s="37">
        <v>20</v>
      </c>
      <c r="E36" s="39" t="s">
        <v>365</v>
      </c>
      <c r="F36" s="39">
        <v>110101</v>
      </c>
      <c r="G36" s="39">
        <v>20</v>
      </c>
      <c r="H36" t="str">
        <f t="shared" si="0"/>
        <v>110101,20</v>
      </c>
    </row>
    <row r="37" ht="20.1" customHeight="1" spans="2:8">
      <c r="B37" s="40">
        <v>10021009</v>
      </c>
      <c r="C37" s="37" t="s">
        <v>1058</v>
      </c>
      <c r="D37" s="37">
        <v>3</v>
      </c>
      <c r="E37" s="39" t="s">
        <v>354</v>
      </c>
      <c r="F37" s="39">
        <v>100203</v>
      </c>
      <c r="G37" s="39">
        <v>200</v>
      </c>
      <c r="H37" t="str">
        <f t="shared" si="0"/>
        <v>100203,200</v>
      </c>
    </row>
    <row r="38" ht="20.1" customHeight="1" spans="2:8">
      <c r="B38" s="40">
        <v>10021009</v>
      </c>
      <c r="C38" s="37" t="s">
        <v>1058</v>
      </c>
      <c r="D38" s="37">
        <v>5</v>
      </c>
      <c r="E38" s="39" t="s">
        <v>394</v>
      </c>
      <c r="F38" s="39">
        <v>119103</v>
      </c>
      <c r="G38" s="39">
        <v>12</v>
      </c>
      <c r="H38" t="str">
        <f t="shared" si="0"/>
        <v>119103,12</v>
      </c>
    </row>
    <row r="39" ht="20.1" customHeight="1" spans="2:8">
      <c r="B39" s="40">
        <v>10021009</v>
      </c>
      <c r="C39" s="37" t="s">
        <v>1058</v>
      </c>
      <c r="D39" s="37">
        <v>10</v>
      </c>
      <c r="E39" s="39" t="s">
        <v>365</v>
      </c>
      <c r="F39" s="39">
        <v>110101</v>
      </c>
      <c r="G39" s="39">
        <v>20</v>
      </c>
      <c r="H39" t="str">
        <f t="shared" si="0"/>
        <v>110101,20</v>
      </c>
    </row>
    <row r="40" ht="20.1" customHeight="1"/>
    <row r="41" ht="20.1" customHeight="1" spans="2:2">
      <c r="B41" s="36" t="s">
        <v>1059</v>
      </c>
    </row>
    <row r="42" ht="20.1" customHeight="1"/>
    <row r="43" ht="20.1" customHeight="1" spans="2:8">
      <c r="B43" s="37">
        <v>15201002</v>
      </c>
      <c r="C43" s="38" t="s">
        <v>1060</v>
      </c>
      <c r="D43" s="38">
        <v>3</v>
      </c>
      <c r="E43" s="39" t="s">
        <v>28</v>
      </c>
      <c r="F43" s="39">
        <v>100603</v>
      </c>
      <c r="G43" s="6">
        <v>22</v>
      </c>
      <c r="H43" t="str">
        <f>F43&amp;","&amp;G43</f>
        <v>100603,22</v>
      </c>
    </row>
    <row r="44" ht="20.1" customHeight="1" spans="2:8">
      <c r="B44" s="37">
        <v>15201004</v>
      </c>
      <c r="C44" s="38" t="s">
        <v>1061</v>
      </c>
      <c r="D44" s="38">
        <v>3</v>
      </c>
      <c r="E44" s="39" t="s">
        <v>397</v>
      </c>
      <c r="F44" s="39">
        <v>119303</v>
      </c>
      <c r="G44" s="6">
        <v>16</v>
      </c>
      <c r="H44" t="str">
        <f t="shared" ref="H44:H77" si="2">F44&amp;","&amp;G44</f>
        <v>119303,16</v>
      </c>
    </row>
    <row r="45" ht="20.1" customHeight="1" spans="2:8">
      <c r="B45" s="37">
        <v>15201006</v>
      </c>
      <c r="C45" s="38" t="s">
        <v>1062</v>
      </c>
      <c r="D45" s="38">
        <v>3</v>
      </c>
      <c r="E45" s="39" t="s">
        <v>354</v>
      </c>
      <c r="F45" s="39">
        <v>100203</v>
      </c>
      <c r="G45" s="6">
        <v>300</v>
      </c>
      <c r="H45" t="str">
        <f t="shared" si="2"/>
        <v>100203,300</v>
      </c>
    </row>
    <row r="46" ht="20.1" customHeight="1" spans="2:8">
      <c r="B46" s="37">
        <v>15202002</v>
      </c>
      <c r="C46" s="38" t="s">
        <v>1063</v>
      </c>
      <c r="D46" s="38">
        <v>3</v>
      </c>
      <c r="E46" s="39" t="s">
        <v>401</v>
      </c>
      <c r="F46" s="39">
        <v>119403</v>
      </c>
      <c r="G46" s="6">
        <v>16</v>
      </c>
      <c r="H46" t="str">
        <f t="shared" si="2"/>
        <v>119403,16</v>
      </c>
    </row>
    <row r="47" ht="20.1" customHeight="1" spans="2:8">
      <c r="B47" s="37">
        <v>15202004</v>
      </c>
      <c r="C47" s="38" t="s">
        <v>1064</v>
      </c>
      <c r="D47" s="38">
        <v>3</v>
      </c>
      <c r="E47" s="39" t="s">
        <v>394</v>
      </c>
      <c r="F47" s="39">
        <v>119103</v>
      </c>
      <c r="G47" s="6">
        <v>16</v>
      </c>
      <c r="H47" t="str">
        <f t="shared" si="2"/>
        <v>119103,16</v>
      </c>
    </row>
    <row r="48" ht="20.1" customHeight="1" spans="2:8">
      <c r="B48" s="37">
        <v>15202006</v>
      </c>
      <c r="C48" s="38" t="s">
        <v>1065</v>
      </c>
      <c r="D48" s="38">
        <v>3</v>
      </c>
      <c r="E48" s="39" t="s">
        <v>1035</v>
      </c>
      <c r="F48" s="39">
        <v>101003</v>
      </c>
      <c r="G48" s="6">
        <v>22</v>
      </c>
      <c r="H48" t="str">
        <f t="shared" si="2"/>
        <v>101003,22</v>
      </c>
    </row>
    <row r="49" ht="20.1" customHeight="1" spans="2:8">
      <c r="B49" s="37">
        <v>15203002</v>
      </c>
      <c r="C49" s="38" t="s">
        <v>1066</v>
      </c>
      <c r="D49" s="38">
        <v>3</v>
      </c>
      <c r="E49" s="39" t="s">
        <v>29</v>
      </c>
      <c r="F49" s="39">
        <v>100803</v>
      </c>
      <c r="G49" s="6">
        <v>22</v>
      </c>
      <c r="H49" t="str">
        <f t="shared" si="2"/>
        <v>100803,22</v>
      </c>
    </row>
    <row r="50" ht="20.1" customHeight="1" spans="2:8">
      <c r="B50" s="37">
        <v>15203004</v>
      </c>
      <c r="C50" s="38" t="s">
        <v>1067</v>
      </c>
      <c r="D50" s="38">
        <v>3</v>
      </c>
      <c r="E50" s="39" t="s">
        <v>405</v>
      </c>
      <c r="F50" s="39">
        <v>119203</v>
      </c>
      <c r="G50" s="6">
        <v>16</v>
      </c>
      <c r="H50" t="str">
        <f t="shared" si="2"/>
        <v>119203,16</v>
      </c>
    </row>
    <row r="51" ht="20.1" customHeight="1" spans="2:8">
      <c r="B51" s="37">
        <v>15203006</v>
      </c>
      <c r="C51" s="38" t="s">
        <v>1068</v>
      </c>
      <c r="D51" s="38">
        <v>3</v>
      </c>
      <c r="E51" s="39" t="s">
        <v>354</v>
      </c>
      <c r="F51" s="39">
        <v>100203</v>
      </c>
      <c r="G51" s="6">
        <v>300</v>
      </c>
      <c r="H51" t="str">
        <f t="shared" si="2"/>
        <v>100203,300</v>
      </c>
    </row>
    <row r="52" ht="20.1" customHeight="1" spans="2:8">
      <c r="B52" s="37">
        <v>15204002</v>
      </c>
      <c r="C52" s="38" t="s">
        <v>1069</v>
      </c>
      <c r="D52" s="38">
        <v>3</v>
      </c>
      <c r="E52" s="39" t="s">
        <v>28</v>
      </c>
      <c r="F52" s="39">
        <v>100603</v>
      </c>
      <c r="G52" s="6">
        <v>22</v>
      </c>
      <c r="H52" t="str">
        <f t="shared" si="2"/>
        <v>100603,22</v>
      </c>
    </row>
    <row r="53" ht="20.1" customHeight="1" spans="2:8">
      <c r="B53" s="37">
        <v>15204004</v>
      </c>
      <c r="C53" s="38" t="s">
        <v>1070</v>
      </c>
      <c r="D53" s="38">
        <v>3</v>
      </c>
      <c r="E53" s="39" t="s">
        <v>405</v>
      </c>
      <c r="F53" s="39">
        <v>119203</v>
      </c>
      <c r="G53" s="6">
        <v>16</v>
      </c>
      <c r="H53" t="str">
        <f t="shared" si="2"/>
        <v>119203,16</v>
      </c>
    </row>
    <row r="54" ht="20.1" customHeight="1" spans="2:8">
      <c r="B54" s="37">
        <v>15204006</v>
      </c>
      <c r="C54" s="38" t="s">
        <v>1071</v>
      </c>
      <c r="D54" s="38">
        <v>3</v>
      </c>
      <c r="E54" s="39" t="s">
        <v>397</v>
      </c>
      <c r="F54" s="39">
        <v>119303</v>
      </c>
      <c r="G54" s="6">
        <v>16</v>
      </c>
      <c r="H54" t="str">
        <f t="shared" si="2"/>
        <v>119303,16</v>
      </c>
    </row>
    <row r="55" ht="20.1" customHeight="1" spans="2:8">
      <c r="B55" s="37">
        <v>15205002</v>
      </c>
      <c r="C55" s="38" t="s">
        <v>1072</v>
      </c>
      <c r="D55" s="38">
        <v>3</v>
      </c>
      <c r="E55" s="39" t="s">
        <v>29</v>
      </c>
      <c r="F55" s="39">
        <v>100803</v>
      </c>
      <c r="G55" s="6">
        <v>22</v>
      </c>
      <c r="H55" t="str">
        <f t="shared" si="2"/>
        <v>100803,22</v>
      </c>
    </row>
    <row r="56" ht="20.1" customHeight="1" spans="2:8">
      <c r="B56" s="37">
        <v>15205004</v>
      </c>
      <c r="C56" s="38" t="s">
        <v>1073</v>
      </c>
      <c r="D56" s="38">
        <v>3</v>
      </c>
      <c r="E56" s="39" t="s">
        <v>401</v>
      </c>
      <c r="F56" s="39">
        <v>119403</v>
      </c>
      <c r="G56" s="6">
        <v>16</v>
      </c>
      <c r="H56" t="str">
        <f t="shared" si="2"/>
        <v>119403,16</v>
      </c>
    </row>
    <row r="57" ht="20.1" customHeight="1" spans="2:8">
      <c r="B57" s="37">
        <v>15205006</v>
      </c>
      <c r="C57" s="38" t="s">
        <v>1074</v>
      </c>
      <c r="D57" s="38">
        <v>3</v>
      </c>
      <c r="E57" s="39" t="s">
        <v>354</v>
      </c>
      <c r="F57" s="39">
        <v>100203</v>
      </c>
      <c r="G57" s="6">
        <v>300</v>
      </c>
      <c r="H57" t="str">
        <f t="shared" si="2"/>
        <v>100203,300</v>
      </c>
    </row>
    <row r="58" ht="20.1" customHeight="1" spans="2:8">
      <c r="B58" s="37">
        <v>15206002</v>
      </c>
      <c r="C58" s="38" t="s">
        <v>1075</v>
      </c>
      <c r="D58" s="38">
        <v>3</v>
      </c>
      <c r="E58" s="39" t="s">
        <v>3</v>
      </c>
      <c r="F58" s="39">
        <v>100403</v>
      </c>
      <c r="G58" s="6">
        <v>22</v>
      </c>
      <c r="H58" t="str">
        <f t="shared" si="2"/>
        <v>100403,22</v>
      </c>
    </row>
    <row r="59" ht="20.1" customHeight="1" spans="2:8">
      <c r="B59" s="37">
        <v>15207002</v>
      </c>
      <c r="C59" s="38" t="s">
        <v>1076</v>
      </c>
      <c r="D59" s="38">
        <v>3</v>
      </c>
      <c r="E59" s="39" t="s">
        <v>3</v>
      </c>
      <c r="F59" s="39">
        <v>100403</v>
      </c>
      <c r="G59" s="6">
        <v>22</v>
      </c>
      <c r="H59" t="str">
        <f t="shared" si="2"/>
        <v>100403,22</v>
      </c>
    </row>
    <row r="60" ht="20.1" customHeight="1" spans="2:8">
      <c r="B60" s="37">
        <v>15208002</v>
      </c>
      <c r="C60" s="38" t="s">
        <v>1077</v>
      </c>
      <c r="D60" s="38">
        <v>3</v>
      </c>
      <c r="E60" s="39" t="s">
        <v>397</v>
      </c>
      <c r="F60" s="39">
        <v>119303</v>
      </c>
      <c r="G60" s="6">
        <v>16</v>
      </c>
      <c r="H60" t="str">
        <f t="shared" si="2"/>
        <v>119303,16</v>
      </c>
    </row>
    <row r="61" ht="20.1" customHeight="1" spans="2:8">
      <c r="B61" s="37">
        <v>15209002</v>
      </c>
      <c r="C61" s="38" t="s">
        <v>1078</v>
      </c>
      <c r="D61" s="38">
        <v>3</v>
      </c>
      <c r="E61" s="39" t="s">
        <v>354</v>
      </c>
      <c r="F61" s="39">
        <v>100203</v>
      </c>
      <c r="G61" s="6">
        <v>300</v>
      </c>
      <c r="H61" t="str">
        <f t="shared" si="2"/>
        <v>100203,300</v>
      </c>
    </row>
    <row r="62" ht="20.1" customHeight="1" spans="2:8">
      <c r="B62" s="37">
        <v>15210002</v>
      </c>
      <c r="C62" s="38" t="s">
        <v>1079</v>
      </c>
      <c r="D62" s="38">
        <v>3</v>
      </c>
      <c r="E62" s="39" t="s">
        <v>1035</v>
      </c>
      <c r="F62" s="39">
        <v>101003</v>
      </c>
      <c r="G62" s="6">
        <v>22</v>
      </c>
      <c r="H62" t="str">
        <f t="shared" si="2"/>
        <v>101003,22</v>
      </c>
    </row>
    <row r="63" ht="20.1" customHeight="1" spans="2:8">
      <c r="B63" s="37">
        <v>15210004</v>
      </c>
      <c r="C63" s="38" t="s">
        <v>1080</v>
      </c>
      <c r="D63" s="38">
        <v>3</v>
      </c>
      <c r="E63" s="39" t="s">
        <v>1035</v>
      </c>
      <c r="F63" s="39">
        <v>101003</v>
      </c>
      <c r="G63" s="6">
        <v>22</v>
      </c>
      <c r="H63" t="str">
        <f t="shared" si="2"/>
        <v>101003,22</v>
      </c>
    </row>
    <row r="64" ht="20.1" customHeight="1" spans="2:8">
      <c r="B64" s="37">
        <v>15210102</v>
      </c>
      <c r="C64" s="38" t="s">
        <v>1081</v>
      </c>
      <c r="D64" s="38">
        <v>3</v>
      </c>
      <c r="E64" s="39" t="s">
        <v>3</v>
      </c>
      <c r="F64" s="39">
        <v>100403</v>
      </c>
      <c r="G64" s="6">
        <v>22</v>
      </c>
      <c r="H64" t="str">
        <f t="shared" si="2"/>
        <v>100403,22</v>
      </c>
    </row>
    <row r="65" ht="20.1" customHeight="1" spans="2:8">
      <c r="B65" s="37">
        <v>15210104</v>
      </c>
      <c r="C65" s="38" t="s">
        <v>1082</v>
      </c>
      <c r="D65" s="38">
        <v>3</v>
      </c>
      <c r="E65" s="39" t="s">
        <v>3</v>
      </c>
      <c r="F65" s="39">
        <v>100403</v>
      </c>
      <c r="G65" s="6">
        <v>22</v>
      </c>
      <c r="H65" t="str">
        <f t="shared" si="2"/>
        <v>100403,22</v>
      </c>
    </row>
    <row r="66" ht="20.1" customHeight="1" spans="2:8">
      <c r="B66" s="37">
        <v>15211002</v>
      </c>
      <c r="C66" s="38" t="s">
        <v>1083</v>
      </c>
      <c r="D66" s="38">
        <v>3</v>
      </c>
      <c r="E66" s="39" t="s">
        <v>394</v>
      </c>
      <c r="F66" s="39">
        <v>119103</v>
      </c>
      <c r="G66" s="6">
        <v>16</v>
      </c>
      <c r="H66" t="str">
        <f t="shared" si="2"/>
        <v>119103,16</v>
      </c>
    </row>
    <row r="67" ht="20.1" customHeight="1" spans="2:8">
      <c r="B67" s="37">
        <v>15211004</v>
      </c>
      <c r="C67" s="38" t="s">
        <v>1084</v>
      </c>
      <c r="D67" s="38">
        <v>3</v>
      </c>
      <c r="E67" s="39" t="s">
        <v>401</v>
      </c>
      <c r="F67" s="39">
        <v>119403</v>
      </c>
      <c r="G67" s="6">
        <v>16</v>
      </c>
      <c r="H67" t="str">
        <f t="shared" si="2"/>
        <v>119403,16</v>
      </c>
    </row>
    <row r="68" ht="20.1" customHeight="1" spans="2:8">
      <c r="B68" s="37">
        <v>15211006</v>
      </c>
      <c r="C68" s="38" t="s">
        <v>1085</v>
      </c>
      <c r="D68" s="38">
        <v>3</v>
      </c>
      <c r="E68" s="39" t="s">
        <v>354</v>
      </c>
      <c r="F68" s="39">
        <v>100203</v>
      </c>
      <c r="G68" s="6">
        <v>300</v>
      </c>
      <c r="H68" t="str">
        <f t="shared" si="2"/>
        <v>100203,300</v>
      </c>
    </row>
    <row r="69" ht="20.1" customHeight="1" spans="2:8">
      <c r="B69" s="40">
        <v>10022010</v>
      </c>
      <c r="C69" s="42" t="s">
        <v>1086</v>
      </c>
      <c r="D69" s="37">
        <v>300</v>
      </c>
      <c r="E69" s="39" t="s">
        <v>405</v>
      </c>
      <c r="F69" s="39">
        <v>119203</v>
      </c>
      <c r="G69" s="6">
        <v>16</v>
      </c>
      <c r="H69" t="str">
        <f t="shared" si="2"/>
        <v>119203,16</v>
      </c>
    </row>
    <row r="70" ht="20.1" customHeight="1" spans="2:8">
      <c r="B70" s="40">
        <v>10021010</v>
      </c>
      <c r="C70" s="37" t="s">
        <v>1056</v>
      </c>
      <c r="D70" s="37">
        <v>500</v>
      </c>
      <c r="E70" s="39" t="s">
        <v>354</v>
      </c>
      <c r="F70" s="39">
        <v>100203</v>
      </c>
      <c r="G70" s="6">
        <v>300</v>
      </c>
      <c r="H70" t="str">
        <f t="shared" si="2"/>
        <v>100203,300</v>
      </c>
    </row>
    <row r="71" ht="20.1" customHeight="1" spans="2:8">
      <c r="B71" s="40">
        <v>10021010</v>
      </c>
      <c r="C71" s="37" t="s">
        <v>1056</v>
      </c>
      <c r="D71" s="37">
        <v>1000</v>
      </c>
      <c r="E71" s="39" t="s">
        <v>1035</v>
      </c>
      <c r="F71" s="39">
        <v>101003</v>
      </c>
      <c r="G71" s="6">
        <v>22</v>
      </c>
      <c r="H71" t="str">
        <f t="shared" si="2"/>
        <v>101003,22</v>
      </c>
    </row>
    <row r="72" ht="20.1" customHeight="1" spans="2:12">
      <c r="B72" s="40">
        <v>10022008</v>
      </c>
      <c r="C72" s="37" t="s">
        <v>1087</v>
      </c>
      <c r="D72" s="37">
        <v>5</v>
      </c>
      <c r="E72" s="39" t="s">
        <v>354</v>
      </c>
      <c r="F72" s="39">
        <v>100203</v>
      </c>
      <c r="G72" s="6">
        <v>300</v>
      </c>
      <c r="H72" t="str">
        <f t="shared" si="2"/>
        <v>100203,300</v>
      </c>
      <c r="J72" s="6"/>
      <c r="K72" s="39"/>
      <c r="L72" s="6"/>
    </row>
    <row r="73" ht="20.1" customHeight="1" spans="2:8">
      <c r="B73" s="40">
        <v>10022008</v>
      </c>
      <c r="C73" s="37" t="s">
        <v>1087</v>
      </c>
      <c r="D73" s="37">
        <v>10</v>
      </c>
      <c r="E73" s="39" t="s">
        <v>3</v>
      </c>
      <c r="F73" s="39">
        <v>100403</v>
      </c>
      <c r="G73" s="6">
        <v>22</v>
      </c>
      <c r="H73" t="str">
        <f t="shared" si="2"/>
        <v>100403,22</v>
      </c>
    </row>
    <row r="74" ht="20.1" customHeight="1" spans="2:8">
      <c r="B74" s="40">
        <v>10022008</v>
      </c>
      <c r="C74" s="37" t="s">
        <v>1087</v>
      </c>
      <c r="D74" s="37">
        <v>20</v>
      </c>
      <c r="E74" s="39" t="s">
        <v>365</v>
      </c>
      <c r="F74" s="39">
        <v>110101</v>
      </c>
      <c r="G74" s="6">
        <v>30</v>
      </c>
      <c r="H74" t="str">
        <f t="shared" si="2"/>
        <v>110101,30</v>
      </c>
    </row>
    <row r="75" ht="20.1" customHeight="1" spans="2:8">
      <c r="B75" s="40">
        <v>10022009</v>
      </c>
      <c r="C75" s="37" t="s">
        <v>1088</v>
      </c>
      <c r="D75" s="37">
        <v>3</v>
      </c>
      <c r="E75" s="39" t="s">
        <v>354</v>
      </c>
      <c r="F75" s="39">
        <v>100203</v>
      </c>
      <c r="G75" s="6">
        <v>300</v>
      </c>
      <c r="H75" t="str">
        <f t="shared" si="2"/>
        <v>100203,300</v>
      </c>
    </row>
    <row r="76" ht="20.1" customHeight="1" spans="2:8">
      <c r="B76" s="40">
        <v>10022009</v>
      </c>
      <c r="C76" s="37" t="s">
        <v>1088</v>
      </c>
      <c r="D76" s="37">
        <v>5</v>
      </c>
      <c r="E76" s="39" t="s">
        <v>394</v>
      </c>
      <c r="F76" s="39">
        <v>119103</v>
      </c>
      <c r="G76" s="6">
        <v>16</v>
      </c>
      <c r="H76" t="str">
        <f t="shared" si="2"/>
        <v>119103,16</v>
      </c>
    </row>
    <row r="77" ht="20.1" customHeight="1" spans="2:8">
      <c r="B77" s="40">
        <v>10022009</v>
      </c>
      <c r="C77" s="37" t="s">
        <v>1088</v>
      </c>
      <c r="D77" s="37">
        <v>10</v>
      </c>
      <c r="E77" s="39" t="s">
        <v>365</v>
      </c>
      <c r="F77" s="39">
        <v>110101</v>
      </c>
      <c r="G77" s="6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s="36" t="s">
        <v>1089</v>
      </c>
    </row>
    <row r="81" ht="20.1" customHeight="1"/>
    <row r="82" ht="20.1" customHeight="1" spans="2:8">
      <c r="B82" s="37">
        <v>15301002</v>
      </c>
      <c r="C82" s="38" t="s">
        <v>1090</v>
      </c>
      <c r="D82" s="38">
        <v>3</v>
      </c>
      <c r="E82" s="39" t="s">
        <v>28</v>
      </c>
      <c r="F82" s="39">
        <v>100603</v>
      </c>
      <c r="G82" s="6">
        <v>30</v>
      </c>
      <c r="H82" t="str">
        <f>F82&amp;","&amp;G82</f>
        <v>100603,30</v>
      </c>
    </row>
    <row r="83" ht="20.1" customHeight="1" spans="2:8">
      <c r="B83" s="37">
        <v>15301004</v>
      </c>
      <c r="C83" s="38" t="s">
        <v>1091</v>
      </c>
      <c r="D83" s="38">
        <v>3</v>
      </c>
      <c r="E83" s="39" t="s">
        <v>397</v>
      </c>
      <c r="F83" s="39">
        <v>119303</v>
      </c>
      <c r="G83" s="6">
        <v>20</v>
      </c>
      <c r="H83" t="str">
        <f t="shared" ref="H83:H116" si="3">F83&amp;","&amp;G83</f>
        <v>119303,20</v>
      </c>
    </row>
    <row r="84" ht="20.1" customHeight="1" spans="2:8">
      <c r="B84" s="37">
        <v>15301006</v>
      </c>
      <c r="C84" s="38" t="s">
        <v>1092</v>
      </c>
      <c r="D84" s="38">
        <v>3</v>
      </c>
      <c r="E84" s="39" t="s">
        <v>354</v>
      </c>
      <c r="F84" s="39">
        <v>100203</v>
      </c>
      <c r="G84" s="6">
        <v>400</v>
      </c>
      <c r="H84" t="str">
        <f t="shared" si="3"/>
        <v>100203,400</v>
      </c>
    </row>
    <row r="85" ht="20.1" customHeight="1" spans="2:8">
      <c r="B85" s="37">
        <v>15302002</v>
      </c>
      <c r="C85" s="38" t="s">
        <v>1093</v>
      </c>
      <c r="D85" s="38">
        <v>3</v>
      </c>
      <c r="E85" s="39" t="s">
        <v>401</v>
      </c>
      <c r="F85" s="39">
        <v>119403</v>
      </c>
      <c r="G85" s="6">
        <v>20</v>
      </c>
      <c r="H85" t="str">
        <f t="shared" si="3"/>
        <v>119403,20</v>
      </c>
    </row>
    <row r="86" ht="20.1" customHeight="1" spans="2:8">
      <c r="B86" s="37">
        <v>15302004</v>
      </c>
      <c r="C86" s="38" t="s">
        <v>1094</v>
      </c>
      <c r="D86" s="38">
        <v>3</v>
      </c>
      <c r="E86" s="39" t="s">
        <v>394</v>
      </c>
      <c r="F86" s="39">
        <v>119103</v>
      </c>
      <c r="G86" s="6">
        <v>20</v>
      </c>
      <c r="H86" t="str">
        <f t="shared" si="3"/>
        <v>119103,20</v>
      </c>
    </row>
    <row r="87" ht="20.1" customHeight="1" spans="2:8">
      <c r="B87" s="37">
        <v>15302006</v>
      </c>
      <c r="C87" s="38" t="s">
        <v>1095</v>
      </c>
      <c r="D87" s="38">
        <v>3</v>
      </c>
      <c r="E87" s="39" t="s">
        <v>1035</v>
      </c>
      <c r="F87" s="39">
        <v>101003</v>
      </c>
      <c r="G87" s="6">
        <v>30</v>
      </c>
      <c r="H87" t="str">
        <f t="shared" si="3"/>
        <v>101003,30</v>
      </c>
    </row>
    <row r="88" ht="20.1" customHeight="1" spans="2:8">
      <c r="B88" s="37">
        <v>15303002</v>
      </c>
      <c r="C88" s="38" t="s">
        <v>1096</v>
      </c>
      <c r="D88" s="38">
        <v>3</v>
      </c>
      <c r="E88" s="39" t="s">
        <v>29</v>
      </c>
      <c r="F88" s="39">
        <v>100803</v>
      </c>
      <c r="G88" s="6">
        <v>30</v>
      </c>
      <c r="H88" t="str">
        <f t="shared" si="3"/>
        <v>100803,30</v>
      </c>
    </row>
    <row r="89" ht="20.1" customHeight="1" spans="2:8">
      <c r="B89" s="37">
        <v>15303004</v>
      </c>
      <c r="C89" s="38" t="s">
        <v>1097</v>
      </c>
      <c r="D89" s="38">
        <v>3</v>
      </c>
      <c r="E89" s="39" t="s">
        <v>405</v>
      </c>
      <c r="F89" s="39">
        <v>119203</v>
      </c>
      <c r="G89" s="6">
        <v>20</v>
      </c>
      <c r="H89" t="str">
        <f t="shared" si="3"/>
        <v>119203,20</v>
      </c>
    </row>
    <row r="90" ht="20.1" customHeight="1" spans="2:8">
      <c r="B90" s="37">
        <v>15303006</v>
      </c>
      <c r="C90" s="38" t="s">
        <v>1098</v>
      </c>
      <c r="D90" s="38">
        <v>3</v>
      </c>
      <c r="E90" s="39" t="s">
        <v>354</v>
      </c>
      <c r="F90" s="39">
        <v>100203</v>
      </c>
      <c r="G90" s="6">
        <v>400</v>
      </c>
      <c r="H90" t="str">
        <f t="shared" si="3"/>
        <v>100203,400</v>
      </c>
    </row>
    <row r="91" ht="20.1" customHeight="1" spans="2:8">
      <c r="B91" s="37">
        <v>15304002</v>
      </c>
      <c r="C91" s="38" t="s">
        <v>1099</v>
      </c>
      <c r="D91" s="38">
        <v>3</v>
      </c>
      <c r="E91" s="39" t="s">
        <v>28</v>
      </c>
      <c r="F91" s="39">
        <v>100603</v>
      </c>
      <c r="G91" s="6">
        <v>30</v>
      </c>
      <c r="H91" t="str">
        <f t="shared" si="3"/>
        <v>100603,30</v>
      </c>
    </row>
    <row r="92" ht="20.1" customHeight="1" spans="2:8">
      <c r="B92" s="37">
        <v>15304004</v>
      </c>
      <c r="C92" s="38" t="s">
        <v>1100</v>
      </c>
      <c r="D92" s="38">
        <v>3</v>
      </c>
      <c r="E92" s="39" t="s">
        <v>405</v>
      </c>
      <c r="F92" s="39">
        <v>119203</v>
      </c>
      <c r="G92" s="6">
        <v>20</v>
      </c>
      <c r="H92" t="str">
        <f t="shared" si="3"/>
        <v>119203,20</v>
      </c>
    </row>
    <row r="93" ht="20.1" customHeight="1" spans="2:8">
      <c r="B93" s="37">
        <v>15304006</v>
      </c>
      <c r="C93" s="38" t="s">
        <v>1101</v>
      </c>
      <c r="D93" s="38">
        <v>3</v>
      </c>
      <c r="E93" s="39" t="s">
        <v>397</v>
      </c>
      <c r="F93" s="39">
        <v>119303</v>
      </c>
      <c r="G93" s="6">
        <v>20</v>
      </c>
      <c r="H93" t="str">
        <f t="shared" si="3"/>
        <v>119303,20</v>
      </c>
    </row>
    <row r="94" ht="20.1" customHeight="1" spans="2:8">
      <c r="B94" s="37">
        <v>15305002</v>
      </c>
      <c r="C94" s="38" t="s">
        <v>1102</v>
      </c>
      <c r="D94" s="38">
        <v>3</v>
      </c>
      <c r="E94" s="39" t="s">
        <v>29</v>
      </c>
      <c r="F94" s="39">
        <v>100803</v>
      </c>
      <c r="G94" s="6">
        <v>30</v>
      </c>
      <c r="H94" t="str">
        <f t="shared" si="3"/>
        <v>100803,30</v>
      </c>
    </row>
    <row r="95" ht="20.1" customHeight="1" spans="2:8">
      <c r="B95" s="37">
        <v>15305004</v>
      </c>
      <c r="C95" s="38" t="s">
        <v>1103</v>
      </c>
      <c r="D95" s="38">
        <v>3</v>
      </c>
      <c r="E95" s="39" t="s">
        <v>401</v>
      </c>
      <c r="F95" s="39">
        <v>119403</v>
      </c>
      <c r="G95" s="6">
        <v>20</v>
      </c>
      <c r="H95" t="str">
        <f t="shared" si="3"/>
        <v>119403,20</v>
      </c>
    </row>
    <row r="96" ht="20.1" customHeight="1" spans="2:8">
      <c r="B96" s="37">
        <v>15305006</v>
      </c>
      <c r="C96" s="38" t="s">
        <v>1104</v>
      </c>
      <c r="D96" s="38">
        <v>3</v>
      </c>
      <c r="E96" s="39" t="s">
        <v>354</v>
      </c>
      <c r="F96" s="39">
        <v>100203</v>
      </c>
      <c r="G96" s="6">
        <v>400</v>
      </c>
      <c r="H96" t="str">
        <f t="shared" si="3"/>
        <v>100203,400</v>
      </c>
    </row>
    <row r="97" ht="20.1" customHeight="1" spans="2:8">
      <c r="B97" s="37">
        <v>15306002</v>
      </c>
      <c r="C97" s="38" t="s">
        <v>1105</v>
      </c>
      <c r="D97" s="38">
        <v>3</v>
      </c>
      <c r="E97" s="39" t="s">
        <v>3</v>
      </c>
      <c r="F97" s="39">
        <v>100403</v>
      </c>
      <c r="G97" s="6">
        <v>30</v>
      </c>
      <c r="H97" t="str">
        <f t="shared" si="3"/>
        <v>100403,30</v>
      </c>
    </row>
    <row r="98" ht="20.1" customHeight="1" spans="2:8">
      <c r="B98" s="37">
        <v>15307002</v>
      </c>
      <c r="C98" s="38" t="s">
        <v>1106</v>
      </c>
      <c r="D98" s="38">
        <v>3</v>
      </c>
      <c r="E98" s="39" t="s">
        <v>3</v>
      </c>
      <c r="F98" s="39">
        <v>100403</v>
      </c>
      <c r="G98" s="6">
        <v>30</v>
      </c>
      <c r="H98" t="str">
        <f t="shared" si="3"/>
        <v>100403,30</v>
      </c>
    </row>
    <row r="99" ht="20.1" customHeight="1" spans="2:8">
      <c r="B99" s="37">
        <v>15308002</v>
      </c>
      <c r="C99" s="38" t="s">
        <v>1107</v>
      </c>
      <c r="D99" s="38">
        <v>3</v>
      </c>
      <c r="E99" s="39" t="s">
        <v>397</v>
      </c>
      <c r="F99" s="39">
        <v>119303</v>
      </c>
      <c r="G99" s="6">
        <v>20</v>
      </c>
      <c r="H99" t="str">
        <f t="shared" si="3"/>
        <v>119303,20</v>
      </c>
    </row>
    <row r="100" ht="20.1" customHeight="1" spans="2:8">
      <c r="B100" s="37">
        <v>15309002</v>
      </c>
      <c r="C100" s="38" t="s">
        <v>1108</v>
      </c>
      <c r="D100" s="38">
        <v>3</v>
      </c>
      <c r="E100" s="39" t="s">
        <v>354</v>
      </c>
      <c r="F100" s="39">
        <v>100203</v>
      </c>
      <c r="G100" s="6">
        <v>400</v>
      </c>
      <c r="H100" t="str">
        <f t="shared" si="3"/>
        <v>100203,400</v>
      </c>
    </row>
    <row r="101" ht="20.1" customHeight="1" spans="2:8">
      <c r="B101" s="37">
        <v>15310002</v>
      </c>
      <c r="C101" s="38" t="s">
        <v>1109</v>
      </c>
      <c r="D101" s="38">
        <v>3</v>
      </c>
      <c r="E101" s="39" t="s">
        <v>1035</v>
      </c>
      <c r="F101" s="39">
        <v>101003</v>
      </c>
      <c r="G101" s="6">
        <v>30</v>
      </c>
      <c r="H101" t="str">
        <f t="shared" si="3"/>
        <v>101003,30</v>
      </c>
    </row>
    <row r="102" ht="20.1" customHeight="1" spans="2:8">
      <c r="B102" s="37">
        <v>15310004</v>
      </c>
      <c r="C102" s="38" t="s">
        <v>1110</v>
      </c>
      <c r="D102" s="38">
        <v>3</v>
      </c>
      <c r="E102" s="39" t="s">
        <v>1035</v>
      </c>
      <c r="F102" s="39">
        <v>101003</v>
      </c>
      <c r="G102" s="6">
        <v>30</v>
      </c>
      <c r="H102" t="str">
        <f t="shared" si="3"/>
        <v>101003,30</v>
      </c>
    </row>
    <row r="103" ht="20.1" customHeight="1" spans="2:8">
      <c r="B103" s="37">
        <v>15310102</v>
      </c>
      <c r="C103" s="38" t="s">
        <v>1111</v>
      </c>
      <c r="D103" s="38">
        <v>3</v>
      </c>
      <c r="E103" s="39" t="s">
        <v>3</v>
      </c>
      <c r="F103" s="39">
        <v>100403</v>
      </c>
      <c r="G103" s="6">
        <v>30</v>
      </c>
      <c r="H103" t="str">
        <f t="shared" si="3"/>
        <v>100403,30</v>
      </c>
    </row>
    <row r="104" ht="20.1" customHeight="1" spans="2:8">
      <c r="B104" s="37">
        <v>15310104</v>
      </c>
      <c r="C104" s="38" t="s">
        <v>1112</v>
      </c>
      <c r="D104" s="38">
        <v>3</v>
      </c>
      <c r="E104" s="39" t="s">
        <v>3</v>
      </c>
      <c r="F104" s="39">
        <v>100403</v>
      </c>
      <c r="G104" s="6">
        <v>30</v>
      </c>
      <c r="H104" t="str">
        <f t="shared" si="3"/>
        <v>100403,30</v>
      </c>
    </row>
    <row r="105" ht="20.1" customHeight="1" spans="2:8">
      <c r="B105" s="37">
        <v>15311002</v>
      </c>
      <c r="C105" s="38" t="s">
        <v>1113</v>
      </c>
      <c r="D105" s="38">
        <v>3</v>
      </c>
      <c r="E105" s="39" t="s">
        <v>394</v>
      </c>
      <c r="F105" s="39">
        <v>119103</v>
      </c>
      <c r="G105" s="6">
        <v>20</v>
      </c>
      <c r="H105" t="str">
        <f t="shared" si="3"/>
        <v>119103,20</v>
      </c>
    </row>
    <row r="106" ht="20.1" customHeight="1" spans="2:8">
      <c r="B106" s="37">
        <v>15311004</v>
      </c>
      <c r="C106" s="38" t="s">
        <v>1114</v>
      </c>
      <c r="D106" s="38">
        <v>3</v>
      </c>
      <c r="E106" s="39" t="s">
        <v>401</v>
      </c>
      <c r="F106" s="39">
        <v>119403</v>
      </c>
      <c r="G106" s="6">
        <v>20</v>
      </c>
      <c r="H106" t="str">
        <f t="shared" si="3"/>
        <v>119403,20</v>
      </c>
    </row>
    <row r="107" ht="20.1" customHeight="1" spans="2:8">
      <c r="B107" s="37">
        <v>15311006</v>
      </c>
      <c r="C107" s="38" t="s">
        <v>1115</v>
      </c>
      <c r="D107" s="38">
        <v>3</v>
      </c>
      <c r="E107" s="39" t="s">
        <v>354</v>
      </c>
      <c r="F107" s="39">
        <v>100203</v>
      </c>
      <c r="G107" s="6">
        <v>400</v>
      </c>
      <c r="H107" t="str">
        <f t="shared" si="3"/>
        <v>100203,400</v>
      </c>
    </row>
    <row r="108" ht="20.1" customHeight="1" spans="2:8">
      <c r="B108" s="40">
        <v>10023010</v>
      </c>
      <c r="C108" s="42" t="s">
        <v>1116</v>
      </c>
      <c r="D108" s="37">
        <v>300</v>
      </c>
      <c r="E108" s="39" t="s">
        <v>405</v>
      </c>
      <c r="F108" s="39">
        <v>119203</v>
      </c>
      <c r="G108" s="6">
        <v>20</v>
      </c>
      <c r="H108" t="str">
        <f t="shared" si="3"/>
        <v>119203,20</v>
      </c>
    </row>
    <row r="109" ht="20.1" customHeight="1" spans="2:8">
      <c r="B109" s="40">
        <v>10023010</v>
      </c>
      <c r="C109" s="42" t="s">
        <v>1116</v>
      </c>
      <c r="D109" s="37">
        <v>500</v>
      </c>
      <c r="E109" s="39" t="s">
        <v>354</v>
      </c>
      <c r="F109" s="39">
        <v>100203</v>
      </c>
      <c r="G109" s="6">
        <v>400</v>
      </c>
      <c r="H109" t="str">
        <f t="shared" si="3"/>
        <v>100203,400</v>
      </c>
    </row>
    <row r="110" ht="20.1" customHeight="1" spans="2:8">
      <c r="B110" s="40">
        <v>10023010</v>
      </c>
      <c r="C110" s="42" t="s">
        <v>1116</v>
      </c>
      <c r="D110" s="37">
        <v>1000</v>
      </c>
      <c r="E110" s="39" t="s">
        <v>1035</v>
      </c>
      <c r="F110" s="39">
        <v>101003</v>
      </c>
      <c r="G110" s="6">
        <v>30</v>
      </c>
      <c r="H110" t="str">
        <f t="shared" si="3"/>
        <v>101003,30</v>
      </c>
    </row>
    <row r="111" ht="20.1" customHeight="1" spans="2:12">
      <c r="B111" s="40">
        <v>10023008</v>
      </c>
      <c r="C111" s="37" t="s">
        <v>1117</v>
      </c>
      <c r="D111" s="37">
        <v>5</v>
      </c>
      <c r="E111" s="39" t="s">
        <v>354</v>
      </c>
      <c r="F111" s="39">
        <v>100203</v>
      </c>
      <c r="G111" s="6">
        <v>400</v>
      </c>
      <c r="H111" t="str">
        <f t="shared" si="3"/>
        <v>100203,400</v>
      </c>
      <c r="J111" s="6"/>
      <c r="K111" s="39"/>
      <c r="L111" s="6"/>
    </row>
    <row r="112" ht="20.1" customHeight="1" spans="2:8">
      <c r="B112" s="40">
        <v>10023008</v>
      </c>
      <c r="C112" s="37" t="s">
        <v>1117</v>
      </c>
      <c r="D112" s="37">
        <v>10</v>
      </c>
      <c r="E112" s="39" t="s">
        <v>3</v>
      </c>
      <c r="F112" s="39">
        <v>100403</v>
      </c>
      <c r="G112" s="6">
        <v>30</v>
      </c>
      <c r="H112" t="str">
        <f t="shared" si="3"/>
        <v>100403,30</v>
      </c>
    </row>
    <row r="113" ht="20.1" customHeight="1" spans="2:8">
      <c r="B113" s="40">
        <v>10023008</v>
      </c>
      <c r="C113" s="37" t="s">
        <v>1117</v>
      </c>
      <c r="D113" s="37">
        <v>20</v>
      </c>
      <c r="E113" s="39" t="s">
        <v>365</v>
      </c>
      <c r="F113" s="39">
        <v>110101</v>
      </c>
      <c r="G113" s="6">
        <v>40</v>
      </c>
      <c r="H113" t="str">
        <f t="shared" si="3"/>
        <v>110101,40</v>
      </c>
    </row>
    <row r="114" ht="20.1" customHeight="1" spans="2:8">
      <c r="B114" s="40">
        <v>10023009</v>
      </c>
      <c r="C114" s="37" t="s">
        <v>1118</v>
      </c>
      <c r="D114" s="37">
        <v>3</v>
      </c>
      <c r="E114" s="39" t="s">
        <v>354</v>
      </c>
      <c r="F114" s="39">
        <v>100203</v>
      </c>
      <c r="G114" s="6">
        <v>400</v>
      </c>
      <c r="H114" t="str">
        <f t="shared" si="3"/>
        <v>100203,400</v>
      </c>
    </row>
    <row r="115" ht="20.1" customHeight="1" spans="2:8">
      <c r="B115" s="40">
        <v>10023009</v>
      </c>
      <c r="C115" s="37" t="s">
        <v>1118</v>
      </c>
      <c r="D115" s="37">
        <v>5</v>
      </c>
      <c r="E115" s="39" t="s">
        <v>394</v>
      </c>
      <c r="F115" s="39">
        <v>119103</v>
      </c>
      <c r="G115" s="6">
        <v>20</v>
      </c>
      <c r="H115" t="str">
        <f t="shared" si="3"/>
        <v>119103,20</v>
      </c>
    </row>
    <row r="116" ht="20.1" customHeight="1" spans="2:8">
      <c r="B116" s="40">
        <v>10023009</v>
      </c>
      <c r="C116" s="37" t="s">
        <v>1118</v>
      </c>
      <c r="D116" s="37">
        <v>10</v>
      </c>
      <c r="E116" s="39" t="s">
        <v>365</v>
      </c>
      <c r="F116" s="39">
        <v>110101</v>
      </c>
      <c r="G116" s="6">
        <v>40</v>
      </c>
      <c r="H116" t="str">
        <f t="shared" si="3"/>
        <v>110101,40</v>
      </c>
    </row>
    <row r="117" ht="20.1" customHeight="1"/>
    <row r="118" ht="20.1" customHeight="1" spans="2:2">
      <c r="B118" s="36" t="s">
        <v>1119</v>
      </c>
    </row>
    <row r="119" ht="20.1" customHeight="1"/>
    <row r="120" ht="20.1" customHeight="1" spans="2:8">
      <c r="B120" s="37">
        <v>15401002</v>
      </c>
      <c r="C120" s="38" t="s">
        <v>1120</v>
      </c>
      <c r="D120" s="38">
        <v>3</v>
      </c>
      <c r="E120" s="39" t="s">
        <v>28</v>
      </c>
      <c r="F120" s="39">
        <v>100603</v>
      </c>
      <c r="G120" s="6">
        <v>37</v>
      </c>
      <c r="H120" t="str">
        <f>F120&amp;","&amp;G120</f>
        <v>100603,37</v>
      </c>
    </row>
    <row r="121" ht="20.1" customHeight="1" spans="2:8">
      <c r="B121" s="37">
        <v>15401004</v>
      </c>
      <c r="C121" s="38" t="s">
        <v>1121</v>
      </c>
      <c r="D121" s="38">
        <v>3</v>
      </c>
      <c r="E121" s="39" t="s">
        <v>397</v>
      </c>
      <c r="F121" s="39">
        <v>119303</v>
      </c>
      <c r="G121" s="6">
        <v>25</v>
      </c>
      <c r="H121" t="str">
        <f t="shared" ref="H121:H154" si="4">F121&amp;","&amp;G121</f>
        <v>119303,25</v>
      </c>
    </row>
    <row r="122" ht="20.1" customHeight="1" spans="2:8">
      <c r="B122" s="37">
        <v>15401006</v>
      </c>
      <c r="C122" s="38" t="s">
        <v>1122</v>
      </c>
      <c r="D122" s="38">
        <v>3</v>
      </c>
      <c r="E122" s="39" t="s">
        <v>354</v>
      </c>
      <c r="F122" s="39">
        <v>100203</v>
      </c>
      <c r="G122" s="6">
        <v>500</v>
      </c>
      <c r="H122" t="str">
        <f t="shared" si="4"/>
        <v>100203,500</v>
      </c>
    </row>
    <row r="123" ht="20.1" customHeight="1" spans="2:8">
      <c r="B123" s="37">
        <v>15402002</v>
      </c>
      <c r="C123" s="38" t="s">
        <v>1123</v>
      </c>
      <c r="D123" s="38">
        <v>3</v>
      </c>
      <c r="E123" s="39" t="s">
        <v>401</v>
      </c>
      <c r="F123" s="39">
        <v>119403</v>
      </c>
      <c r="G123" s="6">
        <v>25</v>
      </c>
      <c r="H123" t="str">
        <f t="shared" si="4"/>
        <v>119403,25</v>
      </c>
    </row>
    <row r="124" ht="20.1" customHeight="1" spans="2:8">
      <c r="B124" s="37">
        <v>15402004</v>
      </c>
      <c r="C124" s="38" t="s">
        <v>1124</v>
      </c>
      <c r="D124" s="38">
        <v>3</v>
      </c>
      <c r="E124" s="39" t="s">
        <v>394</v>
      </c>
      <c r="F124" s="39">
        <v>119103</v>
      </c>
      <c r="G124" s="6">
        <v>25</v>
      </c>
      <c r="H124" t="str">
        <f t="shared" si="4"/>
        <v>119103,25</v>
      </c>
    </row>
    <row r="125" ht="20.1" customHeight="1" spans="2:8">
      <c r="B125" s="37">
        <v>15402006</v>
      </c>
      <c r="C125" s="38" t="s">
        <v>1125</v>
      </c>
      <c r="D125" s="38">
        <v>3</v>
      </c>
      <c r="E125" s="39" t="s">
        <v>1035</v>
      </c>
      <c r="F125" s="39">
        <v>101003</v>
      </c>
      <c r="G125" s="6">
        <v>37</v>
      </c>
      <c r="H125" t="str">
        <f t="shared" si="4"/>
        <v>101003,37</v>
      </c>
    </row>
    <row r="126" ht="20.1" customHeight="1" spans="2:8">
      <c r="B126" s="37">
        <v>15403002</v>
      </c>
      <c r="C126" s="38" t="s">
        <v>1126</v>
      </c>
      <c r="D126" s="38">
        <v>3</v>
      </c>
      <c r="E126" s="39" t="s">
        <v>29</v>
      </c>
      <c r="F126" s="39">
        <v>100803</v>
      </c>
      <c r="G126" s="6">
        <v>37</v>
      </c>
      <c r="H126" t="str">
        <f t="shared" si="4"/>
        <v>100803,37</v>
      </c>
    </row>
    <row r="127" ht="20.1" customHeight="1" spans="2:8">
      <c r="B127" s="37">
        <v>15403004</v>
      </c>
      <c r="C127" s="38" t="s">
        <v>1127</v>
      </c>
      <c r="D127" s="38">
        <v>3</v>
      </c>
      <c r="E127" s="39" t="s">
        <v>405</v>
      </c>
      <c r="F127" s="39">
        <v>119203</v>
      </c>
      <c r="G127" s="6">
        <v>25</v>
      </c>
      <c r="H127" t="str">
        <f t="shared" si="4"/>
        <v>119203,25</v>
      </c>
    </row>
    <row r="128" ht="20.1" customHeight="1" spans="2:8">
      <c r="B128" s="37">
        <v>15403006</v>
      </c>
      <c r="C128" s="38" t="s">
        <v>1128</v>
      </c>
      <c r="D128" s="38">
        <v>3</v>
      </c>
      <c r="E128" s="39" t="s">
        <v>354</v>
      </c>
      <c r="F128" s="39">
        <v>100203</v>
      </c>
      <c r="G128" s="6">
        <v>500</v>
      </c>
      <c r="H128" t="str">
        <f t="shared" si="4"/>
        <v>100203,500</v>
      </c>
    </row>
    <row r="129" ht="20.1" customHeight="1" spans="2:8">
      <c r="B129" s="37">
        <v>15404002</v>
      </c>
      <c r="C129" s="38" t="s">
        <v>1129</v>
      </c>
      <c r="D129" s="38">
        <v>3</v>
      </c>
      <c r="E129" s="39" t="s">
        <v>28</v>
      </c>
      <c r="F129" s="39">
        <v>100603</v>
      </c>
      <c r="G129" s="6">
        <v>37</v>
      </c>
      <c r="H129" t="str">
        <f t="shared" si="4"/>
        <v>100603,37</v>
      </c>
    </row>
    <row r="130" ht="20.1" customHeight="1" spans="2:8">
      <c r="B130" s="37">
        <v>15404004</v>
      </c>
      <c r="C130" s="38" t="s">
        <v>1130</v>
      </c>
      <c r="D130" s="38">
        <v>3</v>
      </c>
      <c r="E130" s="39" t="s">
        <v>405</v>
      </c>
      <c r="F130" s="39">
        <v>119203</v>
      </c>
      <c r="G130" s="6">
        <v>25</v>
      </c>
      <c r="H130" t="str">
        <f t="shared" si="4"/>
        <v>119203,25</v>
      </c>
    </row>
    <row r="131" ht="20.1" customHeight="1" spans="2:8">
      <c r="B131" s="37">
        <v>15404006</v>
      </c>
      <c r="C131" s="38" t="s">
        <v>1131</v>
      </c>
      <c r="D131" s="38">
        <v>3</v>
      </c>
      <c r="E131" s="39" t="s">
        <v>397</v>
      </c>
      <c r="F131" s="39">
        <v>119303</v>
      </c>
      <c r="G131" s="6">
        <v>25</v>
      </c>
      <c r="H131" t="str">
        <f t="shared" si="4"/>
        <v>119303,25</v>
      </c>
    </row>
    <row r="132" ht="20.1" customHeight="1" spans="2:8">
      <c r="B132" s="37">
        <v>15405002</v>
      </c>
      <c r="C132" s="38" t="s">
        <v>1132</v>
      </c>
      <c r="D132" s="38">
        <v>3</v>
      </c>
      <c r="E132" s="39" t="s">
        <v>29</v>
      </c>
      <c r="F132" s="39">
        <v>100803</v>
      </c>
      <c r="G132" s="6">
        <v>37</v>
      </c>
      <c r="H132" t="str">
        <f t="shared" si="4"/>
        <v>100803,37</v>
      </c>
    </row>
    <row r="133" ht="20.1" customHeight="1" spans="2:8">
      <c r="B133" s="37">
        <v>15405004</v>
      </c>
      <c r="C133" s="38" t="s">
        <v>1133</v>
      </c>
      <c r="D133" s="38">
        <v>3</v>
      </c>
      <c r="E133" s="39" t="s">
        <v>401</v>
      </c>
      <c r="F133" s="39">
        <v>119403</v>
      </c>
      <c r="G133" s="6">
        <v>25</v>
      </c>
      <c r="H133" t="str">
        <f t="shared" si="4"/>
        <v>119403,25</v>
      </c>
    </row>
    <row r="134" ht="20.1" customHeight="1" spans="2:8">
      <c r="B134" s="37">
        <v>15405006</v>
      </c>
      <c r="C134" s="38" t="s">
        <v>1134</v>
      </c>
      <c r="D134" s="38">
        <v>3</v>
      </c>
      <c r="E134" s="39" t="s">
        <v>354</v>
      </c>
      <c r="F134" s="39">
        <v>100203</v>
      </c>
      <c r="G134" s="6">
        <v>500</v>
      </c>
      <c r="H134" t="str">
        <f t="shared" si="4"/>
        <v>100203,500</v>
      </c>
    </row>
    <row r="135" ht="20.1" customHeight="1" spans="2:8">
      <c r="B135" s="37">
        <v>15406002</v>
      </c>
      <c r="C135" s="38" t="s">
        <v>1135</v>
      </c>
      <c r="D135" s="38">
        <v>3</v>
      </c>
      <c r="E135" s="39" t="s">
        <v>3</v>
      </c>
      <c r="F135" s="39">
        <v>100403</v>
      </c>
      <c r="G135" s="6">
        <v>37</v>
      </c>
      <c r="H135" t="str">
        <f t="shared" si="4"/>
        <v>100403,37</v>
      </c>
    </row>
    <row r="136" ht="20.1" customHeight="1" spans="2:8">
      <c r="B136" s="37">
        <v>15407002</v>
      </c>
      <c r="C136" s="38" t="s">
        <v>1136</v>
      </c>
      <c r="D136" s="38">
        <v>3</v>
      </c>
      <c r="E136" s="39" t="s">
        <v>3</v>
      </c>
      <c r="F136" s="39">
        <v>100403</v>
      </c>
      <c r="G136" s="6">
        <v>37</v>
      </c>
      <c r="H136" t="str">
        <f t="shared" si="4"/>
        <v>100403,37</v>
      </c>
    </row>
    <row r="137" ht="20.1" customHeight="1" spans="2:8">
      <c r="B137" s="37">
        <v>15408002</v>
      </c>
      <c r="C137" s="38" t="s">
        <v>1137</v>
      </c>
      <c r="D137" s="38">
        <v>3</v>
      </c>
      <c r="E137" s="39" t="s">
        <v>397</v>
      </c>
      <c r="F137" s="39">
        <v>119303</v>
      </c>
      <c r="G137" s="6">
        <v>25</v>
      </c>
      <c r="H137" t="str">
        <f t="shared" si="4"/>
        <v>119303,25</v>
      </c>
    </row>
    <row r="138" ht="20.1" customHeight="1" spans="2:8">
      <c r="B138" s="37">
        <v>15409002</v>
      </c>
      <c r="C138" s="38" t="s">
        <v>1138</v>
      </c>
      <c r="D138" s="38">
        <v>3</v>
      </c>
      <c r="E138" s="39" t="s">
        <v>354</v>
      </c>
      <c r="F138" s="39">
        <v>100203</v>
      </c>
      <c r="G138" s="6">
        <v>500</v>
      </c>
      <c r="H138" t="str">
        <f t="shared" si="4"/>
        <v>100203,500</v>
      </c>
    </row>
    <row r="139" ht="20.1" customHeight="1" spans="2:8">
      <c r="B139" s="37">
        <v>15410002</v>
      </c>
      <c r="C139" s="38" t="s">
        <v>1139</v>
      </c>
      <c r="D139" s="38">
        <v>3</v>
      </c>
      <c r="E139" s="39" t="s">
        <v>1035</v>
      </c>
      <c r="F139" s="39">
        <v>101003</v>
      </c>
      <c r="G139" s="6">
        <v>37</v>
      </c>
      <c r="H139" t="str">
        <f t="shared" si="4"/>
        <v>101003,37</v>
      </c>
    </row>
    <row r="140" ht="20.1" customHeight="1" spans="2:8">
      <c r="B140" s="37">
        <v>15410004</v>
      </c>
      <c r="C140" s="38" t="s">
        <v>1140</v>
      </c>
      <c r="D140" s="38">
        <v>3</v>
      </c>
      <c r="E140" s="39" t="s">
        <v>1035</v>
      </c>
      <c r="F140" s="39">
        <v>101003</v>
      </c>
      <c r="G140" s="6">
        <v>37</v>
      </c>
      <c r="H140" t="str">
        <f t="shared" si="4"/>
        <v>101003,37</v>
      </c>
    </row>
    <row r="141" ht="20.1" customHeight="1" spans="2:8">
      <c r="B141" s="37">
        <v>15410102</v>
      </c>
      <c r="C141" s="38" t="s">
        <v>1141</v>
      </c>
      <c r="D141" s="38">
        <v>3</v>
      </c>
      <c r="E141" s="39" t="s">
        <v>3</v>
      </c>
      <c r="F141" s="39">
        <v>100403</v>
      </c>
      <c r="G141" s="6">
        <v>37</v>
      </c>
      <c r="H141" t="str">
        <f t="shared" si="4"/>
        <v>100403,37</v>
      </c>
    </row>
    <row r="142" ht="20.1" customHeight="1" spans="2:8">
      <c r="B142" s="37">
        <v>15410104</v>
      </c>
      <c r="C142" s="38" t="s">
        <v>1142</v>
      </c>
      <c r="D142" s="38">
        <v>3</v>
      </c>
      <c r="E142" s="39" t="s">
        <v>3</v>
      </c>
      <c r="F142" s="39">
        <v>100403</v>
      </c>
      <c r="G142" s="6">
        <v>37</v>
      </c>
      <c r="H142" t="str">
        <f t="shared" si="4"/>
        <v>100403,37</v>
      </c>
    </row>
    <row r="143" ht="20.1" customHeight="1" spans="2:8">
      <c r="B143" s="37">
        <v>15411002</v>
      </c>
      <c r="C143" s="38" t="s">
        <v>1143</v>
      </c>
      <c r="D143" s="38">
        <v>3</v>
      </c>
      <c r="E143" s="39" t="s">
        <v>394</v>
      </c>
      <c r="F143" s="39">
        <v>119103</v>
      </c>
      <c r="G143" s="6">
        <v>25</v>
      </c>
      <c r="H143" t="str">
        <f t="shared" si="4"/>
        <v>119103,25</v>
      </c>
    </row>
    <row r="144" ht="20.1" customHeight="1" spans="2:8">
      <c r="B144" s="37">
        <v>15411004</v>
      </c>
      <c r="C144" s="38" t="s">
        <v>1144</v>
      </c>
      <c r="D144" s="38">
        <v>3</v>
      </c>
      <c r="E144" s="39" t="s">
        <v>401</v>
      </c>
      <c r="F144" s="39">
        <v>119403</v>
      </c>
      <c r="G144" s="6">
        <v>25</v>
      </c>
      <c r="H144" t="str">
        <f t="shared" si="4"/>
        <v>119403,25</v>
      </c>
    </row>
    <row r="145" ht="20.1" customHeight="1" spans="2:8">
      <c r="B145" s="37">
        <v>15411006</v>
      </c>
      <c r="C145" s="38" t="s">
        <v>1145</v>
      </c>
      <c r="D145" s="38">
        <v>3</v>
      </c>
      <c r="E145" s="39" t="s">
        <v>354</v>
      </c>
      <c r="F145" s="39">
        <v>100203</v>
      </c>
      <c r="G145" s="6">
        <v>500</v>
      </c>
      <c r="H145" t="str">
        <f t="shared" si="4"/>
        <v>100203,500</v>
      </c>
    </row>
    <row r="146" ht="20.1" customHeight="1" spans="2:8">
      <c r="B146" s="40">
        <v>10024010</v>
      </c>
      <c r="C146" s="42" t="s">
        <v>1146</v>
      </c>
      <c r="D146" s="37">
        <v>300</v>
      </c>
      <c r="E146" s="39" t="s">
        <v>405</v>
      </c>
      <c r="F146" s="39">
        <v>119203</v>
      </c>
      <c r="G146" s="6">
        <v>25</v>
      </c>
      <c r="H146" t="str">
        <f t="shared" si="4"/>
        <v>119203,25</v>
      </c>
    </row>
    <row r="147" ht="20.1" customHeight="1" spans="2:8">
      <c r="B147" s="40">
        <v>10024010</v>
      </c>
      <c r="C147" s="42" t="s">
        <v>1146</v>
      </c>
      <c r="D147" s="37">
        <v>500</v>
      </c>
      <c r="E147" s="39" t="s">
        <v>354</v>
      </c>
      <c r="F147" s="39">
        <v>100203</v>
      </c>
      <c r="G147" s="6">
        <v>500</v>
      </c>
      <c r="H147" t="str">
        <f t="shared" si="4"/>
        <v>100203,500</v>
      </c>
    </row>
    <row r="148" ht="20.1" customHeight="1" spans="2:8">
      <c r="B148" s="40">
        <v>10024010</v>
      </c>
      <c r="C148" s="42" t="s">
        <v>1146</v>
      </c>
      <c r="D148" s="37">
        <v>1000</v>
      </c>
      <c r="E148" s="39" t="s">
        <v>1035</v>
      </c>
      <c r="F148" s="39">
        <v>101003</v>
      </c>
      <c r="G148" s="6">
        <v>37</v>
      </c>
      <c r="H148" t="str">
        <f t="shared" si="4"/>
        <v>101003,37</v>
      </c>
    </row>
    <row r="149" ht="20.1" customHeight="1" spans="2:12">
      <c r="B149" s="40">
        <v>10024008</v>
      </c>
      <c r="C149" s="37" t="s">
        <v>1147</v>
      </c>
      <c r="D149" s="37">
        <v>5</v>
      </c>
      <c r="E149" s="39" t="s">
        <v>354</v>
      </c>
      <c r="F149" s="39">
        <v>100203</v>
      </c>
      <c r="G149" s="6">
        <v>500</v>
      </c>
      <c r="H149" t="str">
        <f t="shared" si="4"/>
        <v>100203,500</v>
      </c>
      <c r="J149" s="6"/>
      <c r="K149" s="39"/>
      <c r="L149" s="6"/>
    </row>
    <row r="150" ht="20.1" customHeight="1" spans="2:8">
      <c r="B150" s="40">
        <v>10024008</v>
      </c>
      <c r="C150" s="37" t="s">
        <v>1147</v>
      </c>
      <c r="D150" s="37">
        <v>10</v>
      </c>
      <c r="E150" s="39" t="s">
        <v>3</v>
      </c>
      <c r="F150" s="39">
        <v>100403</v>
      </c>
      <c r="G150" s="6">
        <v>37</v>
      </c>
      <c r="H150" t="str">
        <f t="shared" si="4"/>
        <v>100403,37</v>
      </c>
    </row>
    <row r="151" ht="20.1" customHeight="1" spans="2:8">
      <c r="B151" s="40">
        <v>10024008</v>
      </c>
      <c r="C151" s="37" t="s">
        <v>1147</v>
      </c>
      <c r="D151" s="37">
        <v>20</v>
      </c>
      <c r="E151" s="39" t="s">
        <v>365</v>
      </c>
      <c r="F151" s="39">
        <v>110101</v>
      </c>
      <c r="G151" s="6">
        <v>50</v>
      </c>
      <c r="H151" t="str">
        <f t="shared" si="4"/>
        <v>110101,50</v>
      </c>
    </row>
    <row r="152" ht="20.1" customHeight="1" spans="2:8">
      <c r="B152" s="40">
        <v>10024009</v>
      </c>
      <c r="C152" s="37" t="s">
        <v>1148</v>
      </c>
      <c r="D152" s="37">
        <v>3</v>
      </c>
      <c r="E152" s="39" t="s">
        <v>354</v>
      </c>
      <c r="F152" s="39">
        <v>100203</v>
      </c>
      <c r="G152" s="6">
        <v>500</v>
      </c>
      <c r="H152" t="str">
        <f t="shared" si="4"/>
        <v>100203,500</v>
      </c>
    </row>
    <row r="153" ht="20.1" customHeight="1" spans="2:8">
      <c r="B153" s="40">
        <v>10024009</v>
      </c>
      <c r="C153" s="37" t="s">
        <v>1148</v>
      </c>
      <c r="D153" s="37">
        <v>5</v>
      </c>
      <c r="E153" s="39" t="s">
        <v>394</v>
      </c>
      <c r="F153" s="39">
        <v>119103</v>
      </c>
      <c r="G153" s="6">
        <v>25</v>
      </c>
      <c r="H153" t="str">
        <f t="shared" si="4"/>
        <v>119103,25</v>
      </c>
    </row>
    <row r="154" ht="20.1" customHeight="1" spans="2:8">
      <c r="B154" s="40">
        <v>10024009</v>
      </c>
      <c r="C154" s="37" t="s">
        <v>1148</v>
      </c>
      <c r="D154" s="37">
        <v>10</v>
      </c>
      <c r="E154" s="39" t="s">
        <v>365</v>
      </c>
      <c r="F154" s="39">
        <v>110101</v>
      </c>
      <c r="G154" s="6">
        <v>50</v>
      </c>
      <c r="H154" t="str">
        <f t="shared" si="4"/>
        <v>110101,50</v>
      </c>
    </row>
    <row r="155" ht="20.1" customHeight="1"/>
    <row r="156" ht="20.1" customHeight="1" spans="1:2">
      <c r="A156" s="36"/>
      <c r="B156" s="36" t="s">
        <v>1149</v>
      </c>
    </row>
    <row r="157" ht="20.1" customHeight="1"/>
    <row r="158" ht="20.1" customHeight="1" spans="2:8">
      <c r="B158" s="37">
        <v>15501002</v>
      </c>
      <c r="C158" s="38" t="s">
        <v>1150</v>
      </c>
      <c r="D158" s="38">
        <v>3</v>
      </c>
      <c r="E158" s="39" t="s">
        <v>28</v>
      </c>
      <c r="F158" s="39">
        <v>100603</v>
      </c>
      <c r="G158" s="6">
        <v>45</v>
      </c>
      <c r="H158" t="str">
        <f>F158&amp;","&amp;G158</f>
        <v>100603,45</v>
      </c>
    </row>
    <row r="159" ht="20.1" customHeight="1" spans="2:8">
      <c r="B159" s="37">
        <v>15501004</v>
      </c>
      <c r="C159" s="38" t="s">
        <v>1151</v>
      </c>
      <c r="D159" s="38">
        <v>3</v>
      </c>
      <c r="E159" s="39" t="s">
        <v>397</v>
      </c>
      <c r="F159" s="39">
        <v>119303</v>
      </c>
      <c r="G159" s="6">
        <v>30</v>
      </c>
      <c r="H159" t="str">
        <f t="shared" ref="H159:H192" si="5">F159&amp;","&amp;G159</f>
        <v>119303,30</v>
      </c>
    </row>
    <row r="160" ht="20.1" customHeight="1" spans="2:8">
      <c r="B160" s="37">
        <v>15501006</v>
      </c>
      <c r="C160" s="38" t="s">
        <v>1152</v>
      </c>
      <c r="D160" s="38">
        <v>3</v>
      </c>
      <c r="E160" s="39" t="s">
        <v>354</v>
      </c>
      <c r="F160" s="39">
        <v>100203</v>
      </c>
      <c r="G160" s="6">
        <v>600</v>
      </c>
      <c r="H160" t="str">
        <f t="shared" si="5"/>
        <v>100203,600</v>
      </c>
    </row>
    <row r="161" ht="20.1" customHeight="1" spans="2:8">
      <c r="B161" s="37">
        <v>15502002</v>
      </c>
      <c r="C161" s="38" t="s">
        <v>1153</v>
      </c>
      <c r="D161" s="38">
        <v>3</v>
      </c>
      <c r="E161" s="39" t="s">
        <v>401</v>
      </c>
      <c r="F161" s="39">
        <v>119403</v>
      </c>
      <c r="G161" s="6">
        <v>30</v>
      </c>
      <c r="H161" t="str">
        <f t="shared" si="5"/>
        <v>119403,30</v>
      </c>
    </row>
    <row r="162" ht="20.1" customHeight="1" spans="2:8">
      <c r="B162" s="37">
        <v>15502004</v>
      </c>
      <c r="C162" s="38" t="s">
        <v>1154</v>
      </c>
      <c r="D162" s="38">
        <v>3</v>
      </c>
      <c r="E162" s="39" t="s">
        <v>394</v>
      </c>
      <c r="F162" s="39">
        <v>119103</v>
      </c>
      <c r="G162" s="6">
        <v>30</v>
      </c>
      <c r="H162" t="str">
        <f t="shared" si="5"/>
        <v>119103,30</v>
      </c>
    </row>
    <row r="163" ht="20.1" customHeight="1" spans="2:8">
      <c r="B163" s="37">
        <v>15502006</v>
      </c>
      <c r="C163" s="38" t="s">
        <v>1155</v>
      </c>
      <c r="D163" s="38">
        <v>3</v>
      </c>
      <c r="E163" s="39" t="s">
        <v>1035</v>
      </c>
      <c r="F163" s="39">
        <v>101003</v>
      </c>
      <c r="G163" s="6">
        <v>45</v>
      </c>
      <c r="H163" t="str">
        <f t="shared" si="5"/>
        <v>101003,45</v>
      </c>
    </row>
    <row r="164" ht="20.1" customHeight="1" spans="2:8">
      <c r="B164" s="37">
        <v>15503002</v>
      </c>
      <c r="C164" s="38" t="s">
        <v>1156</v>
      </c>
      <c r="D164" s="38">
        <v>3</v>
      </c>
      <c r="E164" s="39" t="s">
        <v>29</v>
      </c>
      <c r="F164" s="39">
        <v>100803</v>
      </c>
      <c r="G164" s="6">
        <v>45</v>
      </c>
      <c r="H164" t="str">
        <f t="shared" si="5"/>
        <v>100803,45</v>
      </c>
    </row>
    <row r="165" ht="20.1" customHeight="1" spans="2:8">
      <c r="B165" s="37">
        <v>15503004</v>
      </c>
      <c r="C165" s="38" t="s">
        <v>1157</v>
      </c>
      <c r="D165" s="38">
        <v>3</v>
      </c>
      <c r="E165" s="39" t="s">
        <v>405</v>
      </c>
      <c r="F165" s="39">
        <v>119203</v>
      </c>
      <c r="G165" s="6">
        <v>30</v>
      </c>
      <c r="H165" t="str">
        <f t="shared" si="5"/>
        <v>119203,30</v>
      </c>
    </row>
    <row r="166" ht="20.1" customHeight="1" spans="2:8">
      <c r="B166" s="37">
        <v>15503006</v>
      </c>
      <c r="C166" s="38" t="s">
        <v>1158</v>
      </c>
      <c r="D166" s="38">
        <v>3</v>
      </c>
      <c r="E166" s="39" t="s">
        <v>354</v>
      </c>
      <c r="F166" s="39">
        <v>100203</v>
      </c>
      <c r="G166" s="6">
        <v>600</v>
      </c>
      <c r="H166" t="str">
        <f t="shared" si="5"/>
        <v>100203,600</v>
      </c>
    </row>
    <row r="167" ht="20.1" customHeight="1" spans="2:8">
      <c r="B167" s="37">
        <v>15504002</v>
      </c>
      <c r="C167" s="38" t="s">
        <v>1159</v>
      </c>
      <c r="D167" s="38">
        <v>3</v>
      </c>
      <c r="E167" s="39" t="s">
        <v>28</v>
      </c>
      <c r="F167" s="39">
        <v>100603</v>
      </c>
      <c r="G167" s="6">
        <v>45</v>
      </c>
      <c r="H167" t="str">
        <f t="shared" si="5"/>
        <v>100603,45</v>
      </c>
    </row>
    <row r="168" ht="20.1" customHeight="1" spans="2:8">
      <c r="B168" s="37">
        <v>15504004</v>
      </c>
      <c r="C168" s="38" t="s">
        <v>1160</v>
      </c>
      <c r="D168" s="38">
        <v>3</v>
      </c>
      <c r="E168" s="39" t="s">
        <v>405</v>
      </c>
      <c r="F168" s="39">
        <v>119203</v>
      </c>
      <c r="G168" s="6">
        <v>30</v>
      </c>
      <c r="H168" t="str">
        <f t="shared" si="5"/>
        <v>119203,30</v>
      </c>
    </row>
    <row r="169" ht="20.1" customHeight="1" spans="2:8">
      <c r="B169" s="37">
        <v>15504006</v>
      </c>
      <c r="C169" s="38" t="s">
        <v>1161</v>
      </c>
      <c r="D169" s="38">
        <v>3</v>
      </c>
      <c r="E169" s="39" t="s">
        <v>397</v>
      </c>
      <c r="F169" s="39">
        <v>119303</v>
      </c>
      <c r="G169" s="6">
        <v>30</v>
      </c>
      <c r="H169" t="str">
        <f t="shared" si="5"/>
        <v>119303,30</v>
      </c>
    </row>
    <row r="170" ht="20.1" customHeight="1" spans="2:8">
      <c r="B170" s="37">
        <v>15505002</v>
      </c>
      <c r="C170" s="38" t="s">
        <v>1162</v>
      </c>
      <c r="D170" s="38">
        <v>3</v>
      </c>
      <c r="E170" s="39" t="s">
        <v>29</v>
      </c>
      <c r="F170" s="39">
        <v>100803</v>
      </c>
      <c r="G170" s="6">
        <v>45</v>
      </c>
      <c r="H170" t="str">
        <f t="shared" si="5"/>
        <v>100803,45</v>
      </c>
    </row>
    <row r="171" ht="20.1" customHeight="1" spans="2:8">
      <c r="B171" s="37">
        <v>15505004</v>
      </c>
      <c r="C171" s="38" t="s">
        <v>1163</v>
      </c>
      <c r="D171" s="38">
        <v>3</v>
      </c>
      <c r="E171" s="39" t="s">
        <v>401</v>
      </c>
      <c r="F171" s="39">
        <v>119403</v>
      </c>
      <c r="G171" s="6">
        <v>30</v>
      </c>
      <c r="H171" t="str">
        <f t="shared" si="5"/>
        <v>119403,30</v>
      </c>
    </row>
    <row r="172" ht="20.1" customHeight="1" spans="2:8">
      <c r="B172" s="37">
        <v>15505006</v>
      </c>
      <c r="C172" s="38" t="s">
        <v>1164</v>
      </c>
      <c r="D172" s="38">
        <v>3</v>
      </c>
      <c r="E172" s="39" t="s">
        <v>354</v>
      </c>
      <c r="F172" s="39">
        <v>100203</v>
      </c>
      <c r="G172" s="6">
        <v>600</v>
      </c>
      <c r="H172" t="str">
        <f t="shared" si="5"/>
        <v>100203,600</v>
      </c>
    </row>
    <row r="173" ht="20.1" customHeight="1" spans="2:8">
      <c r="B173" s="37">
        <v>15506002</v>
      </c>
      <c r="C173" s="38" t="s">
        <v>1165</v>
      </c>
      <c r="D173" s="38">
        <v>3</v>
      </c>
      <c r="E173" s="39" t="s">
        <v>3</v>
      </c>
      <c r="F173" s="39">
        <v>100403</v>
      </c>
      <c r="G173" s="6">
        <v>45</v>
      </c>
      <c r="H173" t="str">
        <f t="shared" si="5"/>
        <v>100403,45</v>
      </c>
    </row>
    <row r="174" ht="20.1" customHeight="1" spans="2:8">
      <c r="B174" s="37">
        <v>15507002</v>
      </c>
      <c r="C174" s="38" t="s">
        <v>1166</v>
      </c>
      <c r="D174" s="38">
        <v>3</v>
      </c>
      <c r="E174" s="39" t="s">
        <v>3</v>
      </c>
      <c r="F174" s="39">
        <v>100403</v>
      </c>
      <c r="G174" s="6">
        <v>45</v>
      </c>
      <c r="H174" t="str">
        <f t="shared" si="5"/>
        <v>100403,45</v>
      </c>
    </row>
    <row r="175" ht="20.1" customHeight="1" spans="2:8">
      <c r="B175" s="37">
        <v>15508002</v>
      </c>
      <c r="C175" s="38" t="s">
        <v>1167</v>
      </c>
      <c r="D175" s="38">
        <v>3</v>
      </c>
      <c r="E175" s="39" t="s">
        <v>397</v>
      </c>
      <c r="F175" s="39">
        <v>119303</v>
      </c>
      <c r="G175" s="6">
        <v>30</v>
      </c>
      <c r="H175" t="str">
        <f t="shared" si="5"/>
        <v>119303,30</v>
      </c>
    </row>
    <row r="176" ht="20.1" customHeight="1" spans="2:8">
      <c r="B176" s="37">
        <v>15509002</v>
      </c>
      <c r="C176" s="38" t="s">
        <v>1168</v>
      </c>
      <c r="D176" s="38">
        <v>3</v>
      </c>
      <c r="E176" s="39" t="s">
        <v>354</v>
      </c>
      <c r="F176" s="39">
        <v>100203</v>
      </c>
      <c r="G176" s="6">
        <v>600</v>
      </c>
      <c r="H176" t="str">
        <f t="shared" si="5"/>
        <v>100203,600</v>
      </c>
    </row>
    <row r="177" ht="20.1" customHeight="1" spans="2:8">
      <c r="B177" s="37">
        <v>15510002</v>
      </c>
      <c r="C177" s="38" t="s">
        <v>1169</v>
      </c>
      <c r="D177" s="38">
        <v>3</v>
      </c>
      <c r="E177" s="39" t="s">
        <v>1035</v>
      </c>
      <c r="F177" s="39">
        <v>101003</v>
      </c>
      <c r="G177" s="6">
        <v>45</v>
      </c>
      <c r="H177" t="str">
        <f t="shared" si="5"/>
        <v>101003,45</v>
      </c>
    </row>
    <row r="178" ht="20.1" customHeight="1" spans="2:8">
      <c r="B178" s="37">
        <v>15510004</v>
      </c>
      <c r="C178" s="38" t="s">
        <v>1170</v>
      </c>
      <c r="D178" s="38">
        <v>3</v>
      </c>
      <c r="E178" s="39" t="s">
        <v>1035</v>
      </c>
      <c r="F178" s="39">
        <v>101003</v>
      </c>
      <c r="G178" s="6">
        <v>45</v>
      </c>
      <c r="H178" t="str">
        <f t="shared" si="5"/>
        <v>101003,45</v>
      </c>
    </row>
    <row r="179" ht="20.1" customHeight="1" spans="2:8">
      <c r="B179" s="37">
        <v>15510102</v>
      </c>
      <c r="C179" s="38" t="s">
        <v>1171</v>
      </c>
      <c r="D179" s="38">
        <v>3</v>
      </c>
      <c r="E179" s="39" t="s">
        <v>3</v>
      </c>
      <c r="F179" s="39">
        <v>100403</v>
      </c>
      <c r="G179" s="6">
        <v>45</v>
      </c>
      <c r="H179" t="str">
        <f t="shared" si="5"/>
        <v>100403,45</v>
      </c>
    </row>
    <row r="180" ht="20.1" customHeight="1" spans="2:8">
      <c r="B180" s="37">
        <v>15510104</v>
      </c>
      <c r="C180" s="38" t="s">
        <v>1172</v>
      </c>
      <c r="D180" s="38">
        <v>3</v>
      </c>
      <c r="E180" s="39" t="s">
        <v>3</v>
      </c>
      <c r="F180" s="39">
        <v>100403</v>
      </c>
      <c r="G180" s="6">
        <v>45</v>
      </c>
      <c r="H180" t="str">
        <f t="shared" si="5"/>
        <v>100403,45</v>
      </c>
    </row>
    <row r="181" ht="20.1" customHeight="1" spans="2:8">
      <c r="B181" s="37">
        <v>15511002</v>
      </c>
      <c r="C181" s="38" t="s">
        <v>1173</v>
      </c>
      <c r="D181" s="38">
        <v>3</v>
      </c>
      <c r="E181" s="39" t="s">
        <v>394</v>
      </c>
      <c r="F181" s="39">
        <v>119103</v>
      </c>
      <c r="G181" s="6">
        <v>30</v>
      </c>
      <c r="H181" t="str">
        <f t="shared" si="5"/>
        <v>119103,30</v>
      </c>
    </row>
    <row r="182" ht="20.1" customHeight="1" spans="2:8">
      <c r="B182" s="37">
        <v>15511004</v>
      </c>
      <c r="C182" s="38" t="s">
        <v>1174</v>
      </c>
      <c r="D182" s="38">
        <v>3</v>
      </c>
      <c r="E182" s="39" t="s">
        <v>401</v>
      </c>
      <c r="F182" s="39">
        <v>119403</v>
      </c>
      <c r="G182" s="6">
        <v>30</v>
      </c>
      <c r="H182" t="str">
        <f t="shared" si="5"/>
        <v>119403,30</v>
      </c>
    </row>
    <row r="183" ht="20.1" customHeight="1" spans="2:8">
      <c r="B183" s="37">
        <v>15511006</v>
      </c>
      <c r="C183" s="38" t="s">
        <v>1175</v>
      </c>
      <c r="D183" s="38">
        <v>3</v>
      </c>
      <c r="E183" s="39" t="s">
        <v>354</v>
      </c>
      <c r="F183" s="39">
        <v>100203</v>
      </c>
      <c r="G183" s="6">
        <v>600</v>
      </c>
      <c r="H183" t="str">
        <f t="shared" si="5"/>
        <v>100203,600</v>
      </c>
    </row>
    <row r="184" ht="20.1" customHeight="1" spans="2:8">
      <c r="B184" s="40">
        <v>10025010</v>
      </c>
      <c r="C184" s="37" t="s">
        <v>1176</v>
      </c>
      <c r="D184" s="37">
        <v>300</v>
      </c>
      <c r="E184" s="39" t="s">
        <v>405</v>
      </c>
      <c r="F184" s="39">
        <v>119203</v>
      </c>
      <c r="G184" s="6">
        <v>30</v>
      </c>
      <c r="H184" t="str">
        <f t="shared" si="5"/>
        <v>119203,30</v>
      </c>
    </row>
    <row r="185" ht="20.1" customHeight="1" spans="2:8">
      <c r="B185" s="40">
        <v>10025010</v>
      </c>
      <c r="C185" s="37" t="s">
        <v>1176</v>
      </c>
      <c r="D185" s="37">
        <v>500</v>
      </c>
      <c r="E185" s="39" t="s">
        <v>354</v>
      </c>
      <c r="F185" s="39">
        <v>100203</v>
      </c>
      <c r="G185" s="6">
        <v>600</v>
      </c>
      <c r="H185" t="str">
        <f t="shared" si="5"/>
        <v>100203,600</v>
      </c>
    </row>
    <row r="186" ht="20.1" customHeight="1" spans="2:8">
      <c r="B186" s="40">
        <v>10025010</v>
      </c>
      <c r="C186" s="37" t="s">
        <v>1176</v>
      </c>
      <c r="D186" s="37">
        <v>1000</v>
      </c>
      <c r="E186" s="39" t="s">
        <v>1035</v>
      </c>
      <c r="F186" s="39">
        <v>101003</v>
      </c>
      <c r="G186" s="6">
        <v>45</v>
      </c>
      <c r="H186" t="str">
        <f t="shared" si="5"/>
        <v>101003,45</v>
      </c>
    </row>
    <row r="187" ht="20.1" customHeight="1" spans="2:12">
      <c r="B187" s="40">
        <v>10025008</v>
      </c>
      <c r="C187" s="37" t="s">
        <v>1177</v>
      </c>
      <c r="D187" s="37">
        <v>5</v>
      </c>
      <c r="E187" s="39" t="s">
        <v>354</v>
      </c>
      <c r="F187" s="39">
        <v>100203</v>
      </c>
      <c r="G187" s="6">
        <v>600</v>
      </c>
      <c r="H187" t="str">
        <f t="shared" si="5"/>
        <v>100203,600</v>
      </c>
      <c r="J187" s="6"/>
      <c r="K187" s="39"/>
      <c r="L187" s="6"/>
    </row>
    <row r="188" ht="20.1" customHeight="1" spans="2:8">
      <c r="B188" s="40">
        <v>10025008</v>
      </c>
      <c r="C188" s="37" t="s">
        <v>1177</v>
      </c>
      <c r="D188" s="37">
        <v>10</v>
      </c>
      <c r="E188" s="39" t="s">
        <v>3</v>
      </c>
      <c r="F188" s="39">
        <v>100403</v>
      </c>
      <c r="G188" s="6">
        <v>45</v>
      </c>
      <c r="H188" t="str">
        <f t="shared" si="5"/>
        <v>100403,45</v>
      </c>
    </row>
    <row r="189" ht="20.1" customHeight="1" spans="2:8">
      <c r="B189" s="40">
        <v>10025008</v>
      </c>
      <c r="C189" s="37" t="s">
        <v>1177</v>
      </c>
      <c r="D189" s="37">
        <v>20</v>
      </c>
      <c r="E189" s="39" t="s">
        <v>365</v>
      </c>
      <c r="F189" s="39">
        <v>110101</v>
      </c>
      <c r="G189" s="6">
        <v>60</v>
      </c>
      <c r="H189" t="str">
        <f t="shared" si="5"/>
        <v>110101,60</v>
      </c>
    </row>
    <row r="190" ht="20.1" customHeight="1" spans="2:8">
      <c r="B190" s="40">
        <v>10025009</v>
      </c>
      <c r="C190" s="37" t="s">
        <v>1178</v>
      </c>
      <c r="D190" s="37">
        <v>3</v>
      </c>
      <c r="E190" s="39" t="s">
        <v>354</v>
      </c>
      <c r="F190" s="39">
        <v>100203</v>
      </c>
      <c r="G190" s="6">
        <v>600</v>
      </c>
      <c r="H190" t="str">
        <f t="shared" si="5"/>
        <v>100203,600</v>
      </c>
    </row>
    <row r="191" ht="20.1" customHeight="1" spans="2:8">
      <c r="B191" s="40">
        <v>10025009</v>
      </c>
      <c r="C191" s="37" t="s">
        <v>1178</v>
      </c>
      <c r="D191" s="37">
        <v>5</v>
      </c>
      <c r="E191" s="39" t="s">
        <v>394</v>
      </c>
      <c r="F191" s="39">
        <v>119103</v>
      </c>
      <c r="G191" s="6">
        <v>30</v>
      </c>
      <c r="H191" t="str">
        <f t="shared" si="5"/>
        <v>119103,30</v>
      </c>
    </row>
    <row r="192" ht="20.1" customHeight="1" spans="2:8">
      <c r="B192" s="40">
        <v>10025009</v>
      </c>
      <c r="C192" s="37" t="s">
        <v>1178</v>
      </c>
      <c r="D192" s="37">
        <v>10</v>
      </c>
      <c r="E192" s="39" t="s">
        <v>365</v>
      </c>
      <c r="F192" s="39">
        <v>110101</v>
      </c>
      <c r="G192" s="6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7"/>
  <sheetViews>
    <sheetView workbookViewId="0">
      <selection activeCell="B8" sqref="B8"/>
    </sheetView>
  </sheetViews>
  <sheetFormatPr defaultColWidth="9" defaultRowHeight="14.25" outlineLevelRow="6" outlineLevelCol="1"/>
  <sheetData>
    <row r="2" spans="2:2">
      <c r="B2" s="36" t="s">
        <v>1179</v>
      </c>
    </row>
    <row r="3" spans="2:2">
      <c r="B3" s="36" t="s">
        <v>1180</v>
      </c>
    </row>
    <row r="4" spans="2:2">
      <c r="B4" s="36" t="s">
        <v>1181</v>
      </c>
    </row>
    <row r="5" spans="2:2">
      <c r="B5" s="36" t="s">
        <v>1182</v>
      </c>
    </row>
    <row r="6" spans="2:2">
      <c r="B6" s="36" t="s">
        <v>1183</v>
      </c>
    </row>
    <row r="7" spans="2:2">
      <c r="B7" s="36" t="s">
        <v>1184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2023-02-21T15:59:22Z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