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5"/>
  <workbookPr defaultThemeVersion="166925"/>
  <mc:AlternateContent xmlns:mc="http://schemas.openxmlformats.org/markup-compatibility/2006">
    <mc:Choice Requires="x15">
      <x15ac:absPath xmlns:x15ac="http://schemas.microsoft.com/office/spreadsheetml/2010/11/ac" url="/Users/chengyixu/Desktop/JHU/Spring 2/MA/Case/Statement/"/>
    </mc:Choice>
  </mc:AlternateContent>
  <xr:revisionPtr revIDLastSave="0" documentId="13_ncr:1_{6D3B1E57-C29E-7F45-96B7-44A8C3FECC81}" xr6:coauthVersionLast="47" xr6:coauthVersionMax="47" xr10:uidLastSave="{00000000-0000-0000-0000-000000000000}"/>
  <bookViews>
    <workbookView xWindow="4860" yWindow="3320" windowWidth="21160" windowHeight="14380" firstSheet="10" activeTab="15" xr2:uid="{A7B8F950-B9A0-C646-9401-E7F48C48CBD7}"/>
  </bookViews>
  <sheets>
    <sheet name="Cover Page" sheetId="6" r:id="rId1"/>
    <sheet name="Currency Exchange" sheetId="7" r:id="rId2"/>
    <sheet name="Valuation Conclusion (USD)" sheetId="17" r:id="rId3"/>
    <sheet name="Proforma Statements" sheetId="15" r:id="rId4"/>
    <sheet name="Input Data" sheetId="22" state="hidden" r:id="rId5"/>
    <sheet name="Combination Financing" sheetId="21" r:id="rId6"/>
    <sheet name="Income Approach wo Synergies" sheetId="12" r:id="rId7"/>
    <sheet name="Income Approach with Synergies" sheetId="24" r:id="rId8"/>
    <sheet name="Terminal Growth" sheetId="20" r:id="rId9"/>
    <sheet name="Combination Analysis" sheetId="19" state="hidden" r:id="rId10"/>
    <sheet name="Market Approach" sheetId="13" r:id="rId11"/>
    <sheet name="Financial Statement Ratios" sheetId="5" r:id="rId12"/>
    <sheet name="WACC" sheetId="8" r:id="rId13"/>
    <sheet name="Cost of Equity" sheetId="10" r:id="rId14"/>
    <sheet name="Cost of Debt" sheetId="16" r:id="rId15"/>
    <sheet name="Statements of Income (Original)" sheetId="2" r:id="rId16"/>
    <sheet name="Balance Sheets (Original)" sheetId="3" r:id="rId17"/>
    <sheet name="Cash Flow (Original)" sheetId="4" r:id="rId18"/>
    <sheet name="Business Description" sheetId="14" r:id="rId19"/>
  </sheets>
  <externalReferences>
    <externalReference r:id="rId20"/>
  </externalReferences>
  <definedNames>
    <definedName name="adjustCA">'Input Data'!$B$47</definedName>
    <definedName name="adjustdeftax">'Input Data'!$B$53</definedName>
    <definedName name="adjustdepreciation">'Input Data'!$B$57</definedName>
    <definedName name="adjustintexp">'Input Data'!$B$58</definedName>
    <definedName name="adjustINV">'Input Data'!$B$48</definedName>
    <definedName name="adjustLTD">'Input Data'!$B$51</definedName>
    <definedName name="adjustothltl">'Input Data'!$B$52</definedName>
    <definedName name="adjustUP">'Input Data'!$B$49</definedName>
    <definedName name="BuyerShares">'Input Data'!$B$8</definedName>
    <definedName name="cashused">'Input Data'!$B$66</definedName>
    <definedName name="cegom">'Input Data'!$B$36</definedName>
    <definedName name="CEGtaxrate">'Input Data'!#REF!</definedName>
    <definedName name="Detailed_Stock_Quote_by_PC_Quote__Inc" localSheetId="4">'Input Data'!#REF!</definedName>
    <definedName name="Detailed_Stock_Quote_by_PC_Quote__Inc_TABLE" localSheetId="4">'Input Data'!#REF!</definedName>
    <definedName name="ExternalData1" localSheetId="4">'Input Data'!#REF!</definedName>
    <definedName name="ExternalData1_TABLE" localSheetId="4">'Input Data'!#REF!</definedName>
    <definedName name="goodwill">'Input Data'!$B$60</definedName>
    <definedName name="goodwillexps">'Input Data'!$B$62</definedName>
    <definedName name="incrintexps">'Input Data'!$B$77</definedName>
    <definedName name="maxcash">'Input Data'!#REF!</definedName>
    <definedName name="mergefees">'Input Data'!$B$38</definedName>
    <definedName name="newequity">'Input Data'!$B$72</definedName>
    <definedName name="newLTD">'Input Data'!$B$76</definedName>
    <definedName name="newshares">'Input Data'!$B$74</definedName>
    <definedName name="newtaxrate">'Input Data'!$B$41</definedName>
    <definedName name="omperc">'Input Data'!$B$44</definedName>
    <definedName name="_xlnm.Print_Area" localSheetId="9">'Combination Analysis'!$A$3:$H$62</definedName>
    <definedName name="_xlnm.Print_Area" localSheetId="5">'Combination Financing'!$A$100:$M$137</definedName>
    <definedName name="_xlnm.Print_Area" localSheetId="4">'Input Data'!$A$1:$B$31</definedName>
    <definedName name="_xlnm.Print_Titles" localSheetId="18">'Business Description'!#REF!</definedName>
    <definedName name="_xlnm.Print_Titles" localSheetId="14">'Cost of Debt'!$1:$3</definedName>
    <definedName name="_xlnm.Print_Titles" localSheetId="10">'Market Approach'!#REF!</definedName>
    <definedName name="print50Epurch">'Combination Financing'!$A$100:$M$137</definedName>
    <definedName name="printCEGbs">#REF!</definedName>
    <definedName name="printCEGcf">#REF!</definedName>
    <definedName name="printCEGcfbu">#REF!</definedName>
    <definedName name="printCEGis">#REF!</definedName>
    <definedName name="printcomparepool">#REF!</definedName>
    <definedName name="printcomparepurch">#REF!</definedName>
    <definedName name="printdpurch">#REF!</definedName>
    <definedName name="printepool">#REF!</definedName>
    <definedName name="printxpurch">'Combination Financing'!$A$100:$M$137</definedName>
    <definedName name="projname">'Input Data'!$B$10</definedName>
    <definedName name="purchaseprice">'Input Data'!$B$43</definedName>
    <definedName name="revenuesynergy">'Input Data'!$B$40</definedName>
    <definedName name="synergy">'Input Data'!$B$39</definedName>
    <definedName name="Targco">'Input Data'!$B$19</definedName>
    <definedName name="targcoprice">'Input Data'!$B$20</definedName>
    <definedName name="targcoshares">'Input Data'!$B$21</definedName>
    <definedName name="targdivgrow">'Input Data'!$B$25</definedName>
    <definedName name="targgrowth">'Input Data'!$B$24</definedName>
    <definedName name="totalom">'Input Data'!#REF!</definedName>
    <definedName name="year1">'Input Data'!$B$5</definedName>
  </definedNames>
  <calcPr calcId="191029" iterate="1"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2" i="24" l="1"/>
  <c r="B14" i="10"/>
  <c r="B16" i="10"/>
  <c r="B32" i="10"/>
  <c r="F8" i="8"/>
  <c r="G8" i="8"/>
  <c r="G9" i="8"/>
  <c r="J33" i="24"/>
  <c r="T22" i="24"/>
  <c r="J93" i="21"/>
  <c r="J17" i="12"/>
  <c r="F40" i="12"/>
  <c r="F43" i="12"/>
  <c r="C48" i="12"/>
  <c r="C50" i="12"/>
  <c r="C52" i="12"/>
  <c r="C54" i="12"/>
  <c r="D8" i="17"/>
  <c r="J18" i="12"/>
  <c r="F39" i="12"/>
  <c r="F42" i="12"/>
  <c r="B48" i="12"/>
  <c r="B52" i="12"/>
  <c r="B54" i="12"/>
  <c r="D9" i="17"/>
  <c r="B68" i="12"/>
  <c r="D10" i="17"/>
  <c r="B76" i="12"/>
  <c r="B77" i="12"/>
  <c r="B78" i="12"/>
  <c r="B80" i="12"/>
  <c r="D11" i="17"/>
  <c r="D16" i="17"/>
  <c r="B42" i="21"/>
  <c r="B37" i="21"/>
  <c r="K9" i="21"/>
  <c r="K12" i="21"/>
  <c r="K13" i="21"/>
  <c r="B43" i="21"/>
  <c r="B53" i="21"/>
  <c r="B54" i="21"/>
  <c r="E34" i="21"/>
  <c r="E32" i="21"/>
  <c r="K28" i="21"/>
  <c r="K92" i="21"/>
  <c r="B21" i="21"/>
  <c r="F11" i="21"/>
  <c r="F12" i="21"/>
  <c r="O12" i="21"/>
  <c r="O13" i="21"/>
  <c r="D91" i="21"/>
  <c r="C91" i="21"/>
  <c r="J34" i="24"/>
  <c r="K34" i="24"/>
  <c r="N77" i="24"/>
  <c r="M77" i="24"/>
  <c r="L77" i="24"/>
  <c r="K77" i="24"/>
  <c r="P77" i="24"/>
  <c r="Q77" i="24"/>
  <c r="R77" i="24"/>
  <c r="S77" i="24"/>
  <c r="C52" i="24"/>
  <c r="F22" i="17"/>
  <c r="K30" i="24"/>
  <c r="K53" i="24"/>
  <c r="B52" i="24"/>
  <c r="F21" i="17"/>
  <c r="F24" i="17"/>
  <c r="V12" i="21"/>
  <c r="F65" i="21"/>
  <c r="F62" i="21"/>
  <c r="F60" i="21"/>
  <c r="M12" i="21"/>
  <c r="F61" i="21"/>
  <c r="S27" i="24"/>
  <c r="T27" i="24"/>
  <c r="B39" i="21"/>
  <c r="E38" i="21"/>
  <c r="B10" i="24"/>
  <c r="C10" i="24"/>
  <c r="D10" i="24"/>
  <c r="E10" i="24"/>
  <c r="F10" i="24"/>
  <c r="B12" i="24"/>
  <c r="C12" i="24"/>
  <c r="D12" i="24"/>
  <c r="E12" i="24"/>
  <c r="F12" i="24"/>
  <c r="F14" i="24"/>
  <c r="F16" i="24"/>
  <c r="F17" i="24"/>
  <c r="F20" i="24"/>
  <c r="F38" i="24"/>
  <c r="K17" i="12"/>
  <c r="N39" i="12"/>
  <c r="M39" i="12"/>
  <c r="L39" i="12"/>
  <c r="K39" i="12"/>
  <c r="M18" i="12"/>
  <c r="P39" i="12"/>
  <c r="Q39" i="12"/>
  <c r="R39" i="12"/>
  <c r="S39" i="12"/>
  <c r="L18" i="12"/>
  <c r="U45" i="20"/>
  <c r="U44" i="20"/>
  <c r="F52" i="20"/>
  <c r="M8" i="16"/>
  <c r="E48" i="21"/>
  <c r="V53" i="21"/>
  <c r="V9" i="21"/>
  <c r="H12" i="21"/>
  <c r="V15" i="21"/>
  <c r="P8" i="16"/>
  <c r="E15" i="16"/>
  <c r="D28" i="16"/>
  <c r="D7" i="8"/>
  <c r="F7" i="8"/>
  <c r="G7" i="8"/>
  <c r="D13" i="17"/>
  <c r="B22" i="21"/>
  <c r="E33" i="21"/>
  <c r="H11" i="21"/>
  <c r="V11" i="21"/>
  <c r="D3" i="21"/>
  <c r="B28" i="21"/>
  <c r="F20" i="21"/>
  <c r="H20" i="21"/>
  <c r="B55" i="21"/>
  <c r="E49" i="21"/>
  <c r="B41" i="21"/>
  <c r="V20" i="21"/>
  <c r="V25" i="21"/>
  <c r="M14" i="21"/>
  <c r="B73" i="21"/>
  <c r="B71" i="21"/>
  <c r="B72" i="21"/>
  <c r="B74" i="21"/>
  <c r="B77" i="21"/>
  <c r="B78" i="21"/>
  <c r="B51" i="24"/>
  <c r="E21" i="17"/>
  <c r="C51" i="24"/>
  <c r="E22" i="17"/>
  <c r="M13" i="21"/>
  <c r="M28" i="21"/>
  <c r="O15" i="21"/>
  <c r="O11" i="21"/>
  <c r="B27" i="21"/>
  <c r="F19" i="21"/>
  <c r="H19" i="21"/>
  <c r="O52" i="21"/>
  <c r="O19" i="21"/>
  <c r="O28" i="21"/>
  <c r="K15" i="21"/>
  <c r="K11" i="21"/>
  <c r="K52" i="21"/>
  <c r="K19" i="21"/>
  <c r="K24" i="21"/>
  <c r="L24" i="21"/>
  <c r="B61" i="21"/>
  <c r="B62" i="21"/>
  <c r="B58" i="21"/>
  <c r="B16" i="21"/>
  <c r="K19" i="12"/>
  <c r="J31" i="12"/>
  <c r="J30" i="12"/>
  <c r="J29" i="12"/>
  <c r="J28" i="12"/>
  <c r="M19" i="12"/>
  <c r="C76" i="12"/>
  <c r="C77" i="12"/>
  <c r="C78" i="12"/>
  <c r="J33" i="12"/>
  <c r="J34" i="12"/>
  <c r="J35" i="12"/>
  <c r="J36" i="12"/>
  <c r="L19" i="12"/>
  <c r="D76" i="12"/>
  <c r="D77" i="12"/>
  <c r="D78" i="12"/>
  <c r="K18" i="12"/>
  <c r="P27" i="12"/>
  <c r="Q27" i="12"/>
  <c r="R27" i="12"/>
  <c r="S27" i="12"/>
  <c r="L17" i="12"/>
  <c r="J19" i="12"/>
  <c r="G63" i="12"/>
  <c r="G64" i="12"/>
  <c r="B53" i="12"/>
  <c r="G66" i="12"/>
  <c r="B55" i="12"/>
  <c r="K35" i="24"/>
  <c r="J81" i="24"/>
  <c r="J80" i="24"/>
  <c r="J79" i="24"/>
  <c r="J78" i="24"/>
  <c r="J83" i="24"/>
  <c r="J84" i="24"/>
  <c r="J85" i="24"/>
  <c r="J86" i="24"/>
  <c r="K65" i="24"/>
  <c r="F40" i="24"/>
  <c r="B14" i="24"/>
  <c r="B16" i="24"/>
  <c r="B17" i="24"/>
  <c r="B20" i="24"/>
  <c r="B40" i="24"/>
  <c r="C14" i="24"/>
  <c r="C16" i="24"/>
  <c r="C17" i="24"/>
  <c r="C20" i="24"/>
  <c r="C40" i="24"/>
  <c r="D14" i="24"/>
  <c r="D16" i="24"/>
  <c r="D17" i="24"/>
  <c r="D20" i="24"/>
  <c r="D40" i="24"/>
  <c r="E14" i="24"/>
  <c r="E16" i="24"/>
  <c r="E17" i="24"/>
  <c r="E20" i="24"/>
  <c r="E40" i="24"/>
  <c r="C44" i="24"/>
  <c r="C46" i="24"/>
  <c r="C48" i="24"/>
  <c r="C50" i="24"/>
  <c r="J65" i="24"/>
  <c r="K31" i="24"/>
  <c r="F24" i="24"/>
  <c r="F25" i="24"/>
  <c r="F26" i="24"/>
  <c r="F32" i="24"/>
  <c r="F37" i="24"/>
  <c r="F39" i="24"/>
  <c r="B24" i="24"/>
  <c r="B25" i="24"/>
  <c r="B26" i="24"/>
  <c r="B32" i="24"/>
  <c r="B39" i="24"/>
  <c r="C24" i="24"/>
  <c r="C25" i="24"/>
  <c r="C26" i="24"/>
  <c r="C32" i="24"/>
  <c r="C39" i="24"/>
  <c r="D24" i="24"/>
  <c r="D25" i="24"/>
  <c r="D26" i="24"/>
  <c r="D32" i="24"/>
  <c r="D39" i="24"/>
  <c r="E24" i="24"/>
  <c r="E25" i="24"/>
  <c r="E26" i="24"/>
  <c r="E32" i="24"/>
  <c r="E39" i="24"/>
  <c r="B44" i="24"/>
  <c r="B48" i="24"/>
  <c r="B50" i="24"/>
  <c r="J53" i="24"/>
  <c r="T21" i="24"/>
  <c r="T26" i="24"/>
  <c r="K27" i="24"/>
  <c r="L27" i="24"/>
  <c r="M27" i="24"/>
  <c r="N27" i="24"/>
  <c r="O27" i="24"/>
  <c r="P27" i="24"/>
  <c r="Q27" i="24"/>
  <c r="R27" i="24"/>
  <c r="J27" i="24"/>
  <c r="L26" i="24"/>
  <c r="M26" i="24"/>
  <c r="N26" i="24"/>
  <c r="O26" i="24"/>
  <c r="P26" i="24"/>
  <c r="Q26" i="24"/>
  <c r="R26" i="24"/>
  <c r="S26" i="24"/>
  <c r="K26" i="24"/>
  <c r="C56" i="12"/>
  <c r="C55" i="12"/>
  <c r="B56" i="12"/>
  <c r="J45" i="12"/>
  <c r="J46" i="12"/>
  <c r="J47" i="12"/>
  <c r="J48" i="12"/>
  <c r="J43" i="12"/>
  <c r="J42" i="12"/>
  <c r="J41" i="12"/>
  <c r="J40" i="12"/>
  <c r="N27" i="12"/>
  <c r="M27" i="12"/>
  <c r="L27" i="12"/>
  <c r="K27" i="12"/>
  <c r="J45" i="24"/>
  <c r="J44" i="24"/>
  <c r="J43" i="24"/>
  <c r="J42" i="24"/>
  <c r="J47" i="24"/>
  <c r="J48" i="24"/>
  <c r="J49" i="24"/>
  <c r="J50" i="24"/>
  <c r="P41" i="24"/>
  <c r="Q41" i="24"/>
  <c r="R41" i="24"/>
  <c r="S41" i="24"/>
  <c r="N41" i="24"/>
  <c r="M41" i="24"/>
  <c r="L41" i="24"/>
  <c r="K41" i="24"/>
  <c r="R7" i="15"/>
  <c r="R8" i="15"/>
  <c r="F50" i="20"/>
  <c r="F51" i="20"/>
  <c r="F53" i="20"/>
  <c r="F54" i="20"/>
  <c r="F55" i="20"/>
  <c r="F56" i="20"/>
  <c r="D50" i="20"/>
  <c r="K20" i="24"/>
  <c r="K22" i="24"/>
  <c r="L20" i="24"/>
  <c r="L22" i="24"/>
  <c r="M20" i="24"/>
  <c r="M22" i="24"/>
  <c r="N20" i="24"/>
  <c r="N22" i="24"/>
  <c r="O20" i="24"/>
  <c r="O22" i="24"/>
  <c r="P20" i="24"/>
  <c r="P22" i="24"/>
  <c r="Q20" i="24"/>
  <c r="Q22" i="24"/>
  <c r="R20" i="24"/>
  <c r="R22" i="24"/>
  <c r="S20" i="24"/>
  <c r="J20" i="24"/>
  <c r="J22" i="24"/>
  <c r="K25" i="24"/>
  <c r="L25" i="24"/>
  <c r="M25" i="24"/>
  <c r="N25" i="24"/>
  <c r="O25" i="24"/>
  <c r="P25" i="24"/>
  <c r="Q25" i="24"/>
  <c r="R25" i="24"/>
  <c r="S25" i="24"/>
  <c r="J25" i="24"/>
  <c r="S24" i="24"/>
  <c r="L21" i="24"/>
  <c r="M21" i="24"/>
  <c r="N21" i="24"/>
  <c r="O21" i="24"/>
  <c r="P21" i="24"/>
  <c r="Q21" i="24"/>
  <c r="R21" i="24"/>
  <c r="S21" i="24"/>
  <c r="K21" i="24"/>
  <c r="S19" i="24"/>
  <c r="G50" i="20"/>
  <c r="G51" i="20"/>
  <c r="G52" i="20"/>
  <c r="G53" i="20"/>
  <c r="G54" i="20"/>
  <c r="G55" i="20"/>
  <c r="G56" i="20"/>
  <c r="G57" i="20"/>
  <c r="S8" i="15"/>
  <c r="S7" i="15"/>
  <c r="S9" i="15"/>
  <c r="S12" i="15"/>
  <c r="S11" i="15"/>
  <c r="S13" i="15"/>
  <c r="S15" i="15"/>
  <c r="S17" i="15"/>
  <c r="S18" i="15"/>
  <c r="S19" i="15"/>
  <c r="S20" i="15"/>
  <c r="S22" i="15"/>
  <c r="S23" i="15"/>
  <c r="S25" i="15"/>
  <c r="S26" i="15"/>
  <c r="S28" i="15"/>
  <c r="S30" i="15"/>
  <c r="B20" i="10"/>
  <c r="B23" i="10"/>
  <c r="T8" i="15"/>
  <c r="U8" i="15"/>
  <c r="V8" i="15"/>
  <c r="W8" i="15"/>
  <c r="T7" i="15"/>
  <c r="U7" i="15"/>
  <c r="V7" i="15"/>
  <c r="W7" i="15"/>
  <c r="W9" i="15"/>
  <c r="W12" i="15"/>
  <c r="W11" i="15"/>
  <c r="W13" i="15"/>
  <c r="W15" i="15"/>
  <c r="W17" i="15"/>
  <c r="W18" i="15"/>
  <c r="W19" i="15"/>
  <c r="W20" i="15"/>
  <c r="W22" i="15"/>
  <c r="W23" i="15"/>
  <c r="W25" i="15"/>
  <c r="W26" i="15"/>
  <c r="W28" i="15"/>
  <c r="W30" i="15"/>
  <c r="T10" i="24"/>
  <c r="F18" i="24"/>
  <c r="T12" i="24"/>
  <c r="V9" i="15"/>
  <c r="S12" i="24"/>
  <c r="T14" i="24"/>
  <c r="F19" i="24"/>
  <c r="J35" i="24"/>
  <c r="P10" i="24"/>
  <c r="B18" i="24"/>
  <c r="P12" i="24"/>
  <c r="P14" i="24"/>
  <c r="B19" i="24"/>
  <c r="T9" i="15"/>
  <c r="T12" i="15"/>
  <c r="T11" i="15"/>
  <c r="T13" i="15"/>
  <c r="T15" i="15"/>
  <c r="T17" i="15"/>
  <c r="T18" i="15"/>
  <c r="T19" i="15"/>
  <c r="T20" i="15"/>
  <c r="T22" i="15"/>
  <c r="T23" i="15"/>
  <c r="T25" i="15"/>
  <c r="T26" i="15"/>
  <c r="T28" i="15"/>
  <c r="T30" i="15"/>
  <c r="Q10" i="24"/>
  <c r="C18" i="24"/>
  <c r="Q12" i="24"/>
  <c r="Q14" i="24"/>
  <c r="C19" i="24"/>
  <c r="U9" i="15"/>
  <c r="U12" i="15"/>
  <c r="U11" i="15"/>
  <c r="U13" i="15"/>
  <c r="U15" i="15"/>
  <c r="U17" i="15"/>
  <c r="U18" i="15"/>
  <c r="U19" i="15"/>
  <c r="U20" i="15"/>
  <c r="U22" i="15"/>
  <c r="U23" i="15"/>
  <c r="U25" i="15"/>
  <c r="U26" i="15"/>
  <c r="U28" i="15"/>
  <c r="U30" i="15"/>
  <c r="R10" i="24"/>
  <c r="D18" i="24"/>
  <c r="R12" i="24"/>
  <c r="R14" i="24"/>
  <c r="D19" i="24"/>
  <c r="V12" i="15"/>
  <c r="V11" i="15"/>
  <c r="V13" i="15"/>
  <c r="V15" i="15"/>
  <c r="V17" i="15"/>
  <c r="V18" i="15"/>
  <c r="V19" i="15"/>
  <c r="V20" i="15"/>
  <c r="V22" i="15"/>
  <c r="V23" i="15"/>
  <c r="V25" i="15"/>
  <c r="V26" i="15"/>
  <c r="V28" i="15"/>
  <c r="V30" i="15"/>
  <c r="S10" i="24"/>
  <c r="E18" i="24"/>
  <c r="S14" i="24"/>
  <c r="E19" i="24"/>
  <c r="D22" i="17"/>
  <c r="F28" i="24"/>
  <c r="F29" i="24"/>
  <c r="B28" i="24"/>
  <c r="B29" i="24"/>
  <c r="C28" i="24"/>
  <c r="C29" i="24"/>
  <c r="D28" i="24"/>
  <c r="D29" i="24"/>
  <c r="E28" i="24"/>
  <c r="E29" i="24"/>
  <c r="D21" i="17"/>
  <c r="F13" i="17"/>
  <c r="E13" i="17"/>
  <c r="B74" i="12"/>
  <c r="B79" i="12"/>
  <c r="B82" i="12"/>
  <c r="F11" i="17"/>
  <c r="B81" i="12"/>
  <c r="E11" i="17"/>
  <c r="B69" i="12"/>
  <c r="F10" i="17"/>
  <c r="B70" i="12"/>
  <c r="E10" i="17"/>
  <c r="F9" i="17"/>
  <c r="E9" i="17"/>
  <c r="F8" i="12"/>
  <c r="F9" i="12"/>
  <c r="F10" i="12"/>
  <c r="J11" i="12"/>
  <c r="J12" i="12"/>
  <c r="K11" i="12"/>
  <c r="K12" i="12"/>
  <c r="L11" i="12"/>
  <c r="L12" i="12"/>
  <c r="M11" i="12"/>
  <c r="M12" i="12"/>
  <c r="N11" i="12"/>
  <c r="N12" i="12"/>
  <c r="O12" i="12"/>
  <c r="T11" i="12"/>
  <c r="F12" i="12"/>
  <c r="J13" i="12"/>
  <c r="J14" i="12"/>
  <c r="K13" i="12"/>
  <c r="K14" i="12"/>
  <c r="L13" i="12"/>
  <c r="L14" i="12"/>
  <c r="M13" i="12"/>
  <c r="M14" i="12"/>
  <c r="O14" i="12"/>
  <c r="T13" i="12"/>
  <c r="S13" i="12"/>
  <c r="T15" i="12"/>
  <c r="F13" i="12"/>
  <c r="N7" i="12"/>
  <c r="K7" i="12"/>
  <c r="J7" i="12"/>
  <c r="K8" i="12"/>
  <c r="L7" i="12"/>
  <c r="L8" i="12"/>
  <c r="M7" i="12"/>
  <c r="M8" i="12"/>
  <c r="N8" i="12"/>
  <c r="O8" i="12"/>
  <c r="P7" i="12"/>
  <c r="Q7" i="12"/>
  <c r="R7" i="12"/>
  <c r="S7" i="12"/>
  <c r="T7" i="12"/>
  <c r="M9" i="12"/>
  <c r="M10" i="12"/>
  <c r="N9" i="12"/>
  <c r="N10" i="12"/>
  <c r="O10" i="12"/>
  <c r="T9" i="12"/>
  <c r="F11" i="12"/>
  <c r="F16" i="12"/>
  <c r="B8" i="12"/>
  <c r="B9" i="12"/>
  <c r="B10" i="12"/>
  <c r="P11" i="12"/>
  <c r="B12" i="12"/>
  <c r="P13" i="12"/>
  <c r="N13" i="12"/>
  <c r="P15" i="12"/>
  <c r="B13" i="12"/>
  <c r="P9" i="12"/>
  <c r="B11" i="12"/>
  <c r="B16" i="12"/>
  <c r="B42" i="12"/>
  <c r="C8" i="12"/>
  <c r="C9" i="12"/>
  <c r="C10" i="12"/>
  <c r="Q11" i="12"/>
  <c r="C12" i="12"/>
  <c r="Q13" i="12"/>
  <c r="Q15" i="12"/>
  <c r="C13" i="12"/>
  <c r="Q9" i="12"/>
  <c r="C11" i="12"/>
  <c r="C16" i="12"/>
  <c r="C42" i="12"/>
  <c r="D8" i="12"/>
  <c r="D9" i="12"/>
  <c r="D10" i="12"/>
  <c r="R11" i="12"/>
  <c r="D12" i="12"/>
  <c r="R13" i="12"/>
  <c r="R15" i="12"/>
  <c r="D13" i="12"/>
  <c r="R9" i="12"/>
  <c r="D11" i="12"/>
  <c r="D16" i="12"/>
  <c r="D42" i="12"/>
  <c r="E8" i="12"/>
  <c r="E9" i="12"/>
  <c r="E10" i="12"/>
  <c r="S11" i="12"/>
  <c r="E12" i="12"/>
  <c r="S15" i="12"/>
  <c r="E13" i="12"/>
  <c r="S9" i="12"/>
  <c r="E11" i="12"/>
  <c r="E16" i="12"/>
  <c r="E42" i="12"/>
  <c r="B49" i="12"/>
  <c r="F8" i="17"/>
  <c r="E8" i="17"/>
  <c r="F20" i="12"/>
  <c r="F21" i="12"/>
  <c r="F22" i="12"/>
  <c r="F23" i="12"/>
  <c r="F24" i="12"/>
  <c r="F25" i="12"/>
  <c r="F26" i="12"/>
  <c r="B20" i="12"/>
  <c r="B21" i="12"/>
  <c r="B22" i="12"/>
  <c r="B23" i="12"/>
  <c r="B24" i="12"/>
  <c r="B25" i="12"/>
  <c r="B26" i="12"/>
  <c r="B43" i="12"/>
  <c r="C20" i="12"/>
  <c r="C21" i="12"/>
  <c r="C22" i="12"/>
  <c r="C23" i="12"/>
  <c r="C24" i="12"/>
  <c r="C25" i="12"/>
  <c r="C26" i="12"/>
  <c r="C43" i="12"/>
  <c r="D20" i="12"/>
  <c r="D21" i="12"/>
  <c r="D22" i="12"/>
  <c r="D23" i="12"/>
  <c r="D24" i="12"/>
  <c r="D25" i="12"/>
  <c r="D26" i="12"/>
  <c r="D43" i="12"/>
  <c r="E20" i="12"/>
  <c r="E21" i="12"/>
  <c r="E22" i="12"/>
  <c r="E23" i="12"/>
  <c r="E24" i="12"/>
  <c r="E25" i="12"/>
  <c r="E26" i="12"/>
  <c r="E43" i="12"/>
  <c r="C49" i="12"/>
  <c r="C51" i="12"/>
  <c r="C53" i="12"/>
  <c r="B59" i="21"/>
  <c r="F16" i="17"/>
  <c r="E16" i="17"/>
  <c r="F30" i="12"/>
  <c r="F31" i="12"/>
  <c r="F33" i="12"/>
  <c r="F34" i="12"/>
  <c r="F32" i="12"/>
  <c r="F35" i="12"/>
  <c r="F41" i="12"/>
  <c r="F44" i="12"/>
  <c r="B30" i="12"/>
  <c r="B31" i="12"/>
  <c r="B33" i="12"/>
  <c r="B34" i="12"/>
  <c r="B32" i="12"/>
  <c r="B35" i="12"/>
  <c r="B44" i="12"/>
  <c r="C30" i="12"/>
  <c r="C31" i="12"/>
  <c r="C33" i="12"/>
  <c r="C34" i="12"/>
  <c r="C32" i="12"/>
  <c r="C35" i="12"/>
  <c r="C44" i="12"/>
  <c r="D30" i="12"/>
  <c r="D31" i="12"/>
  <c r="D33" i="12"/>
  <c r="D34" i="12"/>
  <c r="D32" i="12"/>
  <c r="D35" i="12"/>
  <c r="D44" i="12"/>
  <c r="E30" i="12"/>
  <c r="E31" i="12"/>
  <c r="E33" i="12"/>
  <c r="E34" i="12"/>
  <c r="E32" i="12"/>
  <c r="E35" i="12"/>
  <c r="E44" i="12"/>
  <c r="M17" i="12"/>
  <c r="J77" i="24"/>
  <c r="J41" i="24"/>
  <c r="K33" i="24"/>
  <c r="J27" i="12"/>
  <c r="J39" i="12"/>
  <c r="G67" i="12"/>
  <c r="C55" i="13"/>
  <c r="D55" i="13"/>
  <c r="E55" i="13"/>
  <c r="F55" i="13"/>
  <c r="H59" i="13"/>
  <c r="G59" i="13"/>
  <c r="F56" i="13"/>
  <c r="E56" i="13"/>
  <c r="C59" i="13"/>
  <c r="D56" i="13"/>
  <c r="D58" i="13"/>
  <c r="D59" i="13"/>
  <c r="H39" i="13"/>
  <c r="G39" i="13"/>
  <c r="F39" i="13"/>
  <c r="E39" i="13"/>
  <c r="D39" i="13"/>
  <c r="C39" i="13"/>
  <c r="E58" i="13"/>
  <c r="E59" i="13"/>
  <c r="F58" i="13"/>
  <c r="F59" i="13"/>
  <c r="B66" i="13"/>
  <c r="B65" i="13"/>
  <c r="C62" i="13"/>
  <c r="I61" i="13"/>
  <c r="I62" i="13"/>
  <c r="I60" i="13"/>
  <c r="H60" i="13"/>
  <c r="G60" i="13"/>
  <c r="D60" i="13"/>
  <c r="E28" i="13"/>
  <c r="E29" i="13"/>
  <c r="E30" i="13"/>
  <c r="E31" i="13"/>
  <c r="E32" i="13"/>
  <c r="E33" i="13"/>
  <c r="E34" i="13"/>
  <c r="E35" i="13"/>
  <c r="E36" i="13"/>
  <c r="E37" i="13"/>
  <c r="E42" i="13"/>
  <c r="H28" i="13"/>
  <c r="H29" i="13"/>
  <c r="H30" i="13"/>
  <c r="H31" i="13"/>
  <c r="H32" i="13"/>
  <c r="H33" i="13"/>
  <c r="H34" i="13"/>
  <c r="H35" i="13"/>
  <c r="H36" i="13"/>
  <c r="H37" i="13"/>
  <c r="H47" i="13"/>
  <c r="H46" i="13"/>
  <c r="H48" i="13"/>
  <c r="H50" i="13"/>
  <c r="H55" i="13"/>
  <c r="F28" i="13"/>
  <c r="F29" i="13"/>
  <c r="F30" i="13"/>
  <c r="F31" i="13"/>
  <c r="F32" i="13"/>
  <c r="F33" i="13"/>
  <c r="F34" i="13"/>
  <c r="F35" i="13"/>
  <c r="F36" i="13"/>
  <c r="F37" i="13"/>
  <c r="F47" i="13"/>
  <c r="F46" i="13"/>
  <c r="F48" i="13"/>
  <c r="F50" i="13"/>
  <c r="E47" i="13"/>
  <c r="E46" i="13"/>
  <c r="E48" i="13"/>
  <c r="E50" i="13"/>
  <c r="D28" i="13"/>
  <c r="D29" i="13"/>
  <c r="D30" i="13"/>
  <c r="D31" i="13"/>
  <c r="D32" i="13"/>
  <c r="D33" i="13"/>
  <c r="D34" i="13"/>
  <c r="D35" i="13"/>
  <c r="D36" i="13"/>
  <c r="D37" i="13"/>
  <c r="D47" i="13"/>
  <c r="D46" i="13"/>
  <c r="D48" i="13"/>
  <c r="D50" i="13"/>
  <c r="C28" i="13"/>
  <c r="C29" i="13"/>
  <c r="C30" i="13"/>
  <c r="C31" i="13"/>
  <c r="C32" i="13"/>
  <c r="C33" i="13"/>
  <c r="C34" i="13"/>
  <c r="C35" i="13"/>
  <c r="C36" i="13"/>
  <c r="C37" i="13"/>
  <c r="C47" i="13"/>
  <c r="C46" i="13"/>
  <c r="C48" i="13"/>
  <c r="C50" i="13"/>
  <c r="S33" i="15"/>
  <c r="H10" i="5"/>
  <c r="C49" i="24"/>
  <c r="K6" i="24"/>
  <c r="J6" i="24"/>
  <c r="K7" i="24"/>
  <c r="L6" i="24"/>
  <c r="L7" i="24"/>
  <c r="M6" i="24"/>
  <c r="M7" i="24"/>
  <c r="N6" i="24"/>
  <c r="N7" i="24"/>
  <c r="O7" i="24"/>
  <c r="P6" i="24"/>
  <c r="Q6" i="24"/>
  <c r="M8" i="24"/>
  <c r="M9" i="24"/>
  <c r="N8" i="24"/>
  <c r="N9" i="24"/>
  <c r="O9" i="24"/>
  <c r="Q8" i="24"/>
  <c r="C15" i="24"/>
  <c r="R6" i="24"/>
  <c r="R8" i="24"/>
  <c r="D15" i="24"/>
  <c r="S6" i="24"/>
  <c r="S8" i="24"/>
  <c r="E15" i="24"/>
  <c r="T6" i="24"/>
  <c r="T8" i="24"/>
  <c r="F15" i="24"/>
  <c r="P8" i="24"/>
  <c r="B15" i="24"/>
  <c r="D28" i="5"/>
  <c r="E28" i="5"/>
  <c r="F28" i="5"/>
  <c r="G28" i="5"/>
  <c r="C28" i="5"/>
  <c r="B49" i="24"/>
  <c r="C47" i="24"/>
  <c r="C45" i="24"/>
  <c r="B45" i="24"/>
  <c r="J10" i="24"/>
  <c r="J11" i="24"/>
  <c r="K10" i="24"/>
  <c r="K11" i="24"/>
  <c r="L10" i="24"/>
  <c r="L11" i="24"/>
  <c r="M10" i="24"/>
  <c r="M11" i="24"/>
  <c r="N10" i="24"/>
  <c r="N11" i="24"/>
  <c r="O11" i="24"/>
  <c r="J12" i="24"/>
  <c r="J13" i="24"/>
  <c r="K12" i="24"/>
  <c r="K13" i="24"/>
  <c r="L12" i="24"/>
  <c r="L13" i="24"/>
  <c r="M12" i="24"/>
  <c r="M13" i="24"/>
  <c r="O13" i="24"/>
  <c r="N12" i="24"/>
  <c r="F27" i="24"/>
  <c r="E27" i="24"/>
  <c r="D27" i="24"/>
  <c r="C27" i="24"/>
  <c r="B27" i="24"/>
  <c r="F36" i="24"/>
  <c r="E36" i="24"/>
  <c r="D36" i="24"/>
  <c r="C36" i="24"/>
  <c r="B36" i="24"/>
  <c r="N14" i="24"/>
  <c r="M14" i="24"/>
  <c r="L14" i="24"/>
  <c r="K14" i="24"/>
  <c r="N13" i="24"/>
  <c r="L8" i="24"/>
  <c r="L9" i="24"/>
  <c r="K8" i="24"/>
  <c r="K9" i="24"/>
  <c r="J8" i="24"/>
  <c r="J9" i="24"/>
  <c r="D19" i="21"/>
  <c r="D20" i="21"/>
  <c r="K16" i="21"/>
  <c r="T33" i="15"/>
  <c r="I10" i="5"/>
  <c r="F64" i="12"/>
  <c r="F66" i="12"/>
  <c r="B23" i="21"/>
  <c r="H28" i="21"/>
  <c r="B84" i="21"/>
  <c r="F28" i="21"/>
  <c r="O54" i="21"/>
  <c r="B24" i="21"/>
  <c r="B29" i="21"/>
  <c r="F21" i="21"/>
  <c r="B13" i="21"/>
  <c r="H21" i="21"/>
  <c r="O21" i="21"/>
  <c r="O26" i="21"/>
  <c r="O53" i="21"/>
  <c r="O20" i="21"/>
  <c r="O25" i="21"/>
  <c r="O24" i="21"/>
  <c r="M54" i="21"/>
  <c r="M15" i="21"/>
  <c r="M11" i="21"/>
  <c r="M21" i="21"/>
  <c r="M26" i="21"/>
  <c r="M53" i="21"/>
  <c r="M20" i="21"/>
  <c r="M25" i="21"/>
  <c r="M52" i="21"/>
  <c r="M19" i="21"/>
  <c r="M24" i="21"/>
  <c r="K54" i="21"/>
  <c r="K21" i="21"/>
  <c r="K26" i="21"/>
  <c r="K53" i="21"/>
  <c r="K20" i="21"/>
  <c r="K25" i="21"/>
  <c r="B80" i="21"/>
  <c r="B82" i="21"/>
  <c r="P26" i="21"/>
  <c r="P25" i="21"/>
  <c r="P24" i="21"/>
  <c r="N26" i="21"/>
  <c r="N25" i="21"/>
  <c r="N24" i="21"/>
  <c r="L26" i="21"/>
  <c r="L25" i="21"/>
  <c r="D24" i="21"/>
  <c r="B57" i="21"/>
  <c r="F14" i="21"/>
  <c r="N7" i="15"/>
  <c r="O7" i="15"/>
  <c r="Q7" i="15"/>
  <c r="N8" i="15"/>
  <c r="O8" i="15"/>
  <c r="P8" i="15"/>
  <c r="Q8" i="15"/>
  <c r="M11" i="15"/>
  <c r="N11" i="15"/>
  <c r="O11" i="15"/>
  <c r="P11" i="15"/>
  <c r="Q11" i="15"/>
  <c r="R11" i="15"/>
  <c r="Q12" i="15"/>
  <c r="R12" i="15"/>
  <c r="B9" i="15"/>
  <c r="K17" i="15"/>
  <c r="C9" i="15"/>
  <c r="L17" i="15"/>
  <c r="D9" i="15"/>
  <c r="M17" i="15"/>
  <c r="E9" i="15"/>
  <c r="N17" i="15"/>
  <c r="F9" i="15"/>
  <c r="O17" i="15"/>
  <c r="G9" i="15"/>
  <c r="P17" i="15"/>
  <c r="H9" i="15"/>
  <c r="Q17" i="15"/>
  <c r="R17" i="15"/>
  <c r="K18" i="15"/>
  <c r="L18" i="15"/>
  <c r="M18" i="15"/>
  <c r="N18" i="15"/>
  <c r="O18" i="15"/>
  <c r="P18" i="15"/>
  <c r="Q18" i="15"/>
  <c r="R18" i="15"/>
  <c r="K19" i="15"/>
  <c r="L19" i="15"/>
  <c r="M19" i="15"/>
  <c r="N19" i="15"/>
  <c r="O19" i="15"/>
  <c r="P19" i="15"/>
  <c r="Q19" i="15"/>
  <c r="R19" i="15"/>
  <c r="B13" i="15"/>
  <c r="B15" i="15"/>
  <c r="B20" i="15"/>
  <c r="K22" i="15"/>
  <c r="C13" i="15"/>
  <c r="C15" i="15"/>
  <c r="C20" i="15"/>
  <c r="L22" i="15"/>
  <c r="D13" i="15"/>
  <c r="D15" i="15"/>
  <c r="D20" i="15"/>
  <c r="M22" i="15"/>
  <c r="E13" i="15"/>
  <c r="E15" i="15"/>
  <c r="E20" i="15"/>
  <c r="N22" i="15"/>
  <c r="F13" i="15"/>
  <c r="F15" i="15"/>
  <c r="F20" i="15"/>
  <c r="O22" i="15"/>
  <c r="G13" i="15"/>
  <c r="G15" i="15"/>
  <c r="G20" i="15"/>
  <c r="P22" i="15"/>
  <c r="H13" i="15"/>
  <c r="H15" i="15"/>
  <c r="H20" i="15"/>
  <c r="Q22" i="15"/>
  <c r="R22" i="15"/>
  <c r="B23" i="15"/>
  <c r="K25" i="15"/>
  <c r="C23" i="15"/>
  <c r="L25" i="15"/>
  <c r="D23" i="15"/>
  <c r="M25" i="15"/>
  <c r="E23" i="15"/>
  <c r="N25" i="15"/>
  <c r="F23" i="15"/>
  <c r="O25" i="15"/>
  <c r="G23" i="15"/>
  <c r="P25" i="15"/>
  <c r="H23" i="15"/>
  <c r="Q25" i="15"/>
  <c r="R25" i="15"/>
  <c r="K28" i="15"/>
  <c r="L28" i="15"/>
  <c r="M28" i="15"/>
  <c r="N28" i="15"/>
  <c r="O28" i="15"/>
  <c r="P28" i="15"/>
  <c r="Q28" i="15"/>
  <c r="R28" i="15"/>
  <c r="B25" i="21"/>
  <c r="G11" i="5"/>
  <c r="U33" i="15"/>
  <c r="J10" i="5"/>
  <c r="V33" i="15"/>
  <c r="K10" i="5"/>
  <c r="W33" i="15"/>
  <c r="L10" i="5"/>
  <c r="S32" i="15"/>
  <c r="T32" i="15"/>
  <c r="U32" i="15"/>
  <c r="V32" i="15"/>
  <c r="W32" i="15"/>
  <c r="I6" i="5"/>
  <c r="J6" i="5"/>
  <c r="K6" i="5"/>
  <c r="L6" i="5"/>
  <c r="H6" i="5"/>
  <c r="H9" i="21"/>
  <c r="F9" i="21"/>
  <c r="A28" i="21"/>
  <c r="A29" i="21"/>
  <c r="A12" i="21"/>
  <c r="A13" i="21"/>
  <c r="A11" i="22"/>
  <c r="A12" i="22"/>
  <c r="A13" i="22"/>
  <c r="B13" i="22"/>
  <c r="A14" i="22"/>
  <c r="A15" i="22"/>
  <c r="B22" i="22"/>
  <c r="A27" i="22"/>
  <c r="A28" i="22"/>
  <c r="A29" i="22"/>
  <c r="B29" i="22"/>
  <c r="A30" i="22"/>
  <c r="A31" i="22"/>
  <c r="B42" i="22"/>
  <c r="B43" i="22"/>
  <c r="B60" i="22"/>
  <c r="B62" i="22"/>
  <c r="B68" i="22"/>
  <c r="B69" i="22"/>
  <c r="B70" i="22"/>
  <c r="B76" i="22"/>
  <c r="B72" i="22"/>
  <c r="B73" i="22"/>
  <c r="B74" i="22"/>
  <c r="B77" i="22"/>
  <c r="B89" i="22"/>
  <c r="B92" i="22"/>
  <c r="E92" i="22"/>
  <c r="B93" i="22"/>
  <c r="E93" i="22"/>
  <c r="B95" i="22"/>
  <c r="B97" i="22"/>
  <c r="K7" i="21"/>
  <c r="K8" i="21"/>
  <c r="F13" i="21"/>
  <c r="H13" i="21"/>
  <c r="H14" i="21"/>
  <c r="K14" i="21"/>
  <c r="O14" i="21"/>
  <c r="M16" i="21"/>
  <c r="O16" i="21"/>
  <c r="L19" i="21"/>
  <c r="N19" i="21"/>
  <c r="P19" i="21"/>
  <c r="L20" i="21"/>
  <c r="N20" i="21"/>
  <c r="P20" i="21"/>
  <c r="D21" i="21"/>
  <c r="L21" i="21"/>
  <c r="N21" i="21"/>
  <c r="P21" i="21"/>
  <c r="D25" i="21"/>
  <c r="D26" i="21"/>
  <c r="D52" i="21"/>
  <c r="D53" i="21"/>
  <c r="D54" i="21"/>
  <c r="F11" i="10"/>
  <c r="B13" i="10"/>
  <c r="B21" i="10"/>
  <c r="D51" i="20"/>
  <c r="D52" i="20"/>
  <c r="D53" i="20"/>
  <c r="D54" i="20"/>
  <c r="D55" i="20"/>
  <c r="D56" i="20"/>
  <c r="C57" i="20"/>
  <c r="U17" i="20"/>
  <c r="E53" i="20"/>
  <c r="E51" i="20"/>
  <c r="E52" i="20"/>
  <c r="E54" i="20"/>
  <c r="E55" i="20"/>
  <c r="E56" i="20"/>
  <c r="E50" i="20"/>
  <c r="U47" i="20"/>
  <c r="U46" i="20"/>
  <c r="U42" i="20"/>
  <c r="U43" i="20"/>
  <c r="U41" i="20"/>
  <c r="C41" i="20"/>
  <c r="D41" i="20"/>
  <c r="E41" i="20"/>
  <c r="F41" i="20"/>
  <c r="G41" i="20"/>
  <c r="H41" i="20"/>
  <c r="I41" i="20"/>
  <c r="J41" i="20"/>
  <c r="K41" i="20"/>
  <c r="L41" i="20"/>
  <c r="M41" i="20"/>
  <c r="C42" i="20"/>
  <c r="D42" i="20"/>
  <c r="E42" i="20"/>
  <c r="F42" i="20"/>
  <c r="G42" i="20"/>
  <c r="H42" i="20"/>
  <c r="I42" i="20"/>
  <c r="J42" i="20"/>
  <c r="K42" i="20"/>
  <c r="L42" i="20"/>
  <c r="M42" i="20"/>
  <c r="C43" i="20"/>
  <c r="D43" i="20"/>
  <c r="E43" i="20"/>
  <c r="F43" i="20"/>
  <c r="G43" i="20"/>
  <c r="H43" i="20"/>
  <c r="I43" i="20"/>
  <c r="J43" i="20"/>
  <c r="K43" i="20"/>
  <c r="L43" i="20"/>
  <c r="M43" i="20"/>
  <c r="C44" i="20"/>
  <c r="D44" i="20"/>
  <c r="E44" i="20"/>
  <c r="F44" i="20"/>
  <c r="G44" i="20"/>
  <c r="H44" i="20"/>
  <c r="I44" i="20"/>
  <c r="J44" i="20"/>
  <c r="K44" i="20"/>
  <c r="L44" i="20"/>
  <c r="M44" i="20"/>
  <c r="C45" i="20"/>
  <c r="D45" i="20"/>
  <c r="E45" i="20"/>
  <c r="F45" i="20"/>
  <c r="G45" i="20"/>
  <c r="H45" i="20"/>
  <c r="I45" i="20"/>
  <c r="J45" i="20"/>
  <c r="K45" i="20"/>
  <c r="L45" i="20"/>
  <c r="M45" i="20"/>
  <c r="C46" i="20"/>
  <c r="D46" i="20"/>
  <c r="E46" i="20"/>
  <c r="F46" i="20"/>
  <c r="G46" i="20"/>
  <c r="H46" i="20"/>
  <c r="I46" i="20"/>
  <c r="J46" i="20"/>
  <c r="K46" i="20"/>
  <c r="L46" i="20"/>
  <c r="C47" i="20"/>
  <c r="D47" i="20"/>
  <c r="E47" i="20"/>
  <c r="F47" i="20"/>
  <c r="G47" i="20"/>
  <c r="H47" i="20"/>
  <c r="I47" i="20"/>
  <c r="J47" i="20"/>
  <c r="K47" i="20"/>
  <c r="L47" i="20"/>
  <c r="B42" i="20"/>
  <c r="B43" i="20"/>
  <c r="B44" i="20"/>
  <c r="B45" i="20"/>
  <c r="B46" i="20"/>
  <c r="B47" i="20"/>
  <c r="B41" i="20"/>
  <c r="U6" i="20"/>
  <c r="U7" i="20"/>
  <c r="U8" i="20"/>
  <c r="U9" i="20"/>
  <c r="U10" i="20"/>
  <c r="U11" i="20"/>
  <c r="U14" i="20"/>
  <c r="U15" i="20"/>
  <c r="U16" i="20"/>
  <c r="U18" i="20"/>
  <c r="U19" i="20"/>
  <c r="U20" i="20"/>
  <c r="U5" i="20"/>
  <c r="B53" i="20"/>
  <c r="B57" i="20"/>
  <c r="C51" i="20"/>
  <c r="C52" i="20"/>
  <c r="C53" i="20"/>
  <c r="C54" i="20"/>
  <c r="C55" i="20"/>
  <c r="C56" i="20"/>
  <c r="C50" i="20"/>
  <c r="B49" i="15"/>
  <c r="C49" i="15"/>
  <c r="B89" i="15"/>
  <c r="C89" i="15"/>
  <c r="D89" i="15"/>
  <c r="E89" i="15"/>
  <c r="F89" i="15"/>
  <c r="G89" i="15"/>
  <c r="B71" i="15"/>
  <c r="B77" i="15"/>
  <c r="B79" i="15"/>
  <c r="B91" i="15"/>
  <c r="C71" i="15"/>
  <c r="C77" i="15"/>
  <c r="C79" i="15"/>
  <c r="C91" i="15"/>
  <c r="D71" i="15"/>
  <c r="D77" i="15"/>
  <c r="D79" i="15"/>
  <c r="D91" i="15"/>
  <c r="E71" i="15"/>
  <c r="E77" i="15"/>
  <c r="E79" i="15"/>
  <c r="E91" i="15"/>
  <c r="F71" i="15"/>
  <c r="F77" i="15"/>
  <c r="F79" i="15"/>
  <c r="F91" i="15"/>
  <c r="G71" i="15"/>
  <c r="G77" i="15"/>
  <c r="G79" i="15"/>
  <c r="G91" i="15"/>
  <c r="B61" i="15"/>
  <c r="C61" i="15"/>
  <c r="D61" i="15"/>
  <c r="E61" i="15"/>
  <c r="F61" i="15"/>
  <c r="G61" i="15"/>
  <c r="B63" i="15"/>
  <c r="C63" i="15"/>
  <c r="D49" i="15"/>
  <c r="D63" i="15"/>
  <c r="E49" i="15"/>
  <c r="E63" i="15"/>
  <c r="F49" i="15"/>
  <c r="F63" i="15"/>
  <c r="G49" i="15"/>
  <c r="G63" i="15"/>
  <c r="H71" i="15"/>
  <c r="H77" i="15"/>
  <c r="H79" i="15"/>
  <c r="H89" i="15"/>
  <c r="H91" i="15"/>
  <c r="H61" i="15"/>
  <c r="H49" i="15"/>
  <c r="H63" i="15"/>
  <c r="B26" i="15"/>
  <c r="B30" i="15"/>
  <c r="B32" i="15"/>
  <c r="C26" i="15"/>
  <c r="C30" i="15"/>
  <c r="C32" i="15"/>
  <c r="D26" i="15"/>
  <c r="D30" i="15"/>
  <c r="D32" i="15"/>
  <c r="E26" i="15"/>
  <c r="E30" i="15"/>
  <c r="E32" i="15"/>
  <c r="F26" i="15"/>
  <c r="F30" i="15"/>
  <c r="F32" i="15"/>
  <c r="G26" i="15"/>
  <c r="G30" i="15"/>
  <c r="G32" i="15"/>
  <c r="B33" i="15"/>
  <c r="C33" i="15"/>
  <c r="D33" i="15"/>
  <c r="E33" i="15"/>
  <c r="F33" i="15"/>
  <c r="G33" i="15"/>
  <c r="K11" i="15"/>
  <c r="L11" i="15"/>
  <c r="K12" i="15"/>
  <c r="L12" i="15"/>
  <c r="M12" i="15"/>
  <c r="N12" i="15"/>
  <c r="O12" i="15"/>
  <c r="P12" i="15"/>
  <c r="L7" i="15"/>
  <c r="M7" i="15"/>
  <c r="P7" i="15"/>
  <c r="L8" i="15"/>
  <c r="M8" i="15"/>
  <c r="M9" i="16"/>
  <c r="M10" i="16"/>
  <c r="M11" i="16"/>
  <c r="M12" i="16"/>
  <c r="M7" i="16"/>
  <c r="H61" i="19"/>
  <c r="H60" i="19"/>
  <c r="H46" i="19"/>
  <c r="H51" i="19"/>
  <c r="H52" i="19"/>
  <c r="H45" i="19"/>
  <c r="F32" i="19"/>
  <c r="C32" i="19"/>
  <c r="H29" i="19"/>
  <c r="H66" i="19"/>
  <c r="H21" i="19"/>
  <c r="H19" i="19"/>
  <c r="F19" i="19"/>
  <c r="F17" i="19"/>
  <c r="F23" i="19"/>
  <c r="F25" i="19"/>
  <c r="E17" i="19"/>
  <c r="E23" i="19"/>
  <c r="C17" i="19"/>
  <c r="C23" i="19"/>
  <c r="B17" i="19"/>
  <c r="B23" i="19"/>
  <c r="H15" i="19"/>
  <c r="H11" i="19"/>
  <c r="H9" i="19"/>
  <c r="H4" i="19"/>
  <c r="B34" i="19"/>
  <c r="B25" i="19"/>
  <c r="C25" i="19"/>
  <c r="H13" i="19"/>
  <c r="H17" i="19"/>
  <c r="E34" i="19"/>
  <c r="H23" i="19"/>
  <c r="H25" i="19"/>
  <c r="E25" i="19"/>
  <c r="H64" i="19"/>
  <c r="G28" i="13"/>
  <c r="H26" i="15"/>
  <c r="H30" i="15"/>
  <c r="B8" i="8"/>
  <c r="C7" i="8"/>
  <c r="B15" i="10"/>
  <c r="B22" i="10"/>
  <c r="C8" i="8"/>
  <c r="G10" i="5"/>
  <c r="G9" i="5"/>
  <c r="E18" i="13"/>
  <c r="D57" i="13"/>
  <c r="G13" i="5"/>
  <c r="C18" i="13"/>
  <c r="G6" i="5"/>
  <c r="J18" i="13"/>
  <c r="E57" i="13"/>
  <c r="G7" i="5"/>
  <c r="I18" i="13"/>
  <c r="F57" i="13"/>
  <c r="G18" i="13"/>
  <c r="G29" i="13"/>
  <c r="G30" i="13"/>
  <c r="G31" i="13"/>
  <c r="G32" i="13"/>
  <c r="G33" i="13"/>
  <c r="G34" i="13"/>
  <c r="G35" i="13"/>
  <c r="G36" i="13"/>
  <c r="G37" i="13"/>
  <c r="G47" i="13"/>
  <c r="G46" i="13"/>
  <c r="G48" i="13"/>
  <c r="G50" i="13"/>
  <c r="H18" i="13"/>
  <c r="B64" i="13"/>
  <c r="G55" i="13"/>
  <c r="B7" i="8"/>
  <c r="D24" i="16"/>
  <c r="D22" i="16"/>
  <c r="E22" i="16"/>
  <c r="D23" i="16"/>
  <c r="D25" i="16"/>
  <c r="O7" i="16"/>
  <c r="P7" i="16"/>
  <c r="O8" i="16"/>
  <c r="O9" i="16"/>
  <c r="P9" i="16"/>
  <c r="O10" i="16"/>
  <c r="P10" i="16"/>
  <c r="O11" i="16"/>
  <c r="P11" i="16"/>
  <c r="O12" i="16"/>
  <c r="P12" i="16"/>
  <c r="F8" i="10"/>
  <c r="B30" i="10"/>
  <c r="C64" i="12"/>
  <c r="C66" i="12"/>
  <c r="D64" i="12"/>
  <c r="D66" i="12"/>
  <c r="E64" i="12"/>
  <c r="E66" i="12"/>
  <c r="B64" i="12"/>
  <c r="B66" i="12"/>
  <c r="C63" i="12"/>
  <c r="C65" i="12"/>
  <c r="D63" i="12"/>
  <c r="D65" i="12"/>
  <c r="E63" i="12"/>
  <c r="E65" i="12"/>
  <c r="F63" i="12"/>
  <c r="F65" i="12"/>
  <c r="B63" i="12"/>
  <c r="B65" i="12"/>
  <c r="L15" i="12"/>
  <c r="M15" i="12"/>
  <c r="N15" i="12"/>
  <c r="K15" i="12"/>
  <c r="N14" i="12"/>
  <c r="D8" i="5"/>
  <c r="E8" i="5"/>
  <c r="F8" i="5"/>
  <c r="G8" i="5"/>
  <c r="C8" i="5"/>
  <c r="K9" i="12"/>
  <c r="K10" i="12"/>
  <c r="L9" i="12"/>
  <c r="L10" i="12"/>
  <c r="J9" i="12"/>
  <c r="J10" i="12"/>
  <c r="C13" i="8"/>
  <c r="D13" i="8"/>
  <c r="E13" i="8"/>
  <c r="F13" i="8"/>
  <c r="B13" i="8"/>
  <c r="C9" i="10"/>
  <c r="B9" i="10"/>
  <c r="D9" i="10"/>
  <c r="E9" i="10"/>
  <c r="F9" i="10"/>
  <c r="B8" i="10"/>
  <c r="B10" i="10"/>
  <c r="C8" i="10"/>
  <c r="C10" i="10"/>
  <c r="D8" i="10"/>
  <c r="D10" i="10"/>
  <c r="E8" i="10"/>
  <c r="E10" i="10"/>
  <c r="F10" i="10"/>
  <c r="B18" i="13"/>
  <c r="B39" i="13"/>
  <c r="C11" i="5"/>
  <c r="C11" i="10"/>
  <c r="D11" i="10"/>
  <c r="E11" i="10"/>
  <c r="B11" i="10"/>
  <c r="H32" i="15"/>
  <c r="H33" i="15"/>
  <c r="F7" i="2"/>
  <c r="F11" i="2"/>
  <c r="F13" i="2"/>
  <c r="F18" i="2"/>
  <c r="F21" i="2"/>
  <c r="F24" i="2"/>
  <c r="F28" i="2"/>
  <c r="F58" i="3"/>
  <c r="H51" i="13"/>
  <c r="H42" i="13"/>
  <c r="H43" i="13"/>
  <c r="H44" i="13"/>
  <c r="H45" i="13"/>
  <c r="C7" i="2"/>
  <c r="C11" i="2"/>
  <c r="C13" i="2"/>
  <c r="C18" i="2"/>
  <c r="C21" i="2"/>
  <c r="C24" i="2"/>
  <c r="C28" i="2"/>
  <c r="D10" i="5"/>
  <c r="D7" i="2"/>
  <c r="D11" i="2"/>
  <c r="D13" i="2"/>
  <c r="D18" i="2"/>
  <c r="D21" i="2"/>
  <c r="D24" i="2"/>
  <c r="D28" i="2"/>
  <c r="E10" i="5"/>
  <c r="E7" i="2"/>
  <c r="E11" i="2"/>
  <c r="E13" i="2"/>
  <c r="E18" i="2"/>
  <c r="E21" i="2"/>
  <c r="E24" i="2"/>
  <c r="E28" i="2"/>
  <c r="F10" i="5"/>
  <c r="B7" i="2"/>
  <c r="B11" i="2"/>
  <c r="B13" i="2"/>
  <c r="B18" i="2"/>
  <c r="B21" i="2"/>
  <c r="B24" i="2"/>
  <c r="B28" i="2"/>
  <c r="C10" i="5"/>
  <c r="G51" i="13"/>
  <c r="F51" i="13"/>
  <c r="E51" i="13"/>
  <c r="D51" i="13"/>
  <c r="D49" i="13"/>
  <c r="E49" i="13"/>
  <c r="C51" i="13"/>
  <c r="C49" i="13"/>
  <c r="C42" i="13"/>
  <c r="D42" i="13"/>
  <c r="F42" i="13"/>
  <c r="G42" i="13"/>
  <c r="C43" i="13"/>
  <c r="D43" i="13"/>
  <c r="E43" i="13"/>
  <c r="F43" i="13"/>
  <c r="G43" i="13"/>
  <c r="C44" i="13"/>
  <c r="D44" i="13"/>
  <c r="E44" i="13"/>
  <c r="F44" i="13"/>
  <c r="G44" i="13"/>
  <c r="C45" i="13"/>
  <c r="D45" i="13"/>
  <c r="E45" i="13"/>
  <c r="F45" i="13"/>
  <c r="G45" i="13"/>
  <c r="B45" i="13"/>
  <c r="B44" i="13"/>
  <c r="B43" i="13"/>
  <c r="B42" i="13"/>
  <c r="C21" i="13"/>
  <c r="D21" i="13"/>
  <c r="E21" i="13"/>
  <c r="F21" i="13"/>
  <c r="G21" i="13"/>
  <c r="H21" i="13"/>
  <c r="I21" i="13"/>
  <c r="J21" i="13"/>
  <c r="K21" i="13"/>
  <c r="C22" i="13"/>
  <c r="D22" i="13"/>
  <c r="E22" i="13"/>
  <c r="F22" i="13"/>
  <c r="G22" i="13"/>
  <c r="H22" i="13"/>
  <c r="I22" i="13"/>
  <c r="J22" i="13"/>
  <c r="K22" i="13"/>
  <c r="C23" i="13"/>
  <c r="D23" i="13"/>
  <c r="E23" i="13"/>
  <c r="F23" i="13"/>
  <c r="G23" i="13"/>
  <c r="H23" i="13"/>
  <c r="I23" i="13"/>
  <c r="J23" i="13"/>
  <c r="K23" i="13"/>
  <c r="C24" i="13"/>
  <c r="D24" i="13"/>
  <c r="E24" i="13"/>
  <c r="F24" i="13"/>
  <c r="G24" i="13"/>
  <c r="H24" i="13"/>
  <c r="I24" i="13"/>
  <c r="J24" i="13"/>
  <c r="K24" i="13"/>
  <c r="B24" i="13"/>
  <c r="B23" i="13"/>
  <c r="B22" i="13"/>
  <c r="B21" i="13"/>
  <c r="H49" i="13"/>
  <c r="G49" i="13"/>
  <c r="F49" i="13"/>
  <c r="C7" i="7"/>
  <c r="D7" i="7"/>
  <c r="E7" i="7"/>
  <c r="F7" i="7"/>
  <c r="G7" i="7"/>
  <c r="B7" i="7"/>
  <c r="H6" i="7"/>
  <c r="H7" i="7"/>
  <c r="C6" i="4"/>
  <c r="C30" i="3"/>
  <c r="C18" i="3"/>
  <c r="C32" i="3"/>
  <c r="C58" i="3"/>
  <c r="D27" i="5"/>
  <c r="D6" i="4"/>
  <c r="D30" i="3"/>
  <c r="D18" i="3"/>
  <c r="D32" i="3"/>
  <c r="D58" i="3"/>
  <c r="E27" i="5"/>
  <c r="E6" i="4"/>
  <c r="E30" i="3"/>
  <c r="E18" i="3"/>
  <c r="E32" i="3"/>
  <c r="E58" i="3"/>
  <c r="F27" i="5"/>
  <c r="F6" i="4"/>
  <c r="F30" i="3"/>
  <c r="F18" i="3"/>
  <c r="F32" i="3"/>
  <c r="G27" i="5"/>
  <c r="B6" i="4"/>
  <c r="B30" i="3"/>
  <c r="B18" i="3"/>
  <c r="B32" i="3"/>
  <c r="B58" i="3"/>
  <c r="C27" i="5"/>
  <c r="D11" i="5"/>
  <c r="E11" i="5"/>
  <c r="F11" i="5"/>
  <c r="C13" i="5"/>
  <c r="D13" i="5"/>
  <c r="E13" i="5"/>
  <c r="F13" i="5"/>
  <c r="D25" i="5"/>
  <c r="E25" i="5"/>
  <c r="F25" i="5"/>
  <c r="G25" i="5"/>
  <c r="C25" i="5"/>
  <c r="G26" i="5"/>
  <c r="F26" i="5"/>
  <c r="E26" i="5"/>
  <c r="C26" i="5"/>
  <c r="D26" i="5"/>
  <c r="B40" i="3"/>
  <c r="C40" i="3"/>
  <c r="D40" i="3"/>
  <c r="E40" i="3"/>
  <c r="F40" i="3"/>
  <c r="D9" i="5"/>
  <c r="D24" i="5"/>
  <c r="E9" i="5"/>
  <c r="E22" i="5"/>
  <c r="F9" i="5"/>
  <c r="F19" i="5"/>
  <c r="C9" i="5"/>
  <c r="C22" i="5"/>
  <c r="C18" i="5"/>
  <c r="D6" i="5"/>
  <c r="D7" i="5"/>
  <c r="E6" i="5"/>
  <c r="E7" i="5"/>
  <c r="F6" i="5"/>
  <c r="F7" i="5"/>
  <c r="C6" i="5"/>
  <c r="C7" i="5"/>
  <c r="B42" i="4"/>
  <c r="B34" i="4"/>
  <c r="C42" i="4"/>
  <c r="C34" i="4"/>
  <c r="D42" i="4"/>
  <c r="D34" i="4"/>
  <c r="E42" i="4"/>
  <c r="E34" i="4"/>
  <c r="F42" i="4"/>
  <c r="F34" i="4"/>
  <c r="C46" i="3"/>
  <c r="C48" i="3"/>
  <c r="C60" i="3"/>
  <c r="D46" i="3"/>
  <c r="D48" i="3"/>
  <c r="D60" i="3"/>
  <c r="E46" i="3"/>
  <c r="E48" i="3"/>
  <c r="E60" i="3"/>
  <c r="F46" i="3"/>
  <c r="F48" i="3"/>
  <c r="F60" i="3"/>
  <c r="B46" i="3"/>
  <c r="B48" i="3"/>
  <c r="B60" i="3"/>
  <c r="G19" i="5"/>
  <c r="E23" i="5"/>
  <c r="D18" i="13"/>
  <c r="F18" i="13"/>
  <c r="K18" i="13"/>
  <c r="C20" i="5"/>
  <c r="F23" i="5"/>
  <c r="F18" i="5"/>
  <c r="E19" i="5"/>
  <c r="G23" i="5"/>
  <c r="G20" i="5"/>
  <c r="F20" i="5"/>
  <c r="C23" i="5"/>
  <c r="E20" i="5"/>
  <c r="G18" i="5"/>
  <c r="F24" i="5"/>
  <c r="G21" i="5"/>
  <c r="G22" i="5"/>
  <c r="G24" i="5"/>
  <c r="D20" i="5"/>
  <c r="D22" i="5"/>
  <c r="D18" i="5"/>
  <c r="F21" i="5"/>
  <c r="C24" i="5"/>
  <c r="D19" i="5"/>
  <c r="D23" i="5"/>
  <c r="E21" i="5"/>
  <c r="C19" i="5"/>
  <c r="D21" i="5"/>
  <c r="E24" i="5"/>
  <c r="E18" i="5"/>
  <c r="C21" i="5"/>
  <c r="F22" i="5"/>
  <c r="E31" i="2"/>
  <c r="B31" i="2"/>
  <c r="F31" i="2"/>
  <c r="C30" i="2"/>
  <c r="C31" i="2"/>
  <c r="C24" i="4"/>
  <c r="C44" i="4"/>
  <c r="C46" i="4"/>
  <c r="D30" i="2"/>
  <c r="D31" i="2"/>
  <c r="D24" i="4"/>
  <c r="D44" i="4"/>
  <c r="D46" i="4"/>
  <c r="B30" i="2"/>
  <c r="B24" i="4"/>
  <c r="B44" i="4"/>
  <c r="B46" i="4"/>
  <c r="B48" i="4"/>
  <c r="C47" i="4"/>
  <c r="F30" i="2"/>
  <c r="F24" i="4"/>
  <c r="F44" i="4"/>
  <c r="F46" i="4"/>
  <c r="E24" i="4"/>
  <c r="E44" i="4"/>
  <c r="E46" i="4"/>
  <c r="E30" i="2"/>
  <c r="C48" i="4"/>
  <c r="D47" i="4"/>
  <c r="D48" i="4"/>
  <c r="E47" i="4"/>
  <c r="E48" i="4"/>
  <c r="F47" i="4"/>
  <c r="F48" i="4"/>
  <c r="V52" i="21"/>
  <c r="V19" i="21"/>
  <c r="W19" i="21"/>
  <c r="W20" i="21"/>
  <c r="V54" i="21"/>
  <c r="V21" i="21"/>
  <c r="W21" i="21"/>
  <c r="V24" i="21"/>
  <c r="W24" i="21"/>
  <c r="W25" i="21"/>
  <c r="V26" i="21"/>
  <c r="W26" i="21"/>
  <c r="V13" i="21"/>
  <c r="V28" i="21"/>
  <c r="V14" i="21"/>
  <c r="V16" i="21"/>
  <c r="D24" i="17"/>
  <c r="R12" i="21"/>
  <c r="R52" i="21"/>
  <c r="R9" i="21"/>
  <c r="R15" i="21"/>
  <c r="R11" i="21"/>
  <c r="R19" i="21"/>
  <c r="S19" i="21"/>
  <c r="R54" i="21"/>
  <c r="R21" i="21"/>
  <c r="R26" i="21"/>
  <c r="S26" i="21"/>
  <c r="R24" i="21"/>
  <c r="S24" i="21"/>
  <c r="S21" i="21"/>
  <c r="R53" i="21"/>
  <c r="R20" i="21"/>
  <c r="S20" i="21"/>
  <c r="R14" i="21"/>
  <c r="R16" i="21"/>
  <c r="R25" i="21"/>
  <c r="S25" i="21"/>
  <c r="R13" i="21"/>
  <c r="R28" i="21"/>
  <c r="F63" i="21"/>
  <c r="E24" i="17"/>
  <c r="T12" i="21"/>
  <c r="T52" i="21"/>
  <c r="T9" i="21"/>
  <c r="T15" i="21"/>
  <c r="T11" i="21"/>
  <c r="T19" i="21"/>
  <c r="U19" i="21"/>
  <c r="T14" i="21"/>
  <c r="T16" i="21"/>
  <c r="T53" i="21"/>
  <c r="T20" i="21"/>
  <c r="U20" i="21"/>
  <c r="T54" i="21"/>
  <c r="T21" i="21"/>
  <c r="U21" i="21"/>
  <c r="T24" i="21"/>
  <c r="U24" i="21"/>
  <c r="T25" i="21"/>
  <c r="U25" i="21"/>
  <c r="T26" i="21"/>
  <c r="U26" i="21"/>
  <c r="T13" i="21"/>
  <c r="T28" i="21"/>
  <c r="F64" i="2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Chengyi Xu</author>
  </authors>
  <commentList>
    <comment ref="E17" authorId="0" shapeId="0" xr:uid="{490ACE72-80DB-EE41-AFDF-5FFA24B16AEA}">
      <text>
        <r>
          <rPr>
            <b/>
            <sz val="10"/>
            <color rgb="FF000000"/>
            <rFont val="Tahoma"/>
            <family val="2"/>
          </rPr>
          <t>Chengyi Xu:</t>
        </r>
        <r>
          <rPr>
            <sz val="10"/>
            <color rgb="FF000000"/>
            <rFont val="Tahoma"/>
            <family val="2"/>
          </rPr>
          <t xml:space="preserve">
</t>
        </r>
        <r>
          <rPr>
            <sz val="10"/>
            <color rgb="FF000000"/>
            <rFont val="Tahoma"/>
            <family val="2"/>
          </rPr>
          <t>2022/12/31 Price</t>
        </r>
      </text>
    </comment>
    <comment ref="F17" authorId="0" shapeId="0" xr:uid="{FA2E2CAC-CAE8-6348-AB64-3A316E4F2F80}">
      <text>
        <r>
          <rPr>
            <b/>
            <sz val="10"/>
            <color rgb="FF000000"/>
            <rFont val="Tahoma"/>
            <family val="2"/>
          </rPr>
          <t>Chengyi Xu:</t>
        </r>
        <r>
          <rPr>
            <sz val="10"/>
            <color rgb="FF000000"/>
            <rFont val="Tahoma"/>
            <family val="2"/>
          </rPr>
          <t xml:space="preserve">
</t>
        </r>
        <r>
          <rPr>
            <sz val="10"/>
            <color rgb="FF000000"/>
            <rFont val="Tahoma"/>
            <family val="2"/>
          </rPr>
          <t>2023/5/16 Price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e45410</author>
  </authors>
  <commentList>
    <comment ref="B38" authorId="0" shapeId="0" xr:uid="{CD5D0A5C-B5B1-B747-9CC3-72C265E08FC9}">
      <text>
        <r>
          <rPr>
            <sz val="8"/>
            <color indexed="8"/>
            <rFont val="Tahoma"/>
            <family val="2"/>
          </rPr>
          <t xml:space="preserve">Enter total fees to bankers
</t>
        </r>
      </text>
    </comment>
    <comment ref="B39" authorId="0" shapeId="0" xr:uid="{08FBC0FF-B733-324D-820E-3A529AFAA231}">
      <text>
        <r>
          <rPr>
            <sz val="8"/>
            <color indexed="8"/>
            <rFont val="Tahoma"/>
            <family val="2"/>
          </rPr>
          <t xml:space="preserve">Enter annual cost savings due to synergies of merger
</t>
        </r>
      </text>
    </comment>
    <comment ref="B40" authorId="0" shapeId="0" xr:uid="{41200634-1BA0-2145-91BC-170434DF24A1}">
      <text>
        <r>
          <rPr>
            <sz val="8"/>
            <color indexed="81"/>
            <rFont val="Tahoma"/>
            <family val="2"/>
          </rPr>
          <t xml:space="preserve">Enter annual revenue increases due to synergies gained from merger
</t>
        </r>
      </text>
    </comment>
    <comment ref="B47" authorId="0" shapeId="0" xr:uid="{3BB27BB5-09AD-904F-846A-BCC7BD66F62E}">
      <text>
        <r>
          <rPr>
            <sz val="8"/>
            <color indexed="81"/>
            <rFont val="Tahoma"/>
            <family val="2"/>
          </rPr>
          <t xml:space="preserve">Increase/(Decrease) in Other Current Assets due to revaluation to Fair Market Value
</t>
        </r>
      </text>
    </comment>
    <comment ref="B48" authorId="0" shapeId="0" xr:uid="{7BE823B8-B5AC-EB43-9093-3F5F8D9800AD}">
      <text>
        <r>
          <rPr>
            <sz val="8"/>
            <color indexed="81"/>
            <rFont val="Tahoma"/>
            <family val="2"/>
          </rPr>
          <t xml:space="preserve">Increase/(Decrease) in Investments due to revaluation to Fair Market Value
</t>
        </r>
      </text>
    </comment>
    <comment ref="B49" authorId="0" shapeId="0" xr:uid="{00001474-6469-2244-BCF8-2ABCCBEF7A8B}">
      <text>
        <r>
          <rPr>
            <sz val="8"/>
            <color indexed="81"/>
            <rFont val="Tahoma"/>
            <family val="2"/>
          </rPr>
          <t xml:space="preserve">Increase/(Decrease) in Utility Plant due to revaluation to Fair Market Value
</t>
        </r>
      </text>
    </comment>
    <comment ref="B51" authorId="0" shapeId="0" xr:uid="{07A8798D-C5F6-B24C-A6B1-B48A40BD5752}">
      <text>
        <r>
          <rPr>
            <sz val="8"/>
            <color indexed="81"/>
            <rFont val="Tahoma"/>
            <family val="2"/>
          </rPr>
          <t xml:space="preserve">Increase/(Decrease) in LTD based on revaluation to Fair Market Value
</t>
        </r>
      </text>
    </comment>
    <comment ref="B52" authorId="0" shapeId="0" xr:uid="{92DCE501-9E83-154F-9972-F6E58AF2B8C2}">
      <text>
        <r>
          <rPr>
            <sz val="8"/>
            <color indexed="81"/>
            <rFont val="Tahoma"/>
            <family val="2"/>
          </rPr>
          <t xml:space="preserve">Increase/(Decrease) in Other Non-Current Liabilities due to revaluation to Fair Market Value
</t>
        </r>
      </text>
    </comment>
    <comment ref="B53" authorId="0" shapeId="0" xr:uid="{057B529F-3D73-4A4F-819B-2BD978779BF6}">
      <text>
        <r>
          <rPr>
            <sz val="8"/>
            <color indexed="81"/>
            <rFont val="Tahoma"/>
            <family val="2"/>
          </rPr>
          <t>Increase/(Decrease) in Deferred Tax Liability due to revaluation to Fair Market Value</t>
        </r>
      </text>
    </comment>
    <comment ref="B57" authorId="0" shapeId="0" xr:uid="{262B05B0-6BEF-2A45-A084-8570E649970A}">
      <text>
        <r>
          <rPr>
            <sz val="8"/>
            <color indexed="81"/>
            <rFont val="Tahoma"/>
            <family val="2"/>
          </rPr>
          <t xml:space="preserve">Enter annual depreciation increase resulting from write-up of assets required in Purchase Method
</t>
        </r>
      </text>
    </comment>
    <comment ref="B58" authorId="0" shapeId="0" xr:uid="{6906DAF5-1BB8-9D43-9BDF-123608CBAE7E}">
      <text>
        <r>
          <rPr>
            <sz val="8"/>
            <color indexed="81"/>
            <rFont val="Tahoma"/>
            <family val="2"/>
          </rPr>
          <t>Enter annual amortization of debt discount/premium -- will be the opposite sign as line 33 above (i.e., a premium will be written down, thus reducing the liability and reducing interest exps, and vice versa).</t>
        </r>
      </text>
    </comment>
    <comment ref="B61" authorId="0" shapeId="0" xr:uid="{1A8B93D8-CFED-1A45-89CA-82EBACDC6BD0}">
      <text>
        <r>
          <rPr>
            <sz val="8"/>
            <color indexed="81"/>
            <rFont val="Tahoma"/>
            <family val="2"/>
          </rPr>
          <t>Over how many years will goodwill be spread?</t>
        </r>
      </text>
    </comment>
    <comment ref="B66" authorId="0" shapeId="0" xr:uid="{61AF3E13-7ED9-E642-A0D1-6F604227DB0D}">
      <text>
        <r>
          <rPr>
            <sz val="8"/>
            <color indexed="8"/>
            <rFont val="Tahoma"/>
            <family val="2"/>
          </rPr>
          <t xml:space="preserve">Enter amount of Target cash that will be effectively used in purchase.
</t>
        </r>
      </text>
    </comment>
    <comment ref="B67" authorId="0" shapeId="0" xr:uid="{A057B458-0D16-0243-9096-DEE22C04966C}">
      <text>
        <r>
          <rPr>
            <sz val="8"/>
            <color indexed="8"/>
            <rFont val="Tahoma"/>
            <family val="2"/>
          </rPr>
          <t>Enter percentage of remaining financing needed (i.e.,total price less cash used)  that will be financed by the issuance of debt</t>
        </r>
      </text>
    </comment>
    <comment ref="B68" authorId="0" shapeId="0" xr:uid="{42419A55-6D63-0144-8A26-5445FF4161FD}">
      <text>
        <r>
          <rPr>
            <sz val="8"/>
            <color indexed="81"/>
            <rFont val="Tahoma"/>
            <family val="2"/>
          </rPr>
          <t>Driven by cell B66</t>
        </r>
      </text>
    </comment>
    <comment ref="B69" authorId="0" shapeId="0" xr:uid="{1945CA04-3511-4146-AEA1-F17DC5C99966}">
      <text>
        <r>
          <rPr>
            <sz val="8"/>
            <color indexed="8"/>
            <rFont val="Tahoma"/>
            <family val="2"/>
          </rPr>
          <t>Enter percentage of remaining financing needed (i.e., total price less cash used)  that will be financed by stock</t>
        </r>
      </text>
    </comment>
    <comment ref="B77" authorId="0" shapeId="0" xr:uid="{3AD40880-6A54-C74B-B9F0-2501DCD93E59}">
      <text>
        <r>
          <rPr>
            <sz val="8"/>
            <color indexed="8"/>
            <rFont val="Tahoma"/>
            <family val="2"/>
          </rPr>
          <t xml:space="preserve">Represents increased interest associated with deal financing (as opposed to amortization of premium/discount in purchase method scenario)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e45410</author>
  </authors>
  <commentList>
    <comment ref="B38" authorId="0" shapeId="0" xr:uid="{6D0640F8-857F-D143-AE27-D9D50FCFDF5D}">
      <text>
        <r>
          <rPr>
            <sz val="8"/>
            <color rgb="FF000000"/>
            <rFont val="Tahoma"/>
            <family val="2"/>
          </rPr>
          <t xml:space="preserve">Enter total fees to bankers
</t>
        </r>
      </text>
    </comment>
    <comment ref="B39" authorId="0" shapeId="0" xr:uid="{4D988BE9-77C2-5A47-BF13-0AB451B64FDD}">
      <text>
        <r>
          <rPr>
            <sz val="8"/>
            <color rgb="FF000000"/>
            <rFont val="Tahoma"/>
            <family val="2"/>
          </rPr>
          <t xml:space="preserve">Enter annual cost savings due to synergies of merger
</t>
        </r>
      </text>
    </comment>
    <comment ref="B40" authorId="0" shapeId="0" xr:uid="{2170A742-08AA-D24C-85E3-918058520AEC}">
      <text>
        <r>
          <rPr>
            <sz val="8"/>
            <color rgb="FF000000"/>
            <rFont val="Tahoma"/>
            <family val="2"/>
          </rPr>
          <t xml:space="preserve">Enter annual revenue increases due to synergies gained from merger
</t>
        </r>
      </text>
    </comment>
    <comment ref="B46" authorId="0" shapeId="0" xr:uid="{54E186BC-39F0-6242-B6AB-7C07BC2F4FF7}">
      <text>
        <r>
          <rPr>
            <sz val="8"/>
            <color rgb="FF000000"/>
            <rFont val="Tahoma"/>
            <family val="2"/>
          </rPr>
          <t>Over how many years will goodwill be spread?</t>
        </r>
      </text>
    </comment>
    <comment ref="B51" authorId="0" shapeId="0" xr:uid="{46BE9FA5-2C18-C440-A319-BD45DAC0E724}">
      <text>
        <r>
          <rPr>
            <sz val="8"/>
            <color rgb="FF000000"/>
            <rFont val="Tahoma"/>
            <family val="2"/>
          </rPr>
          <t xml:space="preserve">Enter amount of Target cash that will be effectively used in purchase.
</t>
        </r>
      </text>
    </comment>
    <comment ref="B52" authorId="0" shapeId="0" xr:uid="{A37CF688-E992-DA49-9DAC-5A14F2435D1A}">
      <text>
        <r>
          <rPr>
            <sz val="8"/>
            <color rgb="FF000000"/>
            <rFont val="Tahoma"/>
            <family val="2"/>
          </rPr>
          <t>Enter percentage of remaining financing needed (i.e.,total price less cash used)  that will be financed by the issuance of debt</t>
        </r>
      </text>
    </comment>
    <comment ref="B53" authorId="0" shapeId="0" xr:uid="{8A2AB4A2-4360-6543-9455-F1A9AF7349E8}">
      <text>
        <r>
          <rPr>
            <sz val="8"/>
            <color rgb="FF000000"/>
            <rFont val="Tahoma"/>
            <family val="2"/>
          </rPr>
          <t>Driven by cell B66</t>
        </r>
      </text>
    </comment>
    <comment ref="B54" authorId="0" shapeId="0" xr:uid="{981BBC11-32FC-A448-B1B1-06934D18EE52}">
      <text>
        <r>
          <rPr>
            <sz val="8"/>
            <color rgb="FF000000"/>
            <rFont val="Tahoma"/>
            <family val="2"/>
          </rPr>
          <t>Enter percentage of remaining financing needed (i.e., total price less cash used)  that will be financed by stock</t>
        </r>
      </text>
    </comment>
    <comment ref="B62" authorId="0" shapeId="0" xr:uid="{317FC78A-7942-DE46-8606-00344BE3A9B4}">
      <text>
        <r>
          <rPr>
            <sz val="8"/>
            <color rgb="FF000000"/>
            <rFont val="Tahoma"/>
            <family val="2"/>
          </rPr>
          <t xml:space="preserve">Represents increased interest associated with deal financing (as opposed to amortization of premium/discount in purchase method scenario)
</t>
        </r>
      </text>
    </comment>
  </commentList>
</comments>
</file>

<file path=xl/sharedStrings.xml><?xml version="1.0" encoding="utf-8"?>
<sst xmlns="http://schemas.openxmlformats.org/spreadsheetml/2006/main" count="1097" uniqueCount="642">
  <si>
    <t>USGAAP</t>
  </si>
  <si>
    <t>Please note: The content of this file is qualified in its entirety by reference to the electronic version of the ASML 2022 Annual Report based on US GAAP and therefore: (i) your local (browser and/or mobile device) settings can influence the way this table and its content is being displayed and (ii) (foot)notes have been deleted for reader's convenience.</t>
  </si>
  <si>
    <t>Year ended December 31 (€, in millions, except per share data)</t>
  </si>
  <si>
    <t>2020</t>
  </si>
  <si>
    <t>2021</t>
  </si>
  <si>
    <t>2022</t>
  </si>
  <si>
    <t>Net system sales</t>
  </si>
  <si>
    <t>Net service and field option sales</t>
  </si>
  <si>
    <t>Total net sales</t>
  </si>
  <si>
    <t>Cost of system sales</t>
  </si>
  <si>
    <t>Cost of service and field option sales</t>
  </si>
  <si>
    <t>Total cost of sales</t>
  </si>
  <si>
    <t>Gross profit</t>
  </si>
  <si>
    <t>Research and development costs</t>
  </si>
  <si>
    <t>Selling, general and administrative costs</t>
  </si>
  <si>
    <t>Other income</t>
  </si>
  <si>
    <t>Interest and other, net</t>
  </si>
  <si>
    <t>Income before income taxes</t>
  </si>
  <si>
    <t>Income tax expense</t>
  </si>
  <si>
    <t>Income after income taxes</t>
  </si>
  <si>
    <t>Profit from equity method investments</t>
  </si>
  <si>
    <t>Net income</t>
  </si>
  <si>
    <t>Basic net income per ordinary share</t>
  </si>
  <si>
    <t>Diluted net income per ordinary share</t>
  </si>
  <si>
    <t xml:space="preserve">Number of ordinary shares used in computing per share amounts: </t>
  </si>
  <si>
    <t>Basic</t>
  </si>
  <si>
    <t>Diluted</t>
  </si>
  <si>
    <t>Consolidated Balance Sheets for the years ended December 31, 2021 and 2022</t>
  </si>
  <si>
    <t>As of December 31 (€, in millions, except share and per share data)</t>
  </si>
  <si>
    <t>Assets</t>
  </si>
  <si>
    <t>Cash and cash equivalents</t>
  </si>
  <si>
    <t>Short-term investments</t>
  </si>
  <si>
    <t>Accounts receivable, net</t>
  </si>
  <si>
    <t>Finance receivables, net</t>
  </si>
  <si>
    <t>Current tax assets</t>
  </si>
  <si>
    <t>Contract assets</t>
  </si>
  <si>
    <t>Inventories, net</t>
  </si>
  <si>
    <t>Other assets</t>
  </si>
  <si>
    <t>Total current assets</t>
  </si>
  <si>
    <t>Deferred tax assets</t>
  </si>
  <si>
    <t>Loan receivable</t>
  </si>
  <si>
    <t>Equity method investments</t>
  </si>
  <si>
    <t>Goodwill</t>
  </si>
  <si>
    <t>Other intangible assets, net</t>
  </si>
  <si>
    <t>Property, plant and equipment, net</t>
  </si>
  <si>
    <t>Total non-current assets</t>
  </si>
  <si>
    <t>Total assets</t>
  </si>
  <si>
    <t>Liabilities and shareholders’ equity</t>
  </si>
  <si>
    <t>Accounts payable</t>
  </si>
  <si>
    <t>Accrued and other liabilities</t>
  </si>
  <si>
    <t>Current tax liabilities</t>
  </si>
  <si>
    <t>Current portion of long-term debt</t>
  </si>
  <si>
    <t>Contract liabilities</t>
  </si>
  <si>
    <t>Total current liabilities</t>
  </si>
  <si>
    <t>Long-term debt</t>
  </si>
  <si>
    <t>Deferred and other income tax liabilities</t>
  </si>
  <si>
    <t>Total non-current liabilities</t>
  </si>
  <si>
    <t>Total liabilities</t>
  </si>
  <si>
    <t xml:space="preserve">Ordinary shares; €0.09 nominal value; </t>
  </si>
  <si>
    <t>700,000,000 shares authorized at December 31, 2022 (2021: 699,999,000)</t>
  </si>
  <si>
    <t>394,589,411 issued and outstanding at December 31, 2022 (2021: 402,601,613)</t>
  </si>
  <si>
    <t>Issued and outstanding shares</t>
  </si>
  <si>
    <t>Share premium</t>
  </si>
  <si>
    <t>Treasury shares at cost</t>
  </si>
  <si>
    <t>Retained earnings</t>
  </si>
  <si>
    <t>Accumulated other comprehensive income</t>
  </si>
  <si>
    <t>Total shareholders’ equity</t>
  </si>
  <si>
    <t>Total liabilities and shareholders’ equity</t>
  </si>
  <si>
    <t>Consolidated Statements of Cash Flows for the years ended December 31, 2020, 2021 and 2022</t>
  </si>
  <si>
    <t>Year ended December 31 (€, in millions)</t>
  </si>
  <si>
    <t>Cash Flows from Operating Activities</t>
  </si>
  <si>
    <t>Adjustments to reconcile net income to net cash flows from operating activities:</t>
  </si>
  <si>
    <t>Depreciation and amortization</t>
  </si>
  <si>
    <t>Impairment and loss (gain) on disposal</t>
  </si>
  <si>
    <t>Share-based compensation expense</t>
  </si>
  <si>
    <t>Gain on sale of subsidiaries</t>
  </si>
  <si>
    <t>Inventory reserves</t>
  </si>
  <si>
    <t>Deferred tax expense (benefit)</t>
  </si>
  <si>
    <t>Changes in assets and liabilities:</t>
  </si>
  <si>
    <t xml:space="preserve">Inventories </t>
  </si>
  <si>
    <t>Current tax assets and liabilities</t>
  </si>
  <si>
    <t>Contract assets and liabilities</t>
  </si>
  <si>
    <t>Net cash provided by operating activities</t>
  </si>
  <si>
    <t>Cash Flows from Investing Activities</t>
  </si>
  <si>
    <t>Purchase of intangible assets</t>
  </si>
  <si>
    <t xml:space="preserve">Purchase of short-term investments </t>
  </si>
  <si>
    <t>Maturity of short-term investments</t>
  </si>
  <si>
    <t>Loans issued and other investments</t>
  </si>
  <si>
    <t>Proceeds from sale of subsidiaries (net of cash disposed of)</t>
  </si>
  <si>
    <t>Acquisition of subsidiaries (net of cash acquired)</t>
  </si>
  <si>
    <t>Net cash used in investing activities</t>
  </si>
  <si>
    <t>Cash Flows from Financing Activities</t>
  </si>
  <si>
    <t>Dividend paid</t>
  </si>
  <si>
    <t>Purchase of treasury shares</t>
  </si>
  <si>
    <t>Net proceeds from issuance of shares</t>
  </si>
  <si>
    <t>Net proceeds from issuance of notes, net of issuance costs</t>
  </si>
  <si>
    <t>Repayment of debt and finance lease obligations</t>
  </si>
  <si>
    <t>Net cash used in financing activities</t>
  </si>
  <si>
    <t>Net cash flows</t>
  </si>
  <si>
    <t>Effect of changes in exchange rates on cash</t>
  </si>
  <si>
    <t>Net increase (decrease) in cash and cash equivalents</t>
  </si>
  <si>
    <t>Cash and cash equivalents at beginning of the year</t>
  </si>
  <si>
    <t>Cash and cash equivalents at end of the year</t>
  </si>
  <si>
    <t>Supplemental Disclosures of Cash Flow Information:</t>
  </si>
  <si>
    <t>Unpaid portion of property, plant and equipment, excluded in investing activities, included in Accounts payable</t>
  </si>
  <si>
    <t>Interest received</t>
  </si>
  <si>
    <t>Interest paid</t>
  </si>
  <si>
    <t>Income taxes paid, net of refunds</t>
  </si>
  <si>
    <t>2019</t>
  </si>
  <si>
    <t>Right-of-use assets - Operating</t>
  </si>
  <si>
    <t>Right-of-use assets - Finance</t>
  </si>
  <si>
    <t>Consolidated Statements of Income for the years ended December 31, 2020, 2021 and 2022</t>
  </si>
  <si>
    <t>Annual Revenue Growth</t>
  </si>
  <si>
    <t>Gross Profit Margin</t>
  </si>
  <si>
    <t>EBITDA Margin</t>
  </si>
  <si>
    <t>EBIT Margin</t>
  </si>
  <si>
    <t>Capital Expenditures/Revenue</t>
  </si>
  <si>
    <t>Net Working Capital/Revenue</t>
  </si>
  <si>
    <t>Depreciation Expense/Revenue</t>
  </si>
  <si>
    <t>Effective Tax Rate</t>
  </si>
  <si>
    <t>Debt/Capitalization</t>
  </si>
  <si>
    <t>Income from operations (EBIT)</t>
  </si>
  <si>
    <t>EBIT</t>
  </si>
  <si>
    <t>EBITDA</t>
  </si>
  <si>
    <t>Revenue</t>
  </si>
  <si>
    <t>Purchase of property, plant and equipment (Capex)</t>
  </si>
  <si>
    <t>Net Working Capital</t>
  </si>
  <si>
    <t>Shares Outstanding (Years End, Basic)</t>
  </si>
  <si>
    <t>Stock Price (Years End, USD)</t>
  </si>
  <si>
    <t>USD/EUR</t>
  </si>
  <si>
    <t>Stock Price (Years End, EUR)</t>
  </si>
  <si>
    <t>Year</t>
  </si>
  <si>
    <t>Data source:</t>
  </si>
  <si>
    <t>ASML Official Website</t>
  </si>
  <si>
    <t>NetAdvantage (CapitalIQ)</t>
  </si>
  <si>
    <t>Adopted Du-pont 5 step ROE Formula</t>
  </si>
  <si>
    <t>WallStreetPrep</t>
  </si>
  <si>
    <t>Sources:</t>
  </si>
  <si>
    <t>Notes:</t>
  </si>
  <si>
    <t>Group Project Deliverable: Target Company Excel File</t>
  </si>
  <si>
    <t>Group 3:</t>
  </si>
  <si>
    <t>BU.231.740.83.SP23 Mergers and Acquisitions</t>
  </si>
  <si>
    <t>Ed Harding, Instructor</t>
  </si>
  <si>
    <t>Member:</t>
  </si>
  <si>
    <t>Chengyi Xu, Peng Liu, Zanglong Xuan</t>
  </si>
  <si>
    <t>Contents</t>
  </si>
  <si>
    <t>Statements of Income</t>
  </si>
  <si>
    <t>Balance Sheets</t>
  </si>
  <si>
    <t>Financial Statement Ratios</t>
  </si>
  <si>
    <t>Statements of Cash Flow</t>
  </si>
  <si>
    <t>Source:</t>
  </si>
  <si>
    <t>IRS</t>
  </si>
  <si>
    <t>1 USD =</t>
  </si>
  <si>
    <t>EURO</t>
  </si>
  <si>
    <t>1 EURO=</t>
  </si>
  <si>
    <t>USD</t>
  </si>
  <si>
    <t>We assumed the future exchange rate would be the same as 2023, since the realistic exchange rate would be hard to predict.</t>
  </si>
  <si>
    <t>Price/Revenue</t>
  </si>
  <si>
    <t>EV/Revenue</t>
  </si>
  <si>
    <t>EV/EBIT</t>
  </si>
  <si>
    <t>EV/EBITDA</t>
  </si>
  <si>
    <t>Price/Book</t>
  </si>
  <si>
    <t>Currency:</t>
  </si>
  <si>
    <t>Euro</t>
  </si>
  <si>
    <t>As-Of Date:</t>
  </si>
  <si>
    <t>Company Comp Set</t>
  </si>
  <si>
    <t>Company Name</t>
  </si>
  <si>
    <t>Day Close Price Latest</t>
  </si>
  <si>
    <t>Shares Outstanding Latest</t>
  </si>
  <si>
    <t>Market Capitalization Latest</t>
  </si>
  <si>
    <t xml:space="preserve">LTM Net Debt </t>
  </si>
  <si>
    <t>Total Enterprise Value Latest</t>
  </si>
  <si>
    <t xml:space="preserve">LTM Tangible Book Value/Share </t>
  </si>
  <si>
    <t xml:space="preserve">LTM Total Revenue </t>
  </si>
  <si>
    <t xml:space="preserve">LTM EBITDA </t>
  </si>
  <si>
    <t xml:space="preserve">LTM EBIT </t>
  </si>
  <si>
    <t xml:space="preserve">LTM Diluted EPS Excl. Extra Items </t>
  </si>
  <si>
    <t>Applied Materials, Inc. (NasdaqGS:AMAT)</t>
  </si>
  <si>
    <t>ASM International NV (ENXTAM:ASM)</t>
  </si>
  <si>
    <t>Lam Research Corporation (NasdaqGS:LRCX)</t>
  </si>
  <si>
    <t>KLA Corporation (NasdaqGS:KLAC)</t>
  </si>
  <si>
    <t>Infineon Technologies AG (XTRA:IFX)</t>
  </si>
  <si>
    <t>BE Semiconductor Industries N.V. (ENXTAM:BESI)</t>
  </si>
  <si>
    <t>AIXTRON SE (XTRA:AIXA)</t>
  </si>
  <si>
    <t>Tokyo Electron Limited (TSE:8035)</t>
  </si>
  <si>
    <t>PSK Inc. (KOSDAQ:A319660)</t>
  </si>
  <si>
    <t>Wonik Ips Co., Ltd (KOSDAQ:A240810)</t>
  </si>
  <si>
    <t>ASML Holding N.V. (ENXTAM:ASML)</t>
  </si>
  <si>
    <t>Summary Statistics</t>
  </si>
  <si>
    <t>High</t>
  </si>
  <si>
    <t>Low</t>
  </si>
  <si>
    <t>Mean</t>
  </si>
  <si>
    <t>Median</t>
  </si>
  <si>
    <t>Business Description</t>
  </si>
  <si>
    <t>Applied Materials, Inc. engages in the provision of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The company operates in the United States, China, Korea, Taiwan, Japan, Southeast Asia, and Europe. Applied Materials, Inc. was incorporated in 1967 and is headquartered in Santa Clara, California.</t>
  </si>
  <si>
    <t>ASM International NV, together with its subsidiaries, engages in the research, development, manufacture, marketing, and servicing of equipment and materials used to produce semiconductor devices in the United States, Europe, and Asia. Its products include wafer processing deposition systems for single-wafer atomic layer deposition, plasma enhanced chemical vapor deposition, epitaxy, silicon carbide, vertical furnace systems, and low pressure chemical vapor deposition and diffusion products, as well as provides spare parts and support services. The company also manufactures and sells equipment, which is used in wafer processing, encompassing the fabrication steps in which silicon wafers are layered with semiconductor devices. It offers its products to semiconductor manufacturers. The company was formerly known as Advanced Semiconductor Materials International NV. ASM International NV was incorporated in 1968 and is headquartered in Almere, the Netherlands.</t>
  </si>
  <si>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SOLA ultraviolet thermal processing products for film treatments; and VECTOR plasma-enhanced CVD ALD products. It also provides SPEED gapfill high-density plasma chemical vapor deposition products; and Striker single-wafer atomic layer deposition products for dielectric film solutions. In addition, the company offers Flex for dielectric etch applications; Kiyo for conductor etch applications; Syndion for through-silicon via etch applications; and Versys metal products for metal etch processes. Further, it provides Coronus bevel clean products to enhance die yield; Da Vinci, DV-Prime, EOS, and SP series products to address various wafer cleaning applications; and Metryx mass metrology systems for high precision in-line mass measurement in semiconductor wafer manufacturing. The company sells its products and services to semiconductors industry in the United States, China, Europe, Japan, Korea, Southeast Asia, Taiwan, and internationally. Lam Research Corporation was incorporated in 1980 and is headquartered in Fremont, California.</t>
  </si>
  <si>
    <t>KLA Corporation designs, manufactures, and markets process control, process-enabling, and yield management solutions for the semiconductor and related electronics industries worldwide. It operates through four segments: Semiconductor Process Control; Specialty Semiconductor Process; PCB, Display and Component Inspection; and Other. The company offers integrated circuit (IC) manufacturing products that comprises wafer inspection and review, and metrology; wafer and substrate defect inspection and metrology; reticle defect inspection and metrology; chemical/materials quality analysis; in situ process management and wafer handling diagnostics for IC and original equipment manufacturer (OEM) manufacturing; software products to provide run-time process control, defect excursion identification, process corrections, and defect classification; and refurbished and remanufactured products. It also provides specialty semiconductor manufacturing, benchtop metrology, surface characterization, and electrical property measurement services for general purpose/ lab applications; etch, plasma dicing, deposition, and other wafer processing technologies and solutions for the semiconductor and microelectronics industry. In addition, the company offers direct imaging, inspection, optical shaping, additive printing, and computer-aided manufacturing and engineering solutions for the PCB market; inspection and electrical testing systems to identify and classify defects, as well as systems to repair defects for the display market; and inspection and metrology systems for quality control and yield improvement in advanced and traditional semiconductor packaging markets. The company was formerly known as KLA-Tencor Corporation and changed its name to KLA Corporation in July 2019. KLA Corporation was incorporated in 1975 and is headquartered in Milpitas, California.</t>
  </si>
  <si>
    <t>Infineon Technologies AG designs, develops, manufactures, and markets semiconductors and related system solutions worldwide. Its Automotive segment offers automotive microcontrollers; 3D ToF, magnetic, and pressure sensors; discrete power semiconductors; IGBT modules; industrial microcontrollers; power and radar sensor ICs; transceivers; SiC diodes, MOSEFTs, and modules; and voltage regulators for use in assistance and safety systems, comfort electronics, infotainment, powertrain, and security products. The company’s Industrial Power Control segment provides bare dies, discrete IGBTs and driver ICs; SiC diodes, MOSFETs, and modules; and IGBT modules and stacks for home appliances, industrial drives, industrial power supplies, industrial robotics, industrial vehicles, and traction, as well as for energy generation, storage, and transmission. Its Power &amp; Sensor Systems segment offers gas and pressure sensors, and MEMS microphones chips; 3D ToF sensors; control ICs; discrete low-, mid-, and high-voltage power MOSFET; customized chips; GaN power switches; GPS low-noise amplifiers; low-voltage and high-voltage driver ICs; radar sensor ICs; RF antenna switches and power transistors; transient voltage suppressor diodes; SiC diode and MOSFETs; and USB controllers for use in audio amplifiers, automotive electronics, BLDC motors, cellular communications infrastructure, electric vehicle charging stations, human machine interaction, IoT, LED and conventional lighting systems, microinverter, mobile devices, power management, and special applications in harsh environments. The company’s Connected Secure Systems segment provides connectivity solutions, embedded security controllers, microcontrollers, and security controllers for authentication, automotive, consumer electronics, government identification document, IoT, mobile communication, payment system, ticketing, access control, and trusted computing applications. Infineon Technologies AG is headquartered in Neubiberg, Germany.</t>
  </si>
  <si>
    <t>BE Semiconductor Industries N.V. engages in the development, manufacture, marketing, sale, and service of semiconductor assembly equipment for the semiconductor and electronics industries worldwide. The company’s principal products include die attach equipment, such as single chip, multi-chip, multi module, flip chip, thermal compression bonding, fan out wafer level packaging, hybrid and embedded bridge die bonding, and die sorting systems; and packaging equipment, including conventional, ultra-thin, and wafer level molding, as well as trim and form, and singulation systems. Its principal products also comprise plating equipment, such as tin, copper, and precious metal and solar plating systems, as well as related process chemicals; and tooling, conversion kits, spare parts, and other services. The company’s principal brand names include Datacon, Esec, Fico, and Meco. It offers its products primarily to multinational chip manufacturers, assembly subcontractors, and electronics and industrial companies. The company was incorporated in 1995 and is headquartered in Duiven, the Netherlands.</t>
  </si>
  <si>
    <t>AIXTRON SE, together with its subsidiaries, provides deposition equipment to the semiconductor industry in Asia, Europe, and the Americas. The company also engages development of deposition processes, such as equipment, consulting and training, customer support, and service for equipment, as well as peripheral equipment and services. It supplies deposition equipment for volume production, research and development of equipment, and pre-series productions. In addition, the company’s technology solutions are used to build components for electronic and opto-electronic applications based on compound, silicon, and organic semiconductor materials, which are used in fiber optic communication systems, wireless and mobile telephony, optical and electronic storage devices, computing, signaling, and lighting displays application, as well as edge technologies. AIXTRON SE was founded in 1983 and is headquartered in Herzogenrath, Germany.</t>
  </si>
  <si>
    <t>Tokyo Electron Limited, together with its subsidiaries, develops, manufactures, and sells semiconductor and flat panel display (FPD) production equipment in Japan, Europe, North America, Taiwan, China, South Korea, Southeast Asia, and internationally. The company offers coaters/developers, etch systems, surface preparation systems, deposition systems, test systems, wafer bonders/debonders, SiC epitaxial CVD systems, gas cluster ion beam system, and cleaning systems for use in the semiconductor manufacturing process. It also provides coaters/developers and plasma etch/ash systems for use in the manufacture of FPDs, as well as inkjet printing systems for manufacturing OLED displays. In addition, the company offers delivery, facility management, and non-life insurance services; sells semiconductor products, board computer products, software, and other electronic components; sells and supports network/storage/middleware related solutions; and develops, manufactures, and sells magnetic annealing systems. Tokyo Electron Limited was incorporated in 1951 and is headquartered in Tokyo, Japan.</t>
  </si>
  <si>
    <t>PSK Inc. develops, manufactures, and sells semiconductor processing equipment in worldwide. The company offers dry strip, dry cleaning, new hard mask strip, and edge clean products. It also provides 3D IC packing equipment, such as plasma source, reflow, hot DI, and plasma surface treatment systems. The company was founded in 1990 and is based in Hwaseong-si, South Korea.</t>
  </si>
  <si>
    <t>Wonik IPS Co., Ltd primarily researches and develops, manufactures, and sells semiconductor, display, and solar cell systems in South Korea. The company's semiconductor systems include WIDAS for enhancing process capacity; NOA ALD and CVD systems; GEMINI HQ system to produce dielectric films; GEMINI ALD systems for multi-patterning applications; HyEtaTM Spatial ALD systems for conformal films and seamless gap-fills; and Quanta systems for 3D NAND device fabrication. It also provides display systems, such as oxide thin-film transistor equipment, polyimide curing equipment, and low temperature polycrystalline silicon equipment; PECVD, which is used to prevent moisture penetration of flexible OLED devices; and display dry etcher, a core processing equipment to form a desired pattern on substrate in manufacturing QD-OLED, AMOLED, and large-size LCD panels, as well as for OLED and LCD panel production in high-resolution AM-OLED/LTPS market. In addition, the company offers reacting ion etching systems for solar wafer texturing. Further, it manufactures general machineries. Wonik IPS Co., Ltd was founded in 1991 and is headquartered in Pyeongtaek-si, South Korea.</t>
  </si>
  <si>
    <t>ASML Holding N.V. develops, produces, markets, sells, and services advanced semiconductor equipment systems consisting of lithography, metrology, and inspection systems for memory and logic chipmakers. The company provides extreme ultraviolet lithography systems; and deep ultraviolet lithography systems comprising immersion and dry lithography solutions to manufacture various range of semiconductor nodes and technologies. It also offers metrology and inspection systems, including YieldStar optical metrology solutions to assess the quality of patterns on the wafers; and HMI e-beam solutions to locate and analyze individual chip defects. In addition, the company provides computational lithography and lithography process and control software solutions; and refurbishes and upgrades older lithography systems, as well as offers customer support and associated services. It operates in Japan, South Korea, Singapore, Taiwan, China, rest of Asia, the Netherlands, rest of Europe, the Middle East, Africa, and the United States. The company was formerly known as ASM Lithography Holding N.V. and changed its name to ASML Holding N.V. in 2001. ASML Holding N.V. was founded in 1984 and is headquartered in Veldhoven, the Netherlands.</t>
  </si>
  <si>
    <t>Source</t>
  </si>
  <si>
    <t>Price/EPS</t>
  </si>
  <si>
    <t>Q1</t>
  </si>
  <si>
    <t>Q3</t>
  </si>
  <si>
    <t>Lower Bound</t>
  </si>
  <si>
    <t>IQR</t>
  </si>
  <si>
    <t>Upper Bound</t>
  </si>
  <si>
    <t>Mean Excluded Outliers</t>
  </si>
  <si>
    <t>Implied TEV Range</t>
  </si>
  <si>
    <t>Implied Per Share Price</t>
  </si>
  <si>
    <t>EPS (Diluted)</t>
  </si>
  <si>
    <t>Less Net Debt</t>
  </si>
  <si>
    <t>Equity Value</t>
  </si>
  <si>
    <t>Free Cash Flows to Equity (FCFE) (“Direct Equity” method)</t>
  </si>
  <si>
    <t>Years</t>
  </si>
  <si>
    <t>Operating Income</t>
  </si>
  <si>
    <t>- Taxes</t>
  </si>
  <si>
    <t>Earnings Available to Common</t>
  </si>
  <si>
    <t>+ Depreciation &amp; Amortization</t>
  </si>
  <si>
    <t>- Capital Expenditures</t>
  </si>
  <si>
    <t>+/- Change in net working capital</t>
  </si>
  <si>
    <t>+ New debt issued</t>
  </si>
  <si>
    <t>Free Cash Flows to the Firm (FCFF) (“Invested Capital” method)</t>
  </si>
  <si>
    <t>Method 2</t>
  </si>
  <si>
    <t>- Cash Paid for Taxes</t>
  </si>
  <si>
    <t>Method 3</t>
  </si>
  <si>
    <t>FCFE</t>
  </si>
  <si>
    <t>XNPV</t>
  </si>
  <si>
    <t>Plus Cash on Balance Sheet</t>
  </si>
  <si>
    <t>Enterpreise Value</t>
  </si>
  <si>
    <t>Shares</t>
  </si>
  <si>
    <t>Less Debt</t>
  </si>
  <si>
    <t>Net Income</t>
  </si>
  <si>
    <t>Dividend Paid</t>
  </si>
  <si>
    <t>Dividend Payout Ratio</t>
  </si>
  <si>
    <t>Dividend Per Share</t>
  </si>
  <si>
    <t>Earnings Capitalization</t>
  </si>
  <si>
    <t>Earnings</t>
  </si>
  <si>
    <t>Growth Rate</t>
  </si>
  <si>
    <t>Capitalization Rate</t>
  </si>
  <si>
    <t>PV</t>
  </si>
  <si>
    <t xml:space="preserve">  = FCFE</t>
  </si>
  <si>
    <t xml:space="preserve"> =FCFF</t>
  </si>
  <si>
    <t>2023E</t>
  </si>
  <si>
    <t>2024E</t>
  </si>
  <si>
    <t>2025E</t>
  </si>
  <si>
    <t>2026E</t>
  </si>
  <si>
    <t>2027E</t>
  </si>
  <si>
    <t>Remark</t>
  </si>
  <si>
    <t>2023-2027</t>
  </si>
  <si>
    <t>D&amp;A</t>
  </si>
  <si>
    <t xml:space="preserve">Assumption </t>
  </si>
  <si>
    <t>CapEx</t>
  </si>
  <si>
    <t>CAPM</t>
  </si>
  <si>
    <t>Gordon Dividend Model</t>
  </si>
  <si>
    <t>Expected Earnings</t>
  </si>
  <si>
    <t>Stock Price</t>
  </si>
  <si>
    <t>Div0</t>
  </si>
  <si>
    <t>g</t>
  </si>
  <si>
    <t>RE</t>
  </si>
  <si>
    <t>P0</t>
  </si>
  <si>
    <t>Re</t>
  </si>
  <si>
    <t>YTM</t>
  </si>
  <si>
    <t>Annual</t>
  </si>
  <si>
    <t>EUR</t>
  </si>
  <si>
    <t>Offering Price</t>
  </si>
  <si>
    <t>Interest Frequency</t>
  </si>
  <si>
    <t>Issued Currency</t>
  </si>
  <si>
    <t>Current YTW</t>
  </si>
  <si>
    <t>Current Price</t>
  </si>
  <si>
    <t>Amt. Outstdg. ($mm)</t>
  </si>
  <si>
    <t>Offering Amt. ($mm)</t>
  </si>
  <si>
    <t>Offer Date</t>
  </si>
  <si>
    <t>Capital IQ Trading ID</t>
  </si>
  <si>
    <t>Coupon</t>
  </si>
  <si>
    <t>Maturity Date</t>
  </si>
  <si>
    <t>Book Value</t>
  </si>
  <si>
    <t>Pre-Tax Cost</t>
  </si>
  <si>
    <t>After-Tax Cost</t>
  </si>
  <si>
    <t>WACC</t>
  </si>
  <si>
    <t>Debt (Book Value)</t>
  </si>
  <si>
    <t>Interest Paid</t>
  </si>
  <si>
    <t>Average Debt</t>
  </si>
  <si>
    <t>Debt</t>
  </si>
  <si>
    <t>Weight</t>
  </si>
  <si>
    <t>Year</t>
    <phoneticPr fontId="15" type="noConversion"/>
  </si>
  <si>
    <t>Currency Exchange</t>
  </si>
  <si>
    <t>Income Approach</t>
    <phoneticPr fontId="15" type="noConversion"/>
  </si>
  <si>
    <t>Cost of Equity</t>
  </si>
  <si>
    <t>Cost of Debt</t>
    <phoneticPr fontId="15" type="noConversion"/>
  </si>
  <si>
    <t>Market Approach</t>
    <phoneticPr fontId="15" type="noConversion"/>
  </si>
  <si>
    <t>Business Description</t>
    <phoneticPr fontId="15" type="noConversion"/>
  </si>
  <si>
    <t>FOOTNOTES &amp; SOURCES &amp; RATIONALE</t>
  </si>
  <si>
    <t>ASML</t>
  </si>
  <si>
    <t xml:space="preserve">Currency Exchange Ratio							</t>
  </si>
  <si>
    <t>(in 1 respective Currency)</t>
  </si>
  <si>
    <t>Growth %</t>
  </si>
  <si>
    <t>% of system sales</t>
  </si>
  <si>
    <t>% of net sales</t>
  </si>
  <si>
    <t>% of Ebit</t>
  </si>
  <si>
    <t>% of Income</t>
  </si>
  <si>
    <t>Historical Rates</t>
  </si>
  <si>
    <t>Growth % (1)</t>
  </si>
  <si>
    <t>- Principal repayments (1)</t>
  </si>
  <si>
    <t>% of service sales (2)</t>
  </si>
  <si>
    <t>Forecast Values</t>
  </si>
  <si>
    <t>Historical Values</t>
  </si>
  <si>
    <t>Forecast Rates</t>
  </si>
  <si>
    <t>We expect the future System sales grwoth rate to be 12%, which is the average of the growth rates of 2019, 2020, and 2022. Excluded 2021 because 2021 growth rate is abnormal.</t>
  </si>
  <si>
    <t>We assumed the COGS percentage to be 50% since we found the percentages has been stable since2020</t>
  </si>
  <si>
    <t>Rates</t>
  </si>
  <si>
    <t>% of PPE (2)</t>
  </si>
  <si>
    <t>% of Net income</t>
  </si>
  <si>
    <t>% of Net Sales</t>
  </si>
  <si>
    <t>Change in NWC</t>
  </si>
  <si>
    <t>Total FCFE</t>
  </si>
  <si>
    <t>Terminal Value FCFE</t>
  </si>
  <si>
    <t>Terminal Value FCFF-2</t>
  </si>
  <si>
    <t>Terminal Value FCFF-3</t>
  </si>
  <si>
    <t>Total FCFF-2</t>
  </si>
  <si>
    <t>Total FCFF-3</t>
  </si>
  <si>
    <t>FCFF-2</t>
  </si>
  <si>
    <t>Perpetual Dividend Growth</t>
  </si>
  <si>
    <t>Income Approach</t>
  </si>
  <si>
    <t>Discounted Cash Flows Direct Equity (1)</t>
  </si>
  <si>
    <t>Dividend Discount Model (2)</t>
  </si>
  <si>
    <t>Earnings Capitalization (3)</t>
  </si>
  <si>
    <t>Market Approach</t>
  </si>
  <si>
    <t>Comparable Trading (4)</t>
  </si>
  <si>
    <t>Comparable Transaction (5)</t>
  </si>
  <si>
    <t>Asset Accumulation (6)</t>
  </si>
  <si>
    <t>Weighted Value per Share</t>
  </si>
  <si>
    <t>FOOTNOTES (Rationale)</t>
  </si>
  <si>
    <t xml:space="preserve">Discounted Cash Flows </t>
  </si>
  <si>
    <t>Valuation Conclusion</t>
  </si>
  <si>
    <t>Discounted Cash Flows Invested Capital -1(1)</t>
  </si>
  <si>
    <t>Consolidated Statements of Income for the years ended December 31, 2020, 2021 and 2022 and Expected till 2027</t>
  </si>
  <si>
    <t>ASML Income Approach Valuation</t>
  </si>
  <si>
    <t xml:space="preserve">Discounted Cash Flows Approaches </t>
  </si>
  <si>
    <t xml:space="preserve">Discount Dividend Model							</t>
  </si>
  <si>
    <t>Earnings Capitalization Model</t>
  </si>
  <si>
    <t>Capitalized Economic Income Approaches</t>
  </si>
  <si>
    <t>The values of new debt issued is from the company 2022 annual report, page 237</t>
  </si>
  <si>
    <t>Growth rate (3)</t>
  </si>
  <si>
    <t>We assumed the percentgae of PPE of D&amp;A is 15% since it has decreased stable to 2022</t>
  </si>
  <si>
    <t>We assumed the growth rate of PPE to be 26% since it is also a relatively stable value from 2018 to 2022</t>
  </si>
  <si>
    <t>Operating Income Growth (4)</t>
  </si>
  <si>
    <t>We estimated the perpetual operating growth to be 5% since even it has high growth rate for the expected 5 years, it is expected to slow down to 5%</t>
  </si>
  <si>
    <t>ASML Financial Statement Ratios</t>
  </si>
  <si>
    <t>Items</t>
  </si>
  <si>
    <t>Weightings</t>
  </si>
  <si>
    <t>Tax Rate (1)</t>
  </si>
  <si>
    <t>Equity (Market Value)</t>
  </si>
  <si>
    <t>Capital</t>
  </si>
  <si>
    <t>FOOTNOTES &amp; SOURCES</t>
  </si>
  <si>
    <t>ASML WACC Calculation</t>
  </si>
  <si>
    <t>We expect the effective tax rate to be relatively stable from 2021 for about 15%</t>
  </si>
  <si>
    <t>ASML Cost of Equity Estimation</t>
  </si>
  <si>
    <t>Risk Free (1)</t>
  </si>
  <si>
    <t>Beta 5Y (2)</t>
  </si>
  <si>
    <t>Implied Premium (FCFE with sustainable Payout) (3)</t>
  </si>
  <si>
    <t>Final Cost of Equity</t>
  </si>
  <si>
    <t>We utilize the 10 year T-bond rate as the risk-free rate since we beliee 20-year is too forward looking, source</t>
  </si>
  <si>
    <t>Adamodar</t>
  </si>
  <si>
    <t>We obtained the 5 Year beta from the Capital IQ</t>
  </si>
  <si>
    <t>We obtained the premium also from the Adamodar.</t>
  </si>
  <si>
    <t>Years to maturity</t>
  </si>
  <si>
    <t>Weights</t>
  </si>
  <si>
    <t>Weighted YTM</t>
  </si>
  <si>
    <t>Weighted Cost of Debt from corporate bond</t>
  </si>
  <si>
    <t>Corporate Bond Approach</t>
  </si>
  <si>
    <t>Debt Book Value Approach</t>
  </si>
  <si>
    <t>Pre-Tax Cost of debt</t>
  </si>
  <si>
    <t>ASML Cost of Debt Estimation</t>
  </si>
  <si>
    <t>Final Cost of Debt</t>
  </si>
  <si>
    <t>Market Approach Valuation</t>
  </si>
  <si>
    <t xml:space="preserve">(in millions EUROs, except for per share values and percentages)								</t>
  </si>
  <si>
    <t xml:space="preserve">(in millions of EURO or percentages)						</t>
  </si>
  <si>
    <t>(in millions of EURO or percentages)</t>
  </si>
  <si>
    <t>(in millions of EUROs, except for per share values and percentages)</t>
  </si>
  <si>
    <t>(in millions of EUROs, except for per share items)</t>
  </si>
  <si>
    <t>Selected</t>
  </si>
  <si>
    <t>RATIOS</t>
  </si>
  <si>
    <t>Financials</t>
  </si>
  <si>
    <t>Conclusions</t>
  </si>
  <si>
    <t>Conclusion</t>
  </si>
  <si>
    <t>Statement of income (Modified)</t>
  </si>
  <si>
    <t>We are giving ASML a relativly high ratios since ASML is a leading company in the world, it deserves to have some reasonable premiums.</t>
  </si>
  <si>
    <t>it estimates the present value of future cash flows the company is expected to generate. It is a widely used valuation method and provides a good indication of a company's intrinsic value. We consider it to be a moderately important valuation method.</t>
  </si>
  <si>
    <t>this method compares the company's financial metrics to similar publicly traded companies to determine a valuation. It is a widely used method for valuing companies, especially in the technology sector. We believe that the company's valuation should be informed by the prices of similar companies in the market.</t>
  </si>
  <si>
    <t>We don't believe that recent acquisition prices are relevant for valuing ASML.</t>
  </si>
  <si>
    <t>We don't believe that the company's assets are the primary driver of its value.</t>
  </si>
  <si>
    <t>Answers required in all light red-shaded boxes.</t>
  </si>
  <si>
    <t>Problem 2</t>
  </si>
  <si>
    <t>Pro-Forma</t>
  </si>
  <si>
    <t>NewCo</t>
  </si>
  <si>
    <t>Mkt Value</t>
  </si>
  <si>
    <t>Current Assets</t>
  </si>
  <si>
    <t>PP&amp;E</t>
  </si>
  <si>
    <t>Other Assets</t>
  </si>
  <si>
    <t>Total Assets</t>
  </si>
  <si>
    <t>Accts Payable</t>
  </si>
  <si>
    <t>Long-Term Debt</t>
  </si>
  <si>
    <t>Equity</t>
  </si>
  <si>
    <t>Total Liabilities and Equity</t>
  </si>
  <si>
    <t>2.2m-fairmakret</t>
  </si>
  <si>
    <t>2.2-</t>
  </si>
  <si>
    <t>goodwill</t>
  </si>
  <si>
    <t>2019E EPS</t>
  </si>
  <si>
    <t>Shares Outst.</t>
  </si>
  <si>
    <t>Price/Share</t>
  </si>
  <si>
    <t>P/E Multiple</t>
  </si>
  <si>
    <t>Debt/Capital</t>
  </si>
  <si>
    <t>Interest Rate on Debt pre-tax</t>
  </si>
  <si>
    <t>Percent Debt</t>
  </si>
  <si>
    <t>Tax Rate for both</t>
  </si>
  <si>
    <t>1.  Assume Buyer is acquiring Target, financed with 40% debt and 60% stock.  The stock prices shown above</t>
  </si>
  <si>
    <t xml:space="preserve">     are the prices involved (i.e., the buyer's stock at time of deal is $30 and they are paying $25/share for the target).</t>
  </si>
  <si>
    <t xml:space="preserve">     The deal is closing on 12/31/18.  Interest rate and tax rate assumptions are shown above.</t>
  </si>
  <si>
    <t xml:space="preserve">     Shares outstanding and 2019 Estimated standalone EPS are given above.</t>
  </si>
  <si>
    <t xml:space="preserve">     Calculate the 2019E EPS of the combined entity.  Assume zero synergies.</t>
  </si>
  <si>
    <t>EPS</t>
  </si>
  <si>
    <t>=</t>
  </si>
  <si>
    <t>percentage debt finance</t>
  </si>
  <si>
    <r>
      <t xml:space="preserve">2.  What amount of </t>
    </r>
    <r>
      <rPr>
        <b/>
        <sz val="10"/>
        <rFont val="Arial"/>
        <family val="2"/>
      </rPr>
      <t>pre-tax synergies</t>
    </r>
    <r>
      <rPr>
        <sz val="10"/>
        <rFont val="Arial"/>
        <family val="2"/>
      </rPr>
      <t xml:space="preserve"> are required to make the combined</t>
    </r>
  </si>
  <si>
    <t xml:space="preserve">     EPS break-even?  If the deal is already break-even or accretive, you can answer "n/a."</t>
  </si>
  <si>
    <t xml:space="preserve">                Pre-Tax to Breakeven =</t>
  </si>
  <si>
    <t>3.  Fill in the combined pro-forma Balance sheet at 12/31/18 for the new Buyer company</t>
  </si>
  <si>
    <t xml:space="preserve">     Include the new number of Buyer shares outstanding after the close.</t>
  </si>
  <si>
    <t>See Above Red Boxes within H9-H29 range</t>
  </si>
  <si>
    <t>4.  Fill in the boxes for the cash portion per share and the exchange ratio of the deal (red boxes):</t>
  </si>
  <si>
    <t>You would say this deal is structured as:</t>
  </si>
  <si>
    <t>Cash, plus</t>
  </si>
  <si>
    <t>shares of Buyer per share of Target</t>
  </si>
  <si>
    <t>5.  What is the Pro Forma Debt/Capitalization Ratio for NewCo?</t>
  </si>
  <si>
    <t>6.  What percentage of NewCo does Buyer control?</t>
  </si>
  <si>
    <t>Target : ASML</t>
  </si>
  <si>
    <t>Buyer: Nvidia</t>
  </si>
  <si>
    <t>Inflation</t>
  </si>
  <si>
    <t>Japan</t>
  </si>
  <si>
    <t>South Korea</t>
  </si>
  <si>
    <t>Singapore</t>
  </si>
  <si>
    <t>China</t>
  </si>
  <si>
    <t>Netherlands</t>
  </si>
  <si>
    <t>United States</t>
  </si>
  <si>
    <t>2016</t>
  </si>
  <si>
    <t>2017</t>
  </si>
  <si>
    <t>2018</t>
  </si>
  <si>
    <t>World</t>
  </si>
  <si>
    <t>Country Name</t>
  </si>
  <si>
    <t>Korea, Rep.</t>
  </si>
  <si>
    <t>GDP growth (annual %)</t>
  </si>
  <si>
    <t>Inflation, GDP deflator (annual %)</t>
  </si>
  <si>
    <t>Research and development expenditure (% of GDP)</t>
  </si>
  <si>
    <t>Rest of the World</t>
  </si>
  <si>
    <t>2022 Revenue</t>
  </si>
  <si>
    <t>Total</t>
  </si>
  <si>
    <t>Average Value</t>
  </si>
  <si>
    <t>N/A</t>
  </si>
  <si>
    <t>GDP in Current U.S.Dollar</t>
  </si>
  <si>
    <t>R&amp;D Expense (in Million U.S. Dollar)</t>
  </si>
  <si>
    <t>CAGR Growth</t>
  </si>
  <si>
    <t>Weighted Total</t>
  </si>
  <si>
    <t>5 Years</t>
  </si>
  <si>
    <t>R&amp;D Discounted</t>
  </si>
  <si>
    <t>GDP Growth Discounted</t>
  </si>
  <si>
    <t>New Debt Issued ($mm)</t>
  </si>
  <si>
    <t>Interest Rate on Debt:</t>
  </si>
  <si>
    <t>Percent Debt:</t>
  </si>
  <si>
    <t>Detailed Data:</t>
  </si>
  <si>
    <t>n/a</t>
  </si>
  <si>
    <t>Goodwill Amortized over</t>
  </si>
  <si>
    <t>none made</t>
  </si>
  <si>
    <t>Book Adjustments to FMV</t>
  </si>
  <si>
    <t>Synergies</t>
  </si>
  <si>
    <t>Percent Equity Financing</t>
  </si>
  <si>
    <t>Percent Existing Cash Fin.</t>
  </si>
  <si>
    <t>Percent Debt Financing</t>
  </si>
  <si>
    <t>Assumptions (coming from Inputs Tab starting in A65):</t>
  </si>
  <si>
    <t>A-</t>
  </si>
  <si>
    <t>Credit Rating</t>
  </si>
  <si>
    <t>%Op Exp</t>
  </si>
  <si>
    <t>Pretax Synergies to Break-Even (in millions)</t>
  </si>
  <si>
    <t>A/(D)</t>
  </si>
  <si>
    <t>Pro Forma EPS (I/B/E/S)</t>
  </si>
  <si>
    <t>% Buyer Ownership</t>
  </si>
  <si>
    <t>Implied Exchange Ratio</t>
  </si>
  <si>
    <t>P/E (2023 Earnings)</t>
  </si>
  <si>
    <t>Market Capitalization (millions)</t>
  </si>
  <si>
    <t>Price (paid) per Share</t>
  </si>
  <si>
    <t>Shares Outstanding (millions)</t>
  </si>
  <si>
    <t>Merger Analysis</t>
  </si>
  <si>
    <t>Combination Analysis</t>
  </si>
  <si>
    <t>Target Equity -- Book Value</t>
  </si>
  <si>
    <t>current Buyer debt/capital</t>
  </si>
  <si>
    <t xml:space="preserve">  Total Combined Equity</t>
  </si>
  <si>
    <t>new equity</t>
  </si>
  <si>
    <t>New Equity</t>
  </si>
  <si>
    <t>Buyer Equity</t>
  </si>
  <si>
    <t xml:space="preserve">  Total Combined Debt</t>
  </si>
  <si>
    <t>New Issued Debt</t>
  </si>
  <si>
    <t>Target Debt</t>
  </si>
  <si>
    <t>Buyer Debt</t>
  </si>
  <si>
    <t>Latest</t>
  </si>
  <si>
    <t>D/C Analysis</t>
  </si>
  <si>
    <t>$ in mm below</t>
  </si>
  <si>
    <t>Interest Rate (PRE-TAX) on new debt</t>
  </si>
  <si>
    <t xml:space="preserve">  Incremental Annual Interest Exps.</t>
  </si>
  <si>
    <t xml:space="preserve">  Face Amount of New Debt Issued</t>
  </si>
  <si>
    <t xml:space="preserve">  Number of New Shares Issued</t>
  </si>
  <si>
    <t xml:space="preserve">  Stock Exchange Ratio</t>
  </si>
  <si>
    <t xml:space="preserve">  Equity </t>
  </si>
  <si>
    <t xml:space="preserve">  Interest Rate on New Debt Issued</t>
  </si>
  <si>
    <t xml:space="preserve">  Percent of Balance Due with Equity</t>
  </si>
  <si>
    <t xml:space="preserve">  Percent of Bal Due with Existing Cash</t>
  </si>
  <si>
    <t xml:space="preserve">  Percent of Balance Due with Debt</t>
  </si>
  <si>
    <t xml:space="preserve">  Amount of Target/Buyer cash used (mm)</t>
  </si>
  <si>
    <t>Deal Financing (Sources of Funds):</t>
  </si>
  <si>
    <t>Annual Goodwill Amortization</t>
  </si>
  <si>
    <t>Amortization Period (in Years)</t>
  </si>
  <si>
    <t>Goodwill (A minus B)</t>
  </si>
  <si>
    <t>Annual Debt Discount/(Premium) Amort.</t>
  </si>
  <si>
    <t>Annual Increase in Depreciation</t>
  </si>
  <si>
    <t>Target Co: Assets-Liabilities (@ FMV)</t>
  </si>
  <si>
    <t xml:space="preserve">  Deferred Tax Liability</t>
  </si>
  <si>
    <t xml:space="preserve">  Other Non-Current Liabilities</t>
  </si>
  <si>
    <t xml:space="preserve">  Long Term Debt</t>
  </si>
  <si>
    <t xml:space="preserve">  PPE</t>
  </si>
  <si>
    <t xml:space="preserve">  Investments</t>
  </si>
  <si>
    <t xml:space="preserve">  Other Current Assets</t>
  </si>
  <si>
    <t>FMV Adjustments to Target Balance Sheet:</t>
  </si>
  <si>
    <t>Purchase Method Data:</t>
  </si>
  <si>
    <t>O&amp;M Cut from Target</t>
  </si>
  <si>
    <t>Implied Total Price (mm)</t>
  </si>
  <si>
    <t>Implied Price per Target Share</t>
  </si>
  <si>
    <t>Tax Rate for New Company</t>
  </si>
  <si>
    <t>Annual Revenue Synergies, if applicable</t>
  </si>
  <si>
    <t>Annual Pre-Tax Expense Reduction</t>
  </si>
  <si>
    <t>M&amp;A Fees</t>
  </si>
  <si>
    <t>Percent Premium to be Paid</t>
  </si>
  <si>
    <t>LTM Target Operating Expenses (mm)</t>
  </si>
  <si>
    <t>LTM Buyer Operating Expenses (mm)</t>
  </si>
  <si>
    <t>Acquisition Data:</t>
  </si>
  <si>
    <t>IBES EPS estimates:</t>
  </si>
  <si>
    <t>Expected Dividend Growth Rate</t>
  </si>
  <si>
    <t>Expected LT Earnings Growth Rate</t>
  </si>
  <si>
    <t>Dividends Per Share</t>
  </si>
  <si>
    <t>Current Market Cap (mm)</t>
  </si>
  <si>
    <t>Current Shares Outstanding (mm)</t>
  </si>
  <si>
    <t>Current Stock Price</t>
  </si>
  <si>
    <t>TARGET</t>
  </si>
  <si>
    <t>Target Symbol</t>
  </si>
  <si>
    <t>Target Data:</t>
  </si>
  <si>
    <t>Purchaser L-T EPS Growth Rate</t>
  </si>
  <si>
    <t>Purchaser IBES estimates:</t>
  </si>
  <si>
    <t>Purchaser's Shares Outstanding (mm)</t>
  </si>
  <si>
    <t>Purchaser's Stock Price</t>
  </si>
  <si>
    <t>BUYER</t>
  </si>
  <si>
    <t>Purchaser Symbol</t>
  </si>
  <si>
    <t>First Year Combined</t>
  </si>
  <si>
    <t>General Data</t>
  </si>
  <si>
    <t>(enter dollar amounts in millions)</t>
  </si>
  <si>
    <t>Input all data in YELLOW cells.</t>
  </si>
  <si>
    <t>NVDA</t>
  </si>
  <si>
    <t>Valuation Date</t>
  </si>
  <si>
    <t>5-Step DuPont ROE</t>
  </si>
  <si>
    <t>R&amp;D Margin</t>
  </si>
  <si>
    <t>R&amp;D Benefits</t>
  </si>
  <si>
    <t>Supply Chain Cost Cut</t>
  </si>
  <si>
    <t>Reduction Amount</t>
  </si>
  <si>
    <t>Cost Reduction</t>
  </si>
  <si>
    <t>Synergies Assumption</t>
  </si>
  <si>
    <t>WACC and Cost of Equity (From WACC tab)</t>
  </si>
  <si>
    <t>Terminal Growth</t>
  </si>
  <si>
    <t>Assumptions</t>
  </si>
  <si>
    <t>Weighting (Base Case)</t>
  </si>
  <si>
    <t>Weighting (Worst Case)</t>
  </si>
  <si>
    <t>Weighting (Best Case)</t>
  </si>
  <si>
    <t>Final Implied Share Price (Base)</t>
  </si>
  <si>
    <t>Final Implied Share Price (Worst)</t>
  </si>
  <si>
    <t>Final Implied Share Price (Best)</t>
  </si>
  <si>
    <t>Optimistic investors: These investors tend to focus on growth potential and may prioritize metrics that emphasize a company's future prospects. They might value Price/Revenue and EV/Revenue more, as these metrics are more focused on top-line growth, which could indicate a growing market share or potential for future expansion.
Average investors: These investors may have a more balanced perspective and look at a combination of metrics to assess a company's value. They might consider Price/EPS, EV/EBIT, and EV/EBITDA, as these metrics provide a mix of growth, profitability, and valuation efficiency. Price/Book could also be relevant, as it can give insights into a company's financial health compared to its market value.
Pessimistic investors: These investors are more conservative and may prioritize metrics that emphasize a company's financial health, stability, and relative value. They might value Price/Book and Price/EPS more, as these ratios can help assess a company's valuation relative to its assets and earnings. EV/EBIT and EV/EBITDA could also be relevant, as they provide insights into a company's operating profitability and ability to generate cash flow.
Ultimately, it's important for investors to consider multiple financial metrics and conduct thorough research to make informed decisions about a company's valuation.</t>
  </si>
  <si>
    <t>Sensitivity Analysis</t>
  </si>
  <si>
    <t>Interval for Sensitivity</t>
  </si>
  <si>
    <t>FCFF</t>
  </si>
  <si>
    <t>Value Per Share (Base Case)</t>
  </si>
  <si>
    <t>Value Per Share (Best Case)</t>
  </si>
  <si>
    <t>Value Per Share (Worst Case)</t>
  </si>
  <si>
    <t>Cost of Equity Calculated through +/- the Interval (Raw Numbers b/c data table does not support formulas in columns/rows)</t>
  </si>
  <si>
    <t>Terminal Growth Calculated through +/- the Intervals</t>
  </si>
  <si>
    <t>Cost of Capital Calculated through +/- the Interval (Raw Numbers b/c data table does not support formulas in columns/rows)</t>
  </si>
  <si>
    <t>Indicated Value Base Case</t>
  </si>
  <si>
    <t>Indicated Value Worst Case</t>
  </si>
  <si>
    <t>Indicated Value Best Case</t>
  </si>
  <si>
    <t>Baase</t>
  </si>
  <si>
    <t>Worst</t>
  </si>
  <si>
    <t>Best</t>
  </si>
  <si>
    <t>Price Base</t>
  </si>
  <si>
    <t>Price Best</t>
  </si>
  <si>
    <t>Price Worst</t>
  </si>
  <si>
    <t>Value Per Share (Base)</t>
  </si>
  <si>
    <t>Value Per Share (Best)</t>
  </si>
  <si>
    <t>Value Per Share (Worst)</t>
  </si>
  <si>
    <t>Without Synergies</t>
  </si>
  <si>
    <t>With Synergies</t>
  </si>
  <si>
    <t>(U.S. dollar amounts in millions)</t>
  </si>
  <si>
    <t>(in 1 U.S. Dollar or Percentages)</t>
  </si>
  <si>
    <t>NVDA Cost of Revenue</t>
  </si>
  <si>
    <t>Growth rates</t>
  </si>
  <si>
    <t>Growth Rates</t>
  </si>
  <si>
    <t>Date</t>
  </si>
  <si>
    <t>ASML Cost of Revenue</t>
  </si>
  <si>
    <t>NVDA R&amp;D Costs</t>
  </si>
  <si>
    <t>ASML R&amp;D Costs</t>
  </si>
  <si>
    <t>Terminal Amount/Growth Rates</t>
  </si>
  <si>
    <t>R&amp;D Expense Reduction Percentages</t>
  </si>
  <si>
    <t>Order Costs Reduction Percentages</t>
  </si>
  <si>
    <t>T-Bill</t>
  </si>
  <si>
    <t>Market Stock Prices</t>
  </si>
  <si>
    <t>Value</t>
  </si>
  <si>
    <t>Values</t>
  </si>
  <si>
    <t>A</t>
  </si>
  <si>
    <t>BB+</t>
  </si>
  <si>
    <t>Cash</t>
  </si>
  <si>
    <t>ST Investments</t>
  </si>
  <si>
    <t>Total Liquid Assets</t>
  </si>
  <si>
    <t>Lowest Possible Price</t>
  </si>
  <si>
    <t>NVDA DATA</t>
  </si>
  <si>
    <t>No constant dividend</t>
  </si>
  <si>
    <t>oversimiplisitc</t>
  </si>
  <si>
    <t>CURRENT</t>
  </si>
  <si>
    <t>ZERO PREMIUM</t>
  </si>
  <si>
    <t>BREAKEVEN</t>
  </si>
  <si>
    <t>BASE SYNERGY</t>
  </si>
  <si>
    <t>WORST SYNERGY</t>
  </si>
  <si>
    <t>BEST SYNERGY</t>
  </si>
  <si>
    <t>Currency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</si>
</sst>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2">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0;\(#0\);&quot;—&quot;;_(@_)"/>
    <numFmt numFmtId="165" formatCode="* #,##0.0;* \(#,##0.0\);* &quot;—&quot;;_(@_)"/>
    <numFmt numFmtId="166" formatCode="* #,##0.00;* \(#,##0.00\);* &quot;—&quot;;_(@_)"/>
    <numFmt numFmtId="167" formatCode="#0;&quot;-&quot;#0;#0;_(@_)"/>
    <numFmt numFmtId="168" formatCode="_(* #,##0.0_);_(* \(#,##0.0\);_(* &quot;-&quot;??_);_(@_)"/>
    <numFmt numFmtId="169" formatCode="0.0%"/>
    <numFmt numFmtId="170" formatCode="_(* #,##0.0_);_(* \(#,##0.0\);_(* &quot;-&quot;?_);_(@_)"/>
    <numFmt numFmtId="171" formatCode="0.0"/>
    <numFmt numFmtId="172" formatCode="0.000"/>
    <numFmt numFmtId="173" formatCode="mmm\-dd\-yyyy"/>
    <numFmt numFmtId="174" formatCode="_(\ #,##0.0#_);_(\(\ #,##0.0#\)_);_(\ &quot; - &quot;_)"/>
    <numFmt numFmtId="175" formatCode="_(\ #,##0.0_);_(\ \(#,##0.0\)_);_(\ &quot; - &quot;_)"/>
    <numFmt numFmtId="176" formatCode="_(\ #,##0_);_(\(\ #,##0\)_);_(\ &quot; - &quot;_)"/>
    <numFmt numFmtId="177" formatCode="0.000%"/>
    <numFmt numFmtId="178" formatCode="_(* #,##0_);_(* \(#,##0\);_(* &quot;-&quot;??_);_(@_)"/>
    <numFmt numFmtId="179" formatCode="_(\ #,##0.00_);_(\(\ #,##0.00\)_);_(\ &quot; - &quot;_)"/>
    <numFmt numFmtId="180" formatCode="_(&quot;$&quot;* #,##0_);_(&quot;$&quot;* \(#,##0\);_(&quot;$&quot;* &quot;-&quot;??_);_(@_)"/>
    <numFmt numFmtId="181" formatCode="0.0000"/>
    <numFmt numFmtId="182" formatCode="0.0E+00"/>
    <numFmt numFmtId="183" formatCode="&quot;$&quot;#,##0.00"/>
    <numFmt numFmtId="184" formatCode="_(* #,##0.0000_);_(* \(#,##0.0000\);_(* &quot;-&quot;??_);_(@_)"/>
    <numFmt numFmtId="185" formatCode="&quot;$&quot;#,##0.0000_);\(&quot;$&quot;#,##0.0000\)"/>
    <numFmt numFmtId="186" formatCode="&quot;$&quot;#,##0.0"/>
    <numFmt numFmtId="187" formatCode="mmmm\ d\,\ yyyy"/>
    <numFmt numFmtId="188" formatCode="&quot;$&quot;#,##0.000"/>
    <numFmt numFmtId="189" formatCode="#,###.0"/>
    <numFmt numFmtId="190" formatCode="&quot;$&quot;#,##0"/>
  </numFmts>
  <fonts count="90" x14ac:knownFonts="1">
    <font>
      <sz val="12"/>
      <color theme="1"/>
      <name val="Calibri"/>
      <family val="2"/>
      <scheme val="minor"/>
    </font>
    <font>
      <sz val="12"/>
      <color theme="1"/>
      <name val="Calibri"/>
      <family val="2"/>
      <scheme val="minor"/>
    </font>
    <font>
      <sz val="10"/>
      <name val="Arial"/>
      <family val="2"/>
    </font>
    <font>
      <sz val="10"/>
      <color rgb="FF000000"/>
      <name val="Times New Roman"/>
      <family val="1"/>
    </font>
    <font>
      <u/>
      <sz val="12"/>
      <color theme="10"/>
      <name val="Calibri"/>
      <family val="2"/>
      <scheme val="minor"/>
    </font>
    <font>
      <sz val="1"/>
      <color indexed="9"/>
      <name val="Symbol"/>
      <family val="1"/>
      <charset val="2"/>
    </font>
    <font>
      <sz val="8"/>
      <name val="Calibri"/>
      <family val="2"/>
      <scheme val="minor"/>
    </font>
    <font>
      <b/>
      <u/>
      <sz val="20"/>
      <color theme="1"/>
      <name val="Times New Roman"/>
      <family val="1"/>
    </font>
    <font>
      <u/>
      <sz val="20"/>
      <color theme="1"/>
      <name val="Times New Roman"/>
      <family val="1"/>
    </font>
    <font>
      <sz val="12"/>
      <color theme="1"/>
      <name val="Times New Roman"/>
      <family val="1"/>
    </font>
    <font>
      <b/>
      <sz val="20"/>
      <color theme="1"/>
      <name val="Times New Roman"/>
      <family val="1"/>
    </font>
    <font>
      <sz val="20"/>
      <color theme="1"/>
      <name val="Times New Roman"/>
      <family val="1"/>
    </font>
    <font>
      <sz val="16"/>
      <color theme="1"/>
      <name val="Times New Roman"/>
      <family val="1"/>
    </font>
    <font>
      <b/>
      <i/>
      <u/>
      <sz val="12"/>
      <color theme="1"/>
      <name val="Times New Roman"/>
      <family val="1"/>
    </font>
    <font>
      <u/>
      <sz val="12"/>
      <color theme="10"/>
      <name val="Times New Roman"/>
      <family val="1"/>
    </font>
    <font>
      <sz val="9"/>
      <name val="Calibri"/>
      <family val="3"/>
      <charset val="134"/>
      <scheme val="minor"/>
    </font>
    <font>
      <sz val="11"/>
      <color theme="1"/>
      <name val="Times New Roman"/>
      <family val="1"/>
    </font>
    <font>
      <b/>
      <sz val="12"/>
      <color theme="1"/>
      <name val="Times New Roman"/>
      <family val="1"/>
    </font>
    <font>
      <b/>
      <sz val="12"/>
      <color rgb="FF000000"/>
      <name val="Times New Roman"/>
      <family val="1"/>
    </font>
    <font>
      <sz val="12"/>
      <name val="Times New Roman"/>
      <family val="1"/>
    </font>
    <font>
      <sz val="12"/>
      <color rgb="FF000000"/>
      <name val="Times New Roman"/>
      <family val="1"/>
    </font>
    <font>
      <b/>
      <sz val="12"/>
      <name val="Times New Roman"/>
      <family val="1"/>
    </font>
    <font>
      <sz val="11"/>
      <name val="Times New Roman"/>
      <family val="1"/>
    </font>
    <font>
      <b/>
      <sz val="11"/>
      <name val="Times New Roman"/>
      <family val="1"/>
    </font>
    <font>
      <b/>
      <sz val="12"/>
      <color rgb="FF0066CC"/>
      <name val="Times New Roman"/>
      <family val="1"/>
    </font>
    <font>
      <i/>
      <sz val="12"/>
      <color rgb="FF000000"/>
      <name val="Times New Roman"/>
      <family val="1"/>
    </font>
    <font>
      <sz val="11"/>
      <color indexed="8"/>
      <name val="Times New Roman"/>
      <family val="1"/>
    </font>
    <font>
      <b/>
      <sz val="11"/>
      <color indexed="9"/>
      <name val="Times New Roman"/>
      <family val="1"/>
    </font>
    <font>
      <sz val="11"/>
      <color indexed="9"/>
      <name val="Times New Roman"/>
      <family val="1"/>
    </font>
    <font>
      <b/>
      <sz val="11"/>
      <color indexed="8"/>
      <name val="Times New Roman"/>
      <family val="1"/>
    </font>
    <font>
      <sz val="10"/>
      <color theme="1"/>
      <name val="Times New Roman"/>
      <family val="1"/>
    </font>
    <font>
      <u/>
      <sz val="10"/>
      <color theme="10"/>
      <name val="Times New Roman"/>
      <family val="1"/>
    </font>
    <font>
      <b/>
      <u/>
      <sz val="12"/>
      <color rgb="FF000000"/>
      <name val="Times New Roman"/>
      <family val="1"/>
    </font>
    <font>
      <u/>
      <sz val="12"/>
      <color rgb="FF000000"/>
      <name val="Times New Roman"/>
      <family val="1"/>
    </font>
    <font>
      <u/>
      <sz val="12"/>
      <name val="Times New Roman"/>
      <family val="1"/>
    </font>
    <font>
      <sz val="11"/>
      <color rgb="FF000000"/>
      <name val="Times New Roman"/>
      <family val="1"/>
    </font>
    <font>
      <b/>
      <sz val="13"/>
      <color theme="1"/>
      <name val="Times New Roman"/>
      <family val="1"/>
    </font>
    <font>
      <u/>
      <sz val="11"/>
      <name val="Times New Roman"/>
      <family val="1"/>
    </font>
    <font>
      <b/>
      <u/>
      <sz val="11"/>
      <name val="Times New Roman"/>
      <family val="1"/>
    </font>
    <font>
      <sz val="13"/>
      <name val="Times New Roman"/>
      <family val="1"/>
    </font>
    <font>
      <b/>
      <sz val="13"/>
      <color indexed="9"/>
      <name val="Times New Roman"/>
      <family val="1"/>
    </font>
    <font>
      <sz val="13"/>
      <color indexed="9"/>
      <name val="Times New Roman"/>
      <family val="1"/>
    </font>
    <font>
      <b/>
      <u val="singleAccounting"/>
      <sz val="13"/>
      <color indexed="8"/>
      <name val="Times New Roman"/>
      <family val="1"/>
    </font>
    <font>
      <b/>
      <u/>
      <sz val="13"/>
      <color indexed="8"/>
      <name val="Times New Roman"/>
      <family val="1"/>
    </font>
    <font>
      <b/>
      <u/>
      <sz val="13"/>
      <name val="Times New Roman"/>
      <family val="1"/>
    </font>
    <font>
      <sz val="13"/>
      <color indexed="8"/>
      <name val="Times New Roman"/>
      <family val="1"/>
    </font>
    <font>
      <b/>
      <sz val="13"/>
      <name val="Times New Roman"/>
      <family val="1"/>
    </font>
    <font>
      <b/>
      <sz val="11"/>
      <color theme="1"/>
      <name val="Times New Roman"/>
      <family val="1"/>
    </font>
    <font>
      <sz val="9"/>
      <color rgb="FF000000"/>
      <name val="Times New Roman"/>
      <family val="1"/>
    </font>
    <font>
      <b/>
      <i/>
      <sz val="10"/>
      <name val="Arial"/>
      <family val="2"/>
    </font>
    <font>
      <sz val="10"/>
      <color theme="5" tint="0.79998168889431442"/>
      <name val="Arial"/>
      <family val="2"/>
    </font>
    <font>
      <sz val="10"/>
      <color rgb="FFFF0000"/>
      <name val="Arial"/>
      <family val="2"/>
    </font>
    <font>
      <b/>
      <sz val="24"/>
      <name val="Arial"/>
      <family val="2"/>
    </font>
    <font>
      <b/>
      <sz val="10"/>
      <name val="Arial"/>
      <family val="2"/>
    </font>
    <font>
      <u/>
      <sz val="10"/>
      <name val="Arial"/>
      <family val="2"/>
    </font>
    <font>
      <sz val="10"/>
      <color theme="1"/>
      <name val="Arial"/>
      <family val="2"/>
    </font>
    <font>
      <u val="singleAccounting"/>
      <sz val="10"/>
      <name val="Arial"/>
      <family val="2"/>
    </font>
    <font>
      <sz val="10"/>
      <color theme="0"/>
      <name val="Arial"/>
      <family val="2"/>
    </font>
    <font>
      <b/>
      <sz val="10"/>
      <color rgb="FFFF0000"/>
      <name val="Arial"/>
      <family val="2"/>
    </font>
    <font>
      <b/>
      <u/>
      <sz val="10"/>
      <name val="Arial"/>
      <family val="2"/>
    </font>
    <font>
      <i/>
      <sz val="10"/>
      <name val="Arial"/>
      <family val="2"/>
    </font>
    <font>
      <b/>
      <u/>
      <sz val="8"/>
      <name val="Arial"/>
      <family val="2"/>
    </font>
    <font>
      <b/>
      <u/>
      <sz val="10"/>
      <color indexed="10"/>
      <name val="Arial"/>
      <family val="2"/>
    </font>
    <font>
      <b/>
      <sz val="8"/>
      <name val="Arial"/>
      <family val="2"/>
    </font>
    <font>
      <b/>
      <sz val="14"/>
      <name val="Arial"/>
      <family val="2"/>
    </font>
    <font>
      <sz val="8"/>
      <color indexed="8"/>
      <name val="Tahoma"/>
      <family val="2"/>
    </font>
    <font>
      <sz val="8"/>
      <color indexed="81"/>
      <name val="Tahoma"/>
      <family val="2"/>
    </font>
    <font>
      <sz val="8"/>
      <color rgb="FF000000"/>
      <name val="Tahoma"/>
      <family val="2"/>
    </font>
    <font>
      <b/>
      <sz val="14"/>
      <name val="Times New Roman"/>
      <family val="1"/>
    </font>
    <font>
      <sz val="10"/>
      <name val="Times New Roman"/>
      <family val="1"/>
    </font>
    <font>
      <b/>
      <u/>
      <sz val="10"/>
      <color indexed="10"/>
      <name val="Times New Roman"/>
      <family val="1"/>
    </font>
    <font>
      <b/>
      <u val="double"/>
      <sz val="12"/>
      <color indexed="12"/>
      <name val="Times New Roman"/>
      <family val="1"/>
    </font>
    <font>
      <b/>
      <sz val="10"/>
      <color indexed="12"/>
      <name val="Times New Roman"/>
      <family val="1"/>
    </font>
    <font>
      <b/>
      <u/>
      <sz val="14"/>
      <color indexed="12"/>
      <name val="Times New Roman"/>
      <family val="1"/>
    </font>
    <font>
      <i/>
      <sz val="10"/>
      <name val="Times New Roman"/>
      <family val="1"/>
    </font>
    <font>
      <b/>
      <u/>
      <sz val="10"/>
      <name val="Times New Roman"/>
      <family val="1"/>
    </font>
    <font>
      <b/>
      <u/>
      <sz val="10"/>
      <color indexed="12"/>
      <name val="Times New Roman"/>
      <family val="1"/>
    </font>
    <font>
      <b/>
      <u/>
      <sz val="10"/>
      <color indexed="32"/>
      <name val="Times New Roman"/>
      <family val="1"/>
    </font>
    <font>
      <b/>
      <u/>
      <sz val="10"/>
      <color indexed="18"/>
      <name val="Times New Roman"/>
      <family val="1"/>
    </font>
    <font>
      <u/>
      <sz val="10"/>
      <name val="Times New Roman"/>
      <family val="1"/>
    </font>
    <font>
      <i/>
      <u/>
      <sz val="10"/>
      <name val="Times New Roman"/>
      <family val="1"/>
    </font>
    <font>
      <i/>
      <sz val="10"/>
      <color indexed="10"/>
      <name val="Times New Roman"/>
      <family val="1"/>
    </font>
    <font>
      <b/>
      <i/>
      <sz val="10"/>
      <color indexed="10"/>
      <name val="Times New Roman"/>
      <family val="1"/>
    </font>
    <font>
      <b/>
      <u val="double"/>
      <sz val="10"/>
      <name val="Times New Roman"/>
      <family val="1"/>
    </font>
    <font>
      <b/>
      <sz val="8"/>
      <name val="Times New Roman"/>
      <family val="1"/>
    </font>
    <font>
      <b/>
      <u/>
      <sz val="8"/>
      <name val="Times New Roman"/>
      <family val="1"/>
    </font>
    <font>
      <b/>
      <i/>
      <sz val="10"/>
      <name val="Times New Roman"/>
      <family val="1"/>
    </font>
    <font>
      <b/>
      <sz val="14"/>
      <color indexed="12"/>
      <name val="Times New Roman"/>
      <family val="1"/>
    </font>
    <font>
      <sz val="10"/>
      <color rgb="FF000000"/>
      <name val="Tahoma"/>
      <family val="2"/>
    </font>
    <font>
      <b/>
      <sz val="10"/>
      <color rgb="FF000000"/>
      <name val="Tahoma"/>
      <family val="2"/>
    </font>
  </fonts>
  <fills count="14">
    <fill>
      <patternFill patternType="none"/>
    </fill>
    <fill>
      <patternFill patternType="gray125"/>
    </fill>
    <fill>
      <patternFill patternType="solid">
        <fgColor theme="0"/>
        <bgColor indexed="64"/>
      </patternFill>
    </fill>
    <fill>
      <patternFill patternType="solid">
        <fgColor theme="6" tint="0.79998168889431442"/>
        <bgColor indexed="64"/>
      </patternFill>
    </fill>
    <fill>
      <patternFill patternType="solid">
        <fgColor theme="0"/>
        <bgColor rgb="FF000000"/>
      </patternFill>
    </fill>
    <fill>
      <patternFill patternType="solid">
        <fgColor theme="5" tint="0.59999389629810485"/>
        <bgColor indexed="64"/>
      </patternFill>
    </fill>
    <fill>
      <patternFill patternType="solid">
        <fgColor theme="1" tint="0.34998626667073579"/>
        <bgColor indexed="64"/>
      </patternFill>
    </fill>
    <fill>
      <patternFill patternType="solid">
        <fgColor theme="6" tint="-0.249977111117893"/>
        <bgColor indexed="64"/>
      </patternFill>
    </fill>
    <fill>
      <patternFill patternType="solid">
        <fgColor rgb="FFFFFF00"/>
        <bgColor indexed="64"/>
      </patternFill>
    </fill>
    <fill>
      <patternFill patternType="solid">
        <fgColor indexed="13"/>
        <bgColor indexed="64"/>
      </patternFill>
    </fill>
    <fill>
      <patternFill patternType="solid">
        <fgColor indexed="22"/>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rgb="FFFFFFFF"/>
        <bgColor rgb="FF000000"/>
      </patternFill>
    </fill>
  </fills>
  <borders count="47">
    <border>
      <left/>
      <right/>
      <top/>
      <bottom/>
      <diagonal/>
    </border>
    <border>
      <left/>
      <right/>
      <top/>
      <bottom style="thin">
        <color rgb="FF000000"/>
      </bottom>
      <diagonal/>
    </border>
    <border>
      <left/>
      <right/>
      <top style="thin">
        <color rgb="FF000000"/>
      </top>
      <bottom/>
      <diagonal/>
    </border>
    <border>
      <left/>
      <right/>
      <top style="thin">
        <color auto="1"/>
      </top>
      <bottom/>
      <diagonal/>
    </border>
    <border>
      <left/>
      <right/>
      <top/>
      <bottom style="double">
        <color indexed="64"/>
      </bottom>
      <diagonal/>
    </border>
    <border>
      <left/>
      <right/>
      <top style="thin">
        <color rgb="FF000000"/>
      </top>
      <bottom style="double">
        <color indexed="64"/>
      </bottom>
      <diagonal/>
    </border>
    <border>
      <left/>
      <right/>
      <top/>
      <bottom style="thin">
        <color indexed="64"/>
      </bottom>
      <diagonal/>
    </border>
    <border>
      <left/>
      <right/>
      <top style="thin">
        <color auto="1"/>
      </top>
      <bottom style="thin">
        <color indexed="64"/>
      </bottom>
      <diagonal/>
    </border>
    <border>
      <left/>
      <right/>
      <top style="double">
        <color indexed="64"/>
      </top>
      <bottom style="thin">
        <color indexed="64"/>
      </bottom>
      <diagonal/>
    </border>
    <border>
      <left/>
      <right/>
      <top style="thin">
        <color indexed="64"/>
      </top>
      <bottom style="double">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ck">
        <color indexed="10"/>
      </top>
      <bottom/>
      <diagonal/>
    </border>
    <border>
      <left/>
      <right style="medium">
        <color indexed="12"/>
      </right>
      <top/>
      <bottom style="medium">
        <color indexed="12"/>
      </bottom>
      <diagonal/>
    </border>
    <border>
      <left/>
      <right/>
      <top/>
      <bottom style="medium">
        <color indexed="12"/>
      </bottom>
      <diagonal/>
    </border>
    <border>
      <left style="medium">
        <color indexed="12"/>
      </left>
      <right/>
      <top/>
      <bottom style="medium">
        <color indexed="12"/>
      </bottom>
      <diagonal/>
    </border>
    <border>
      <left/>
      <right style="medium">
        <color indexed="12"/>
      </right>
      <top/>
      <bottom/>
      <diagonal/>
    </border>
    <border>
      <left style="medium">
        <color indexed="12"/>
      </left>
      <right/>
      <top/>
      <bottom/>
      <diagonal/>
    </border>
    <border>
      <left style="medium">
        <color indexed="64"/>
      </left>
      <right/>
      <top/>
      <bottom/>
      <diagonal/>
    </border>
    <border>
      <left/>
      <right style="thick">
        <color indexed="12"/>
      </right>
      <top/>
      <bottom/>
      <diagonal/>
    </border>
    <border>
      <left/>
      <right/>
      <top style="hair">
        <color indexed="64"/>
      </top>
      <bottom style="hair">
        <color indexed="64"/>
      </bottom>
      <diagonal/>
    </border>
    <border>
      <left/>
      <right style="thick">
        <color indexed="12"/>
      </right>
      <top style="hair">
        <color indexed="64"/>
      </top>
      <bottom style="hair">
        <color indexed="64"/>
      </bottom>
      <diagonal/>
    </border>
    <border>
      <left/>
      <right/>
      <top/>
      <bottom style="hair">
        <color indexed="64"/>
      </bottom>
      <diagonal/>
    </border>
    <border>
      <left/>
      <right style="thick">
        <color indexed="12"/>
      </right>
      <top/>
      <bottom style="hair">
        <color indexed="64"/>
      </bottom>
      <diagonal/>
    </border>
    <border>
      <left style="thick">
        <color indexed="12"/>
      </left>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medium">
        <color rgb="FFCCCCCC"/>
      </left>
      <right style="medium">
        <color rgb="FFCCCCCC"/>
      </right>
      <top style="medium">
        <color rgb="FFCCCCCC"/>
      </top>
      <bottom style="medium">
        <color rgb="FFCCCCCC"/>
      </bottom>
      <diagonal/>
    </border>
    <border>
      <left style="medium">
        <color indexed="64"/>
      </left>
      <right/>
      <top style="medium">
        <color indexed="64"/>
      </top>
      <bottom style="medium">
        <color indexed="64"/>
      </bottom>
      <diagonal/>
    </border>
  </borders>
  <cellStyleXfs count="10">
    <xf numFmtId="0" fontId="0" fillId="0" borderId="0"/>
    <xf numFmtId="43" fontId="1" fillId="0" borderId="0" applyFont="0" applyFill="0" applyBorder="0" applyAlignment="0" applyProtection="0"/>
    <xf numFmtId="0" fontId="2" fillId="0" borderId="0"/>
    <xf numFmtId="0" fontId="3" fillId="0" borderId="0" applyBorder="0">
      <alignment wrapText="1"/>
    </xf>
    <xf numFmtId="9" fontId="1" fillId="0" borderId="0" applyFont="0" applyFill="0" applyBorder="0" applyAlignment="0" applyProtection="0"/>
    <xf numFmtId="0" fontId="4" fillId="0" borderId="0" applyNumberFormat="0" applyFill="0" applyBorder="0" applyAlignment="0" applyProtection="0"/>
    <xf numFmtId="0" fontId="5" fillId="0" borderId="0" applyAlignment="0"/>
    <xf numFmtId="43"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cellStyleXfs>
  <cellXfs count="598">
    <xf numFmtId="0" fontId="0" fillId="0" borderId="0" xfId="0"/>
    <xf numFmtId="0" fontId="7" fillId="2" borderId="0" xfId="0" applyFont="1" applyFill="1"/>
    <xf numFmtId="0" fontId="8" fillId="2" borderId="0" xfId="0" applyFont="1" applyFill="1"/>
    <xf numFmtId="0" fontId="9" fillId="2" borderId="0" xfId="0" applyFont="1" applyFill="1"/>
    <xf numFmtId="0" fontId="10" fillId="2" borderId="0" xfId="0" applyFont="1" applyFill="1"/>
    <xf numFmtId="0" fontId="11" fillId="2" borderId="0" xfId="0" applyFont="1" applyFill="1"/>
    <xf numFmtId="14" fontId="12" fillId="2" borderId="0" xfId="0" applyNumberFormat="1" applyFont="1" applyFill="1" applyAlignment="1">
      <alignment horizontal="left"/>
    </xf>
    <xf numFmtId="0" fontId="12" fillId="2" borderId="0" xfId="0" applyFont="1" applyFill="1"/>
    <xf numFmtId="0" fontId="13" fillId="2" borderId="0" xfId="0" applyFont="1" applyFill="1"/>
    <xf numFmtId="0" fontId="14" fillId="2" borderId="0" xfId="5" applyFont="1" applyFill="1"/>
    <xf numFmtId="172" fontId="9" fillId="2" borderId="0" xfId="0" applyNumberFormat="1" applyFont="1" applyFill="1"/>
    <xf numFmtId="2" fontId="9" fillId="2" borderId="0" xfId="0" applyNumberFormat="1" applyFont="1" applyFill="1"/>
    <xf numFmtId="43" fontId="9" fillId="2" borderId="0" xfId="0" applyNumberFormat="1" applyFont="1" applyFill="1"/>
    <xf numFmtId="0" fontId="17" fillId="2" borderId="0" xfId="0" applyFont="1" applyFill="1"/>
    <xf numFmtId="0" fontId="9" fillId="2" borderId="6" xfId="0" applyFont="1" applyFill="1" applyBorder="1"/>
    <xf numFmtId="0" fontId="17" fillId="2" borderId="6" xfId="0" applyFont="1" applyFill="1" applyBorder="1"/>
    <xf numFmtId="0" fontId="19" fillId="2" borderId="0" xfId="2" applyFont="1" applyFill="1"/>
    <xf numFmtId="0" fontId="20" fillId="2" borderId="0" xfId="2" applyFont="1" applyFill="1" applyAlignment="1">
      <alignment horizontal="left" wrapText="1"/>
    </xf>
    <xf numFmtId="0" fontId="20" fillId="2" borderId="6" xfId="2" applyFont="1" applyFill="1" applyBorder="1" applyAlignment="1">
      <alignment horizontal="left" wrapText="1"/>
    </xf>
    <xf numFmtId="164" fontId="18" fillId="2" borderId="6" xfId="2" applyNumberFormat="1" applyFont="1" applyFill="1" applyBorder="1" applyAlignment="1">
      <alignment horizontal="right" wrapText="1"/>
    </xf>
    <xf numFmtId="0" fontId="18" fillId="0" borderId="0" xfId="2" applyFont="1" applyAlignment="1">
      <alignment horizontal="left" wrapText="1"/>
    </xf>
    <xf numFmtId="165" fontId="20" fillId="2" borderId="0" xfId="2" applyNumberFormat="1" applyFont="1" applyFill="1" applyAlignment="1">
      <alignment wrapText="1"/>
    </xf>
    <xf numFmtId="0" fontId="18" fillId="2" borderId="0" xfId="2" applyFont="1" applyFill="1" applyAlignment="1">
      <alignment horizontal="left" wrapText="1"/>
    </xf>
    <xf numFmtId="0" fontId="20" fillId="2" borderId="0" xfId="2" applyFont="1" applyFill="1" applyAlignment="1">
      <alignment wrapText="1"/>
    </xf>
    <xf numFmtId="165" fontId="18" fillId="2" borderId="0" xfId="2" applyNumberFormat="1" applyFont="1" applyFill="1" applyAlignment="1">
      <alignment wrapText="1"/>
    </xf>
    <xf numFmtId="0" fontId="21" fillId="2" borderId="0" xfId="2" applyFont="1" applyFill="1"/>
    <xf numFmtId="166" fontId="20" fillId="2" borderId="0" xfId="2" applyNumberFormat="1" applyFont="1" applyFill="1" applyAlignment="1">
      <alignment wrapText="1"/>
    </xf>
    <xf numFmtId="165" fontId="20" fillId="2" borderId="6" xfId="2" applyNumberFormat="1" applyFont="1" applyFill="1" applyBorder="1" applyAlignment="1">
      <alignment wrapText="1"/>
    </xf>
    <xf numFmtId="0" fontId="19" fillId="2" borderId="3" xfId="2" applyFont="1" applyFill="1" applyBorder="1"/>
    <xf numFmtId="0" fontId="20" fillId="2" borderId="2" xfId="2" applyFont="1" applyFill="1" applyBorder="1" applyAlignment="1">
      <alignment horizontal="left" wrapText="1"/>
    </xf>
    <xf numFmtId="165" fontId="20" fillId="2" borderId="2" xfId="2" applyNumberFormat="1" applyFont="1" applyFill="1" applyBorder="1" applyAlignment="1">
      <alignment wrapText="1"/>
    </xf>
    <xf numFmtId="43" fontId="19" fillId="2" borderId="0" xfId="2" applyNumberFormat="1" applyFont="1" applyFill="1"/>
    <xf numFmtId="165" fontId="20" fillId="2" borderId="1" xfId="2" applyNumberFormat="1" applyFont="1" applyFill="1" applyBorder="1" applyAlignment="1">
      <alignment wrapText="1"/>
    </xf>
    <xf numFmtId="0" fontId="20" fillId="2" borderId="2" xfId="2" applyFont="1" applyFill="1" applyBorder="1" applyAlignment="1">
      <alignment wrapText="1"/>
    </xf>
    <xf numFmtId="165" fontId="18" fillId="2" borderId="4" xfId="2" applyNumberFormat="1" applyFont="1" applyFill="1" applyBorder="1" applyAlignment="1">
      <alignment wrapText="1"/>
    </xf>
    <xf numFmtId="164" fontId="18" fillId="2" borderId="0" xfId="2" applyNumberFormat="1" applyFont="1" applyFill="1" applyAlignment="1">
      <alignment horizontal="right" wrapText="1"/>
    </xf>
    <xf numFmtId="2" fontId="19" fillId="2" borderId="0" xfId="2" applyNumberFormat="1" applyFont="1" applyFill="1"/>
    <xf numFmtId="166" fontId="19" fillId="2" borderId="0" xfId="2" applyNumberFormat="1" applyFont="1" applyFill="1"/>
    <xf numFmtId="0" fontId="20" fillId="2" borderId="0" xfId="0" applyFont="1" applyFill="1"/>
    <xf numFmtId="0" fontId="18" fillId="2" borderId="3" xfId="0" applyFont="1" applyFill="1" applyBorder="1"/>
    <xf numFmtId="43" fontId="20" fillId="2" borderId="0" xfId="0" applyNumberFormat="1" applyFont="1" applyFill="1"/>
    <xf numFmtId="0" fontId="18" fillId="2" borderId="4" xfId="0" applyFont="1" applyFill="1" applyBorder="1"/>
    <xf numFmtId="43" fontId="18" fillId="2" borderId="4" xfId="0" applyNumberFormat="1" applyFont="1" applyFill="1" applyBorder="1"/>
    <xf numFmtId="0" fontId="20" fillId="2" borderId="8" xfId="0" applyFont="1" applyFill="1" applyBorder="1"/>
    <xf numFmtId="2" fontId="20" fillId="2" borderId="0" xfId="0" applyNumberFormat="1" applyFont="1" applyFill="1"/>
    <xf numFmtId="2" fontId="18" fillId="2" borderId="4" xfId="0" applyNumberFormat="1" applyFont="1" applyFill="1" applyBorder="1"/>
    <xf numFmtId="0" fontId="20" fillId="2" borderId="6" xfId="0" applyFont="1" applyFill="1" applyBorder="1"/>
    <xf numFmtId="9" fontId="20" fillId="2" borderId="0" xfId="0" applyNumberFormat="1" applyFont="1" applyFill="1"/>
    <xf numFmtId="0" fontId="18" fillId="2" borderId="0" xfId="0" applyFont="1" applyFill="1"/>
    <xf numFmtId="0" fontId="20" fillId="2" borderId="7" xfId="0" applyFont="1" applyFill="1" applyBorder="1"/>
    <xf numFmtId="10" fontId="20" fillId="2" borderId="0" xfId="0" applyNumberFormat="1" applyFont="1" applyFill="1"/>
    <xf numFmtId="0" fontId="22" fillId="2" borderId="0" xfId="2" applyFont="1" applyFill="1"/>
    <xf numFmtId="0" fontId="16" fillId="2" borderId="0" xfId="0" applyFont="1" applyFill="1"/>
    <xf numFmtId="0" fontId="23" fillId="2" borderId="0" xfId="2" applyFont="1" applyFill="1"/>
    <xf numFmtId="0" fontId="9" fillId="2" borderId="0" xfId="0" applyFont="1" applyFill="1" applyAlignment="1">
      <alignment wrapText="1"/>
    </xf>
    <xf numFmtId="0" fontId="20" fillId="2" borderId="0" xfId="0" applyFont="1" applyFill="1" applyAlignment="1">
      <alignment horizontal="left"/>
    </xf>
    <xf numFmtId="0" fontId="20" fillId="2" borderId="0" xfId="3" applyFont="1" applyFill="1">
      <alignment wrapText="1"/>
    </xf>
    <xf numFmtId="0" fontId="24" fillId="2" borderId="2" xfId="2" applyFont="1" applyFill="1" applyBorder="1" applyAlignment="1">
      <alignment horizontal="right" wrapText="1"/>
    </xf>
    <xf numFmtId="0" fontId="24" fillId="2" borderId="3" xfId="0" applyFont="1" applyFill="1" applyBorder="1" applyAlignment="1">
      <alignment horizontal="right" wrapText="1"/>
    </xf>
    <xf numFmtId="0" fontId="20" fillId="2" borderId="0" xfId="0" applyFont="1" applyFill="1" applyAlignment="1">
      <alignment wrapText="1"/>
    </xf>
    <xf numFmtId="0" fontId="24" fillId="2" borderId="2" xfId="0" applyFont="1" applyFill="1" applyBorder="1" applyAlignment="1">
      <alignment horizontal="right" wrapText="1"/>
    </xf>
    <xf numFmtId="0" fontId="18" fillId="2" borderId="1" xfId="2" applyFont="1" applyFill="1" applyBorder="1" applyAlignment="1">
      <alignment horizontal="left" wrapText="1"/>
    </xf>
    <xf numFmtId="167" fontId="18" fillId="2" borderId="1" xfId="2" applyNumberFormat="1" applyFont="1" applyFill="1" applyBorder="1" applyAlignment="1">
      <alignment horizontal="right" wrapText="1"/>
    </xf>
    <xf numFmtId="170" fontId="19" fillId="2" borderId="0" xfId="2" applyNumberFormat="1" applyFont="1" applyFill="1"/>
    <xf numFmtId="0" fontId="20" fillId="2" borderId="1" xfId="2" applyFont="1" applyFill="1" applyBorder="1" applyAlignment="1">
      <alignment horizontal="left" wrapText="1"/>
    </xf>
    <xf numFmtId="0" fontId="18" fillId="2" borderId="2" xfId="2" applyFont="1" applyFill="1" applyBorder="1" applyAlignment="1">
      <alignment horizontal="left" wrapText="1"/>
    </xf>
    <xf numFmtId="0" fontId="18" fillId="2" borderId="4" xfId="2" applyFont="1" applyFill="1" applyBorder="1" applyAlignment="1">
      <alignment horizontal="left" wrapText="1"/>
    </xf>
    <xf numFmtId="165" fontId="20" fillId="2" borderId="4" xfId="2" applyNumberFormat="1" applyFont="1" applyFill="1" applyBorder="1" applyAlignment="1">
      <alignment wrapText="1"/>
    </xf>
    <xf numFmtId="168" fontId="20" fillId="2" borderId="0" xfId="1" applyNumberFormat="1" applyFont="1" applyFill="1" applyAlignment="1">
      <alignment horizontal="left"/>
    </xf>
    <xf numFmtId="0" fontId="20" fillId="2" borderId="0" xfId="2" applyFont="1" applyFill="1" applyAlignment="1">
      <alignment horizontal="left" wrapText="1" indent="2"/>
    </xf>
    <xf numFmtId="0" fontId="25" fillId="2" borderId="0" xfId="2" applyFont="1" applyFill="1" applyAlignment="1">
      <alignment horizontal="left" wrapText="1" indent="2"/>
    </xf>
    <xf numFmtId="0" fontId="20" fillId="2" borderId="0" xfId="2" applyFont="1" applyFill="1" applyAlignment="1">
      <alignment horizontal="left" wrapText="1" indent="4"/>
    </xf>
    <xf numFmtId="0" fontId="20" fillId="2" borderId="1" xfId="2" applyFont="1" applyFill="1" applyBorder="1" applyAlignment="1">
      <alignment horizontal="left" wrapText="1" indent="4"/>
    </xf>
    <xf numFmtId="0" fontId="18" fillId="2" borderId="5" xfId="2" applyFont="1" applyFill="1" applyBorder="1" applyAlignment="1">
      <alignment horizontal="left" wrapText="1"/>
    </xf>
    <xf numFmtId="165" fontId="18" fillId="2" borderId="5" xfId="2" applyNumberFormat="1" applyFont="1" applyFill="1" applyBorder="1" applyAlignment="1">
      <alignment wrapText="1"/>
    </xf>
    <xf numFmtId="171" fontId="9" fillId="2" borderId="0" xfId="0" applyNumberFormat="1" applyFont="1" applyFill="1"/>
    <xf numFmtId="4" fontId="9" fillId="2" borderId="0" xfId="0" applyNumberFormat="1" applyFont="1" applyFill="1"/>
    <xf numFmtId="169" fontId="9" fillId="2" borderId="0" xfId="4" applyNumberFormat="1" applyFont="1" applyFill="1"/>
    <xf numFmtId="9" fontId="9" fillId="2" borderId="0" xfId="4" applyFont="1" applyFill="1"/>
    <xf numFmtId="0" fontId="22" fillId="2" borderId="0" xfId="2" applyFont="1" applyFill="1" applyAlignment="1">
      <alignment horizontal="left"/>
    </xf>
    <xf numFmtId="173" fontId="22" fillId="2" borderId="0" xfId="2" applyNumberFormat="1" applyFont="1" applyFill="1" applyAlignment="1">
      <alignment horizontal="left"/>
    </xf>
    <xf numFmtId="0" fontId="26" fillId="2" borderId="0" xfId="2" applyFont="1" applyFill="1" applyAlignment="1">
      <alignment horizontal="left" vertical="top"/>
    </xf>
    <xf numFmtId="0" fontId="27" fillId="2" borderId="0" xfId="2" applyFont="1" applyFill="1"/>
    <xf numFmtId="0" fontId="28" fillId="2" borderId="0" xfId="6" applyFont="1" applyFill="1" applyAlignment="1"/>
    <xf numFmtId="0" fontId="29" fillId="2" borderId="0" xfId="2" applyFont="1" applyFill="1" applyAlignment="1">
      <alignment horizontal="left" vertical="top" wrapText="1"/>
    </xf>
    <xf numFmtId="0" fontId="29" fillId="2" borderId="0" xfId="2" applyFont="1" applyFill="1" applyAlignment="1">
      <alignment vertical="top" wrapText="1"/>
    </xf>
    <xf numFmtId="0" fontId="22" fillId="2" borderId="0" xfId="2" applyFont="1" applyFill="1" applyAlignment="1">
      <alignment vertical="top" wrapText="1"/>
    </xf>
    <xf numFmtId="0" fontId="26" fillId="2" borderId="0" xfId="2" applyFont="1" applyFill="1" applyAlignment="1">
      <alignment horizontal="left" vertical="top" wrapText="1"/>
    </xf>
    <xf numFmtId="0" fontId="9" fillId="2" borderId="0" xfId="0" applyFont="1" applyFill="1" applyAlignment="1">
      <alignment horizontal="center"/>
    </xf>
    <xf numFmtId="0" fontId="30" fillId="2" borderId="0" xfId="0" applyFont="1" applyFill="1"/>
    <xf numFmtId="0" fontId="31" fillId="2" borderId="0" xfId="5" applyFont="1" applyFill="1"/>
    <xf numFmtId="0" fontId="19" fillId="2" borderId="0" xfId="2" applyFont="1" applyFill="1" applyAlignment="1">
      <alignment horizontal="center"/>
    </xf>
    <xf numFmtId="0" fontId="18" fillId="2" borderId="0" xfId="2" applyFont="1" applyFill="1" applyAlignment="1">
      <alignment wrapText="1"/>
    </xf>
    <xf numFmtId="9" fontId="19" fillId="2" borderId="0" xfId="4" applyFont="1" applyFill="1"/>
    <xf numFmtId="9" fontId="19" fillId="2" borderId="0" xfId="4" applyFont="1" applyFill="1" applyAlignment="1">
      <alignment horizontal="center"/>
    </xf>
    <xf numFmtId="43" fontId="19" fillId="2" borderId="0" xfId="1" applyFont="1" applyFill="1"/>
    <xf numFmtId="43" fontId="21" fillId="2" borderId="4" xfId="2" applyNumberFormat="1" applyFont="1" applyFill="1" applyBorder="1"/>
    <xf numFmtId="0" fontId="20" fillId="2" borderId="0" xfId="2" applyFont="1" applyFill="1" applyAlignment="1">
      <alignment horizontal="left" wrapText="1" indent="1"/>
    </xf>
    <xf numFmtId="164" fontId="18" fillId="3" borderId="0" xfId="2" applyNumberFormat="1" applyFont="1" applyFill="1" applyAlignment="1">
      <alignment horizontal="left" vertical="top" wrapText="1"/>
    </xf>
    <xf numFmtId="164" fontId="18" fillId="3" borderId="0" xfId="2" applyNumberFormat="1" applyFont="1" applyFill="1" applyAlignment="1">
      <alignment horizontal="right" wrapText="1"/>
    </xf>
    <xf numFmtId="9" fontId="18" fillId="3" borderId="0" xfId="4" applyFont="1" applyFill="1" applyAlignment="1">
      <alignment horizontal="right" wrapText="1"/>
    </xf>
    <xf numFmtId="165" fontId="20" fillId="3" borderId="0" xfId="2" applyNumberFormat="1" applyFont="1" applyFill="1" applyAlignment="1">
      <alignment wrapText="1"/>
    </xf>
    <xf numFmtId="9" fontId="20" fillId="3" borderId="0" xfId="4" applyFont="1" applyFill="1" applyAlignment="1">
      <alignment wrapText="1"/>
    </xf>
    <xf numFmtId="9" fontId="19" fillId="3" borderId="0" xfId="4" applyFont="1" applyFill="1"/>
    <xf numFmtId="0" fontId="19" fillId="3" borderId="0" xfId="2" applyFont="1" applyFill="1"/>
    <xf numFmtId="0" fontId="20" fillId="3" borderId="0" xfId="2" applyFont="1" applyFill="1" applyAlignment="1">
      <alignment wrapText="1"/>
    </xf>
    <xf numFmtId="165" fontId="18" fillId="3" borderId="4" xfId="2" applyNumberFormat="1" applyFont="1" applyFill="1" applyBorder="1" applyAlignment="1">
      <alignment wrapText="1"/>
    </xf>
    <xf numFmtId="9" fontId="18" fillId="3" borderId="4" xfId="4" applyFont="1" applyFill="1" applyBorder="1" applyAlignment="1">
      <alignment wrapText="1"/>
    </xf>
    <xf numFmtId="9" fontId="18" fillId="3" borderId="0" xfId="4" applyFont="1" applyFill="1" applyAlignment="1">
      <alignment wrapText="1"/>
    </xf>
    <xf numFmtId="9" fontId="21" fillId="3" borderId="0" xfId="4" applyFont="1" applyFill="1"/>
    <xf numFmtId="0" fontId="32" fillId="2" borderId="0" xfId="2" applyFont="1" applyFill="1" applyAlignment="1">
      <alignment horizontal="left" wrapText="1"/>
    </xf>
    <xf numFmtId="165" fontId="33" fillId="2" borderId="0" xfId="2" applyNumberFormat="1" applyFont="1" applyFill="1" applyAlignment="1">
      <alignment wrapText="1"/>
    </xf>
    <xf numFmtId="165" fontId="33" fillId="3" borderId="0" xfId="2" applyNumberFormat="1" applyFont="1" applyFill="1" applyAlignment="1">
      <alignment wrapText="1"/>
    </xf>
    <xf numFmtId="9" fontId="33" fillId="3" borderId="0" xfId="4" applyFont="1" applyFill="1" applyAlignment="1">
      <alignment wrapText="1"/>
    </xf>
    <xf numFmtId="9" fontId="32" fillId="3" borderId="0" xfId="4" applyFont="1" applyFill="1" applyAlignment="1">
      <alignment wrapText="1"/>
    </xf>
    <xf numFmtId="43" fontId="34" fillId="2" borderId="0" xfId="2" applyNumberFormat="1" applyFont="1" applyFill="1"/>
    <xf numFmtId="0" fontId="34" fillId="2" borderId="0" xfId="2" applyFont="1" applyFill="1"/>
    <xf numFmtId="9" fontId="34" fillId="3" borderId="0" xfId="4" applyFont="1" applyFill="1"/>
    <xf numFmtId="0" fontId="30" fillId="2" borderId="3" xfId="0" applyFont="1" applyFill="1" applyBorder="1" applyAlignment="1">
      <alignment wrapText="1"/>
    </xf>
    <xf numFmtId="0" fontId="30" fillId="2" borderId="0" xfId="0" applyFont="1" applyFill="1" applyAlignment="1">
      <alignment wrapText="1"/>
    </xf>
    <xf numFmtId="0" fontId="20" fillId="3" borderId="6" xfId="2" applyFont="1" applyFill="1" applyBorder="1" applyAlignment="1">
      <alignment horizontal="left" wrapText="1"/>
    </xf>
    <xf numFmtId="9" fontId="18" fillId="3" borderId="6" xfId="4" applyFont="1" applyFill="1" applyBorder="1" applyAlignment="1">
      <alignment horizontal="center" wrapText="1"/>
    </xf>
    <xf numFmtId="10" fontId="9" fillId="2" borderId="0" xfId="4" applyNumberFormat="1" applyFont="1" applyFill="1"/>
    <xf numFmtId="1" fontId="9" fillId="2" borderId="0" xfId="0" applyNumberFormat="1" applyFont="1" applyFill="1"/>
    <xf numFmtId="9" fontId="9" fillId="2" borderId="0" xfId="0" applyNumberFormat="1" applyFont="1" applyFill="1"/>
    <xf numFmtId="178" fontId="9" fillId="2" borderId="0" xfId="1" applyNumberFormat="1" applyFont="1" applyFill="1"/>
    <xf numFmtId="10" fontId="9" fillId="2" borderId="0" xfId="0" applyNumberFormat="1" applyFont="1" applyFill="1"/>
    <xf numFmtId="0" fontId="19" fillId="2" borderId="0" xfId="0" applyFont="1" applyFill="1" applyAlignment="1">
      <alignment horizontal="left" wrapText="1"/>
    </xf>
    <xf numFmtId="171" fontId="20" fillId="2" borderId="0" xfId="0" applyNumberFormat="1" applyFont="1" applyFill="1" applyAlignment="1">
      <alignment wrapText="1"/>
    </xf>
    <xf numFmtId="178" fontId="9" fillId="2" borderId="6" xfId="0" applyNumberFormat="1" applyFont="1" applyFill="1" applyBorder="1"/>
    <xf numFmtId="0" fontId="17" fillId="2" borderId="3" xfId="0" applyFont="1" applyFill="1" applyBorder="1"/>
    <xf numFmtId="0" fontId="17" fillId="3" borderId="3" xfId="0" applyFont="1" applyFill="1" applyBorder="1" applyAlignment="1">
      <alignment horizontal="center"/>
    </xf>
    <xf numFmtId="0" fontId="9" fillId="3" borderId="0" xfId="0" applyFont="1" applyFill="1" applyAlignment="1">
      <alignment horizontal="center"/>
    </xf>
    <xf numFmtId="9" fontId="9" fillId="3" borderId="0" xfId="0" applyNumberFormat="1" applyFont="1" applyFill="1" applyAlignment="1">
      <alignment horizontal="center"/>
    </xf>
    <xf numFmtId="2" fontId="9" fillId="3" borderId="0" xfId="0" applyNumberFormat="1" applyFont="1" applyFill="1" applyAlignment="1">
      <alignment horizontal="center"/>
    </xf>
    <xf numFmtId="9" fontId="9" fillId="3" borderId="0" xfId="4" applyFont="1" applyFill="1" applyAlignment="1">
      <alignment horizontal="center"/>
    </xf>
    <xf numFmtId="43" fontId="9" fillId="3" borderId="0" xfId="0" applyNumberFormat="1" applyFont="1" applyFill="1" applyAlignment="1">
      <alignment horizontal="center"/>
    </xf>
    <xf numFmtId="9" fontId="9" fillId="3" borderId="0" xfId="4" applyFont="1" applyFill="1" applyBorder="1" applyAlignment="1">
      <alignment horizontal="center"/>
    </xf>
    <xf numFmtId="9" fontId="20" fillId="2" borderId="0" xfId="4" applyFont="1" applyFill="1"/>
    <xf numFmtId="169" fontId="20" fillId="2" borderId="0" xfId="4" applyNumberFormat="1" applyFont="1" applyFill="1"/>
    <xf numFmtId="169" fontId="20" fillId="2" borderId="0" xfId="0" applyNumberFormat="1" applyFont="1" applyFill="1"/>
    <xf numFmtId="178" fontId="20" fillId="2" borderId="0" xfId="0" applyNumberFormat="1" applyFont="1" applyFill="1"/>
    <xf numFmtId="0" fontId="17" fillId="2" borderId="3" xfId="0" applyFont="1" applyFill="1" applyBorder="1" applyAlignment="1">
      <alignment horizontal="center"/>
    </xf>
    <xf numFmtId="0" fontId="18" fillId="2" borderId="0" xfId="0" applyFont="1" applyFill="1" applyAlignment="1">
      <alignment horizontal="center"/>
    </xf>
    <xf numFmtId="0" fontId="32" fillId="2" borderId="0" xfId="0" applyFont="1" applyFill="1"/>
    <xf numFmtId="178" fontId="20" fillId="2" borderId="0" xfId="1" applyNumberFormat="1" applyFont="1" applyFill="1"/>
    <xf numFmtId="178" fontId="32" fillId="2" borderId="0" xfId="1" applyNumberFormat="1" applyFont="1" applyFill="1"/>
    <xf numFmtId="0" fontId="20" fillId="2" borderId="0" xfId="0" applyFont="1" applyFill="1" applyAlignment="1">
      <alignment horizontal="left" indent="1"/>
    </xf>
    <xf numFmtId="0" fontId="20" fillId="2" borderId="0" xfId="0" quotePrefix="1" applyFont="1" applyFill="1" applyAlignment="1">
      <alignment horizontal="left" indent="1"/>
    </xf>
    <xf numFmtId="0" fontId="9" fillId="2" borderId="0" xfId="0" applyFont="1" applyFill="1" applyAlignment="1">
      <alignment horizontal="left" indent="1"/>
    </xf>
    <xf numFmtId="0" fontId="36" fillId="2" borderId="0" xfId="0" applyFont="1" applyFill="1"/>
    <xf numFmtId="0" fontId="17" fillId="2" borderId="4" xfId="0" applyFont="1" applyFill="1" applyBorder="1"/>
    <xf numFmtId="0" fontId="17" fillId="2" borderId="4" xfId="0" applyFont="1" applyFill="1" applyBorder="1" applyAlignment="1">
      <alignment horizontal="center"/>
    </xf>
    <xf numFmtId="0" fontId="9" fillId="2" borderId="3" xfId="0" applyFont="1" applyFill="1" applyBorder="1"/>
    <xf numFmtId="0" fontId="9" fillId="2" borderId="3" xfId="0" applyFont="1" applyFill="1" applyBorder="1" applyAlignment="1">
      <alignment horizontal="center"/>
    </xf>
    <xf numFmtId="0" fontId="30" fillId="2" borderId="0" xfId="0" applyFont="1" applyFill="1" applyAlignment="1">
      <alignment horizontal="center"/>
    </xf>
    <xf numFmtId="0" fontId="31" fillId="2" borderId="0" xfId="5" applyFont="1" applyFill="1" applyAlignment="1">
      <alignment horizontal="left"/>
    </xf>
    <xf numFmtId="0" fontId="0" fillId="2" borderId="0" xfId="0" applyFill="1"/>
    <xf numFmtId="178" fontId="9" fillId="2" borderId="0" xfId="1" applyNumberFormat="1" applyFont="1" applyFill="1" applyBorder="1"/>
    <xf numFmtId="9" fontId="9" fillId="2" borderId="0" xfId="4" applyFont="1" applyFill="1" applyBorder="1"/>
    <xf numFmtId="10" fontId="9" fillId="2" borderId="0" xfId="4" applyNumberFormat="1" applyFont="1" applyFill="1" applyBorder="1"/>
    <xf numFmtId="10" fontId="17" fillId="2" borderId="4" xfId="4" applyNumberFormat="1" applyFont="1" applyFill="1" applyBorder="1" applyAlignment="1">
      <alignment horizontal="right"/>
    </xf>
    <xf numFmtId="0" fontId="9" fillId="2" borderId="6" xfId="0" applyFont="1" applyFill="1" applyBorder="1" applyAlignment="1">
      <alignment horizontal="left"/>
    </xf>
    <xf numFmtId="0" fontId="17" fillId="2" borderId="0" xfId="0" applyFont="1" applyFill="1" applyAlignment="1">
      <alignment horizontal="left"/>
    </xf>
    <xf numFmtId="0" fontId="9" fillId="2" borderId="0" xfId="0" applyFont="1" applyFill="1" applyAlignment="1">
      <alignment horizontal="left"/>
    </xf>
    <xf numFmtId="9" fontId="9" fillId="2" borderId="6" xfId="4" applyFont="1" applyFill="1" applyBorder="1"/>
    <xf numFmtId="0" fontId="30" fillId="2" borderId="0" xfId="0" applyFont="1" applyFill="1" applyAlignment="1">
      <alignment vertical="top" wrapText="1"/>
    </xf>
    <xf numFmtId="0" fontId="14" fillId="2" borderId="0" xfId="5" applyFont="1" applyFill="1" applyAlignment="1">
      <alignment vertical="top" wrapText="1"/>
    </xf>
    <xf numFmtId="0" fontId="22" fillId="2" borderId="0" xfId="2" applyFont="1" applyFill="1" applyAlignment="1">
      <alignment horizontal="center" vertical="top"/>
    </xf>
    <xf numFmtId="2" fontId="22" fillId="2" borderId="0" xfId="2" applyNumberFormat="1" applyFont="1" applyFill="1" applyAlignment="1">
      <alignment horizontal="center" vertical="top"/>
    </xf>
    <xf numFmtId="0" fontId="37" fillId="2" borderId="0" xfId="2" applyFont="1" applyFill="1" applyAlignment="1">
      <alignment horizontal="center" vertical="top"/>
    </xf>
    <xf numFmtId="0" fontId="38" fillId="2" borderId="0" xfId="2" applyFont="1" applyFill="1"/>
    <xf numFmtId="0" fontId="39" fillId="2" borderId="0" xfId="2" applyFont="1" applyFill="1"/>
    <xf numFmtId="0" fontId="40" fillId="2" borderId="0" xfId="2" applyFont="1" applyFill="1"/>
    <xf numFmtId="0" fontId="41" fillId="2" borderId="0" xfId="6" applyFont="1" applyFill="1" applyAlignment="1"/>
    <xf numFmtId="0" fontId="42" fillId="2" borderId="0" xfId="2" applyFont="1" applyFill="1" applyAlignment="1">
      <alignment horizontal="center" vertical="top" wrapText="1"/>
    </xf>
    <xf numFmtId="0" fontId="43" fillId="2" borderId="0" xfId="2" applyFont="1" applyFill="1" applyAlignment="1">
      <alignment horizontal="center" vertical="top" wrapText="1"/>
    </xf>
    <xf numFmtId="0" fontId="44" fillId="2" borderId="0" xfId="2" applyFont="1" applyFill="1" applyAlignment="1">
      <alignment horizontal="center" vertical="top"/>
    </xf>
    <xf numFmtId="0" fontId="39" fillId="2" borderId="0" xfId="2" applyFont="1" applyFill="1" applyAlignment="1">
      <alignment horizontal="center"/>
    </xf>
    <xf numFmtId="2" fontId="45" fillId="2" borderId="0" xfId="2" applyNumberFormat="1" applyFont="1" applyFill="1" applyAlignment="1">
      <alignment horizontal="center" vertical="center" wrapText="1"/>
    </xf>
    <xf numFmtId="2" fontId="45" fillId="2" borderId="0" xfId="2" applyNumberFormat="1" applyFont="1" applyFill="1" applyAlignment="1">
      <alignment horizontal="left" vertical="center" wrapText="1"/>
    </xf>
    <xf numFmtId="169" fontId="39" fillId="2" borderId="0" xfId="4" applyNumberFormat="1" applyFont="1" applyFill="1" applyAlignment="1">
      <alignment horizontal="center" vertical="center"/>
    </xf>
    <xf numFmtId="1" fontId="39" fillId="2" borderId="0" xfId="2" applyNumberFormat="1" applyFont="1" applyFill="1" applyAlignment="1">
      <alignment horizontal="center" vertical="center"/>
    </xf>
    <xf numFmtId="10" fontId="39" fillId="2" borderId="0" xfId="4" applyNumberFormat="1" applyFont="1" applyFill="1" applyAlignment="1">
      <alignment horizontal="center" vertical="center"/>
    </xf>
    <xf numFmtId="10" fontId="46" fillId="2" borderId="0" xfId="4" applyNumberFormat="1" applyFont="1" applyFill="1" applyAlignment="1">
      <alignment horizontal="center" vertical="center"/>
    </xf>
    <xf numFmtId="0" fontId="39" fillId="2" borderId="0" xfId="2" applyFont="1" applyFill="1" applyAlignment="1">
      <alignment wrapText="1"/>
    </xf>
    <xf numFmtId="174" fontId="39" fillId="2" borderId="0" xfId="2" applyNumberFormat="1" applyFont="1" applyFill="1" applyAlignment="1">
      <alignment wrapText="1"/>
    </xf>
    <xf numFmtId="0" fontId="39" fillId="2" borderId="0" xfId="2" applyFont="1" applyFill="1" applyAlignment="1">
      <alignment horizontal="center" vertical="top"/>
    </xf>
    <xf numFmtId="0" fontId="46" fillId="2" borderId="0" xfId="2" applyFont="1" applyFill="1" applyAlignment="1">
      <alignment horizontal="center" vertical="top"/>
    </xf>
    <xf numFmtId="0" fontId="44" fillId="2" borderId="0" xfId="2" applyFont="1" applyFill="1"/>
    <xf numFmtId="177" fontId="44" fillId="2" borderId="0" xfId="2" applyNumberFormat="1" applyFont="1" applyFill="1"/>
    <xf numFmtId="0" fontId="45" fillId="2" borderId="0" xfId="2" applyFont="1" applyFill="1" applyAlignment="1">
      <alignment horizontal="center" vertical="center" wrapText="1"/>
    </xf>
    <xf numFmtId="14" fontId="45" fillId="2" borderId="0" xfId="2" applyNumberFormat="1" applyFont="1" applyFill="1" applyAlignment="1">
      <alignment horizontal="center" vertical="center" wrapText="1"/>
    </xf>
    <xf numFmtId="9" fontId="39" fillId="2" borderId="0" xfId="4" applyFont="1" applyFill="1"/>
    <xf numFmtId="10" fontId="44" fillId="2" borderId="0" xfId="4" applyNumberFormat="1" applyFont="1" applyFill="1"/>
    <xf numFmtId="178" fontId="39" fillId="2" borderId="0" xfId="1" applyNumberFormat="1" applyFont="1" applyFill="1"/>
    <xf numFmtId="0" fontId="39" fillId="2" borderId="3" xfId="2" applyFont="1" applyFill="1" applyBorder="1"/>
    <xf numFmtId="0" fontId="17" fillId="2" borderId="9" xfId="0" applyFont="1" applyFill="1" applyBorder="1" applyAlignment="1">
      <alignment horizontal="left"/>
    </xf>
    <xf numFmtId="10" fontId="17" fillId="2" borderId="9" xfId="0" applyNumberFormat="1" applyFont="1" applyFill="1" applyBorder="1"/>
    <xf numFmtId="10" fontId="17" fillId="2" borderId="0" xfId="4" applyNumberFormat="1" applyFont="1" applyFill="1"/>
    <xf numFmtId="0" fontId="46" fillId="2" borderId="4" xfId="2" applyFont="1" applyFill="1" applyBorder="1"/>
    <xf numFmtId="10" fontId="46" fillId="2" borderId="4" xfId="4" applyNumberFormat="1" applyFont="1" applyFill="1" applyBorder="1"/>
    <xf numFmtId="0" fontId="47" fillId="2" borderId="0" xfId="0" applyFont="1" applyFill="1"/>
    <xf numFmtId="0" fontId="29" fillId="2" borderId="0" xfId="2" applyFont="1" applyFill="1" applyAlignment="1">
      <alignment horizontal="center" vertical="top" wrapText="1"/>
    </xf>
    <xf numFmtId="0" fontId="29" fillId="2" borderId="6" xfId="2" applyFont="1" applyFill="1" applyBorder="1" applyAlignment="1">
      <alignment horizontal="left" vertical="top" wrapText="1"/>
    </xf>
    <xf numFmtId="0" fontId="29" fillId="2" borderId="3" xfId="2" applyFont="1" applyFill="1" applyBorder="1" applyAlignment="1">
      <alignment horizontal="left" vertical="top" wrapText="1"/>
    </xf>
    <xf numFmtId="0" fontId="29" fillId="2" borderId="3" xfId="2" applyFont="1" applyFill="1" applyBorder="1" applyAlignment="1">
      <alignment horizontal="center" vertical="top" wrapText="1"/>
    </xf>
    <xf numFmtId="174" fontId="26" fillId="2" borderId="0" xfId="2" applyNumberFormat="1" applyFont="1" applyFill="1" applyAlignment="1">
      <alignment horizontal="center" vertical="top" wrapText="1"/>
    </xf>
    <xf numFmtId="175" fontId="26" fillId="2" borderId="0" xfId="2" applyNumberFormat="1" applyFont="1" applyFill="1" applyAlignment="1">
      <alignment horizontal="center" vertical="top" wrapText="1"/>
    </xf>
    <xf numFmtId="174" fontId="29" fillId="2" borderId="6" xfId="2" applyNumberFormat="1" applyFont="1" applyFill="1" applyBorder="1" applyAlignment="1">
      <alignment horizontal="center" vertical="top" wrapText="1"/>
    </xf>
    <xf numFmtId="175" fontId="29" fillId="2" borderId="6" xfId="2" applyNumberFormat="1" applyFont="1" applyFill="1" applyBorder="1" applyAlignment="1">
      <alignment horizontal="center" vertical="top" wrapText="1"/>
    </xf>
    <xf numFmtId="176" fontId="26" fillId="2" borderId="0" xfId="2" applyNumberFormat="1" applyFont="1" applyFill="1" applyAlignment="1">
      <alignment horizontal="center" vertical="top" wrapText="1"/>
    </xf>
    <xf numFmtId="174" fontId="26" fillId="2" borderId="6" xfId="2" applyNumberFormat="1" applyFont="1" applyFill="1" applyBorder="1" applyAlignment="1">
      <alignment horizontal="center" vertical="top" wrapText="1"/>
    </xf>
    <xf numFmtId="179" fontId="26" fillId="2" borderId="0" xfId="2" applyNumberFormat="1" applyFont="1" applyFill="1" applyAlignment="1">
      <alignment horizontal="center" vertical="top" wrapText="1"/>
    </xf>
    <xf numFmtId="0" fontId="16" fillId="2" borderId="0" xfId="0" applyFont="1" applyFill="1" applyAlignment="1">
      <alignment horizontal="center" vertical="top"/>
    </xf>
    <xf numFmtId="0" fontId="47" fillId="2" borderId="3" xfId="0" applyFont="1" applyFill="1" applyBorder="1" applyAlignment="1">
      <alignment horizontal="center" vertical="top"/>
    </xf>
    <xf numFmtId="0" fontId="23" fillId="2" borderId="3" xfId="2" applyFont="1" applyFill="1" applyBorder="1" applyAlignment="1">
      <alignment horizontal="center" vertical="top"/>
    </xf>
    <xf numFmtId="0" fontId="22" fillId="2" borderId="3" xfId="2" applyFont="1" applyFill="1" applyBorder="1" applyAlignment="1">
      <alignment horizontal="center" vertical="top"/>
    </xf>
    <xf numFmtId="171" fontId="16" fillId="2" borderId="0" xfId="0" applyNumberFormat="1" applyFont="1" applyFill="1" applyAlignment="1">
      <alignment horizontal="center" vertical="top"/>
    </xf>
    <xf numFmtId="171" fontId="22" fillId="2" borderId="0" xfId="2" applyNumberFormat="1" applyFont="1" applyFill="1" applyAlignment="1">
      <alignment horizontal="center" vertical="top"/>
    </xf>
    <xf numFmtId="171" fontId="16" fillId="2" borderId="6" xfId="0" applyNumberFormat="1" applyFont="1" applyFill="1" applyBorder="1" applyAlignment="1">
      <alignment horizontal="center" vertical="top"/>
    </xf>
    <xf numFmtId="171" fontId="22" fillId="2" borderId="6" xfId="2" applyNumberFormat="1" applyFont="1" applyFill="1" applyBorder="1" applyAlignment="1">
      <alignment horizontal="center" vertical="top"/>
    </xf>
    <xf numFmtId="0" fontId="22" fillId="2" borderId="6" xfId="2" applyFont="1" applyFill="1" applyBorder="1" applyAlignment="1">
      <alignment horizontal="center" vertical="top"/>
    </xf>
    <xf numFmtId="2" fontId="16" fillId="2" borderId="0" xfId="0" applyNumberFormat="1" applyFont="1" applyFill="1" applyAlignment="1">
      <alignment horizontal="center" vertical="top"/>
    </xf>
    <xf numFmtId="172" fontId="22" fillId="2" borderId="0" xfId="2" applyNumberFormat="1" applyFont="1" applyFill="1" applyAlignment="1">
      <alignment horizontal="center" vertical="top"/>
    </xf>
    <xf numFmtId="2" fontId="22" fillId="2" borderId="10" xfId="2" applyNumberFormat="1" applyFont="1" applyFill="1" applyBorder="1" applyAlignment="1">
      <alignment horizontal="center" vertical="top"/>
    </xf>
    <xf numFmtId="9" fontId="22" fillId="2" borderId="0" xfId="4" applyFont="1" applyFill="1" applyAlignment="1">
      <alignment horizontal="center" vertical="top"/>
    </xf>
    <xf numFmtId="0" fontId="23" fillId="2" borderId="4" xfId="2" applyFont="1" applyFill="1" applyBorder="1"/>
    <xf numFmtId="2" fontId="22" fillId="2" borderId="4" xfId="2" applyNumberFormat="1" applyFont="1" applyFill="1" applyBorder="1" applyAlignment="1">
      <alignment horizontal="center" vertical="top"/>
    </xf>
    <xf numFmtId="2" fontId="37" fillId="2" borderId="0" xfId="2" applyNumberFormat="1" applyFont="1" applyFill="1" applyAlignment="1">
      <alignment horizontal="center" vertical="top"/>
    </xf>
    <xf numFmtId="0" fontId="18" fillId="4" borderId="0" xfId="0" applyFont="1" applyFill="1"/>
    <xf numFmtId="0" fontId="20" fillId="4" borderId="0" xfId="0" applyFont="1" applyFill="1"/>
    <xf numFmtId="0" fontId="35" fillId="4" borderId="0" xfId="0" applyFont="1" applyFill="1" applyAlignment="1">
      <alignment horizontal="center"/>
    </xf>
    <xf numFmtId="0" fontId="35" fillId="4" borderId="0" xfId="0" applyFont="1" applyFill="1"/>
    <xf numFmtId="0" fontId="20" fillId="4" borderId="3" xfId="0" applyFont="1" applyFill="1" applyBorder="1"/>
    <xf numFmtId="0" fontId="18" fillId="4" borderId="3" xfId="0" applyFont="1" applyFill="1" applyBorder="1"/>
    <xf numFmtId="0" fontId="33" fillId="4" borderId="0" xfId="0" applyFont="1" applyFill="1"/>
    <xf numFmtId="0" fontId="20" fillId="4" borderId="0" xfId="0" applyFont="1" applyFill="1" applyAlignment="1">
      <alignment horizontal="center"/>
    </xf>
    <xf numFmtId="0" fontId="20" fillId="4" borderId="0" xfId="0" applyFont="1" applyFill="1" applyAlignment="1">
      <alignment horizontal="left" indent="2"/>
    </xf>
    <xf numFmtId="2" fontId="20" fillId="4" borderId="0" xfId="0" applyNumberFormat="1" applyFont="1" applyFill="1" applyAlignment="1">
      <alignment horizontal="center"/>
    </xf>
    <xf numFmtId="2" fontId="33" fillId="4" borderId="0" xfId="0" applyNumberFormat="1" applyFont="1" applyFill="1" applyAlignment="1">
      <alignment horizontal="center"/>
    </xf>
    <xf numFmtId="9" fontId="20" fillId="4" borderId="0" xfId="0" applyNumberFormat="1" applyFont="1" applyFill="1" applyAlignment="1">
      <alignment horizontal="center"/>
    </xf>
    <xf numFmtId="0" fontId="18" fillId="4" borderId="4" xfId="0" applyFont="1" applyFill="1" applyBorder="1"/>
    <xf numFmtId="0" fontId="3" fillId="4" borderId="0" xfId="0" applyFont="1" applyFill="1"/>
    <xf numFmtId="9" fontId="3" fillId="4" borderId="0" xfId="0" applyNumberFormat="1" applyFont="1" applyFill="1" applyAlignment="1">
      <alignment horizontal="center"/>
    </xf>
    <xf numFmtId="0" fontId="20" fillId="4" borderId="0" xfId="0" applyFont="1" applyFill="1" applyAlignment="1">
      <alignment wrapText="1"/>
    </xf>
    <xf numFmtId="0" fontId="3" fillId="4" borderId="0" xfId="0" applyFont="1" applyFill="1" applyAlignment="1">
      <alignment horizontal="center"/>
    </xf>
    <xf numFmtId="0" fontId="49" fillId="5" borderId="0" xfId="2" applyFont="1" applyFill="1"/>
    <xf numFmtId="0" fontId="50" fillId="5" borderId="0" xfId="2" applyFont="1" applyFill="1"/>
    <xf numFmtId="0" fontId="2" fillId="0" borderId="0" xfId="2"/>
    <xf numFmtId="0" fontId="51" fillId="0" borderId="0" xfId="2" applyFont="1"/>
    <xf numFmtId="0" fontId="52" fillId="0" borderId="0" xfId="2" applyFont="1"/>
    <xf numFmtId="0" fontId="2" fillId="0" borderId="0" xfId="2" applyAlignment="1">
      <alignment horizontal="center"/>
    </xf>
    <xf numFmtId="0" fontId="53" fillId="0" borderId="11" xfId="2" applyFont="1" applyBorder="1" applyAlignment="1">
      <alignment horizontal="center"/>
    </xf>
    <xf numFmtId="0" fontId="53" fillId="0" borderId="12" xfId="2" applyFont="1" applyBorder="1" applyAlignment="1">
      <alignment horizontal="center"/>
    </xf>
    <xf numFmtId="0" fontId="2" fillId="0" borderId="0" xfId="2" applyAlignment="1">
      <alignment horizontal="right"/>
    </xf>
    <xf numFmtId="0" fontId="2" fillId="0" borderId="12" xfId="2" applyBorder="1"/>
    <xf numFmtId="14" fontId="54" fillId="0" borderId="0" xfId="2" applyNumberFormat="1" applyFont="1"/>
    <xf numFmtId="14" fontId="54" fillId="0" borderId="12" xfId="2" applyNumberFormat="1" applyFont="1" applyBorder="1" applyAlignment="1">
      <alignment horizontal="right"/>
    </xf>
    <xf numFmtId="178" fontId="0" fillId="0" borderId="0" xfId="7" applyNumberFormat="1" applyFont="1"/>
    <xf numFmtId="178" fontId="2" fillId="0" borderId="0" xfId="7" applyNumberFormat="1" applyFont="1" applyFill="1"/>
    <xf numFmtId="178" fontId="2" fillId="5" borderId="13" xfId="2" applyNumberFormat="1" applyFill="1" applyBorder="1"/>
    <xf numFmtId="178" fontId="51" fillId="0" borderId="0" xfId="2" applyNumberFormat="1" applyFont="1"/>
    <xf numFmtId="0" fontId="2" fillId="6" borderId="12" xfId="2" applyFill="1" applyBorder="1"/>
    <xf numFmtId="0" fontId="51" fillId="6" borderId="12" xfId="2" applyFont="1" applyFill="1" applyBorder="1"/>
    <xf numFmtId="178" fontId="55" fillId="5" borderId="13" xfId="2" applyNumberFormat="1" applyFont="1" applyFill="1" applyBorder="1"/>
    <xf numFmtId="178" fontId="56" fillId="0" borderId="0" xfId="7" applyNumberFormat="1" applyFont="1"/>
    <xf numFmtId="178" fontId="56" fillId="0" borderId="0" xfId="7" applyNumberFormat="1" applyFont="1" applyFill="1"/>
    <xf numFmtId="178" fontId="56" fillId="5" borderId="13" xfId="2" applyNumberFormat="1" applyFont="1" applyFill="1" applyBorder="1"/>
    <xf numFmtId="178" fontId="2" fillId="0" borderId="13" xfId="2" applyNumberFormat="1" applyBorder="1"/>
    <xf numFmtId="178" fontId="51" fillId="0" borderId="0" xfId="7" applyNumberFormat="1" applyFont="1"/>
    <xf numFmtId="178" fontId="55" fillId="0" borderId="0" xfId="2" applyNumberFormat="1" applyFont="1"/>
    <xf numFmtId="0" fontId="2" fillId="7" borderId="0" xfId="2" applyFill="1"/>
    <xf numFmtId="178" fontId="2" fillId="7" borderId="0" xfId="7" applyNumberFormat="1" applyFont="1" applyFill="1"/>
    <xf numFmtId="178" fontId="55" fillId="7" borderId="0" xfId="2" applyNumberFormat="1" applyFont="1" applyFill="1"/>
    <xf numFmtId="43" fontId="2" fillId="8" borderId="0" xfId="7" applyFont="1" applyFill="1"/>
    <xf numFmtId="0" fontId="55" fillId="0" borderId="0" xfId="2" applyFont="1"/>
    <xf numFmtId="178" fontId="55" fillId="0" borderId="0" xfId="7" applyNumberFormat="1" applyFont="1"/>
    <xf numFmtId="43" fontId="55" fillId="5" borderId="10" xfId="2" applyNumberFormat="1" applyFont="1" applyFill="1" applyBorder="1"/>
    <xf numFmtId="43" fontId="55" fillId="0" borderId="0" xfId="2" applyNumberFormat="1" applyFont="1"/>
    <xf numFmtId="43" fontId="2" fillId="8" borderId="0" xfId="2" applyNumberFormat="1" applyFill="1"/>
    <xf numFmtId="43" fontId="2" fillId="0" borderId="0" xfId="2" applyNumberFormat="1" applyAlignment="1">
      <alignment horizontal="right"/>
    </xf>
    <xf numFmtId="43" fontId="2" fillId="7" borderId="0" xfId="2" applyNumberFormat="1" applyFill="1"/>
    <xf numFmtId="0" fontId="55" fillId="7" borderId="0" xfId="2" applyFont="1" applyFill="1"/>
    <xf numFmtId="169" fontId="0" fillId="0" borderId="0" xfId="8" applyNumberFormat="1" applyFont="1"/>
    <xf numFmtId="43" fontId="2" fillId="0" borderId="0" xfId="2" applyNumberFormat="1"/>
    <xf numFmtId="169" fontId="2" fillId="0" borderId="0" xfId="8" applyNumberFormat="1" applyFont="1" applyFill="1"/>
    <xf numFmtId="169" fontId="2" fillId="8" borderId="0" xfId="8" applyNumberFormat="1" applyFont="1" applyFill="1"/>
    <xf numFmtId="171" fontId="2" fillId="0" borderId="0" xfId="2" applyNumberFormat="1"/>
    <xf numFmtId="44" fontId="0" fillId="0" borderId="0" xfId="9" applyFont="1"/>
    <xf numFmtId="0" fontId="57" fillId="0" borderId="0" xfId="2" applyFont="1"/>
    <xf numFmtId="6" fontId="2" fillId="0" borderId="0" xfId="2" applyNumberFormat="1"/>
    <xf numFmtId="43" fontId="51" fillId="0" borderId="0" xfId="2" applyNumberFormat="1" applyFont="1"/>
    <xf numFmtId="180" fontId="58" fillId="0" borderId="0" xfId="9" applyNumberFormat="1" applyFont="1" applyFill="1" applyBorder="1"/>
    <xf numFmtId="44" fontId="2" fillId="0" borderId="0" xfId="9" applyFont="1" applyFill="1"/>
    <xf numFmtId="0" fontId="2" fillId="0" borderId="0" xfId="2" quotePrefix="1"/>
    <xf numFmtId="44" fontId="58" fillId="5" borderId="10" xfId="9" applyFont="1" applyFill="1" applyBorder="1"/>
    <xf numFmtId="44" fontId="51" fillId="0" borderId="0" xfId="9" applyFont="1" applyBorder="1"/>
    <xf numFmtId="44" fontId="51" fillId="0" borderId="0" xfId="2" applyNumberFormat="1" applyFont="1"/>
    <xf numFmtId="178" fontId="51" fillId="0" borderId="0" xfId="7" applyNumberFormat="1" applyFont="1" applyBorder="1"/>
    <xf numFmtId="180" fontId="51" fillId="0" borderId="0" xfId="9" applyNumberFormat="1" applyFont="1" applyBorder="1"/>
    <xf numFmtId="43" fontId="53" fillId="0" borderId="0" xfId="7" applyFont="1" applyFill="1" applyAlignment="1">
      <alignment horizontal="right"/>
    </xf>
    <xf numFmtId="9" fontId="51" fillId="0" borderId="0" xfId="2" applyNumberFormat="1" applyFont="1"/>
    <xf numFmtId="43" fontId="58" fillId="5" borderId="10" xfId="2" applyNumberFormat="1" applyFont="1" applyFill="1" applyBorder="1" applyAlignment="1">
      <alignment horizontal="right"/>
    </xf>
    <xf numFmtId="0" fontId="53" fillId="0" borderId="0" xfId="2" applyFont="1" applyAlignment="1">
      <alignment horizontal="left"/>
    </xf>
    <xf numFmtId="0" fontId="2" fillId="3" borderId="14" xfId="2" applyFill="1" applyBorder="1"/>
    <xf numFmtId="0" fontId="51" fillId="3" borderId="15" xfId="2" applyFont="1" applyFill="1" applyBorder="1"/>
    <xf numFmtId="0" fontId="51" fillId="3" borderId="16" xfId="2" applyFont="1" applyFill="1" applyBorder="1"/>
    <xf numFmtId="44" fontId="53" fillId="5" borderId="10" xfId="9" applyFont="1" applyFill="1" applyBorder="1"/>
    <xf numFmtId="0" fontId="58" fillId="3" borderId="0" xfId="2" applyFont="1" applyFill="1"/>
    <xf numFmtId="0" fontId="51" fillId="3" borderId="0" xfId="2" applyFont="1" applyFill="1"/>
    <xf numFmtId="0" fontId="51" fillId="3" borderId="17" xfId="2" applyFont="1" applyFill="1" applyBorder="1"/>
    <xf numFmtId="43" fontId="53" fillId="5" borderId="10" xfId="7" applyFont="1" applyFill="1" applyBorder="1"/>
    <xf numFmtId="44" fontId="2" fillId="3" borderId="18" xfId="2" applyNumberFormat="1" applyFill="1" applyBorder="1"/>
    <xf numFmtId="0" fontId="51" fillId="3" borderId="19" xfId="2" applyFont="1" applyFill="1" applyBorder="1"/>
    <xf numFmtId="0" fontId="51" fillId="3" borderId="20" xfId="2" applyFont="1" applyFill="1" applyBorder="1"/>
    <xf numFmtId="169" fontId="58" fillId="5" borderId="10" xfId="8" applyNumberFormat="1" applyFont="1" applyFill="1" applyBorder="1"/>
    <xf numFmtId="0" fontId="59" fillId="0" borderId="0" xfId="2" applyFont="1"/>
    <xf numFmtId="169" fontId="0" fillId="0" borderId="0" xfId="8" applyNumberFormat="1" applyFont="1" applyFill="1"/>
    <xf numFmtId="169" fontId="2" fillId="0" borderId="0" xfId="2" applyNumberFormat="1"/>
    <xf numFmtId="180" fontId="0" fillId="0" borderId="0" xfId="9" applyNumberFormat="1" applyFont="1" applyFill="1"/>
    <xf numFmtId="178" fontId="56" fillId="0" borderId="0" xfId="2" applyNumberFormat="1" applyFont="1"/>
    <xf numFmtId="180" fontId="2" fillId="0" borderId="0" xfId="2" applyNumberFormat="1"/>
    <xf numFmtId="9" fontId="0" fillId="0" borderId="0" xfId="8" applyFont="1"/>
    <xf numFmtId="9" fontId="2" fillId="0" borderId="0" xfId="2" applyNumberFormat="1"/>
    <xf numFmtId="0" fontId="29" fillId="2" borderId="21" xfId="2" applyFont="1" applyFill="1" applyBorder="1" applyAlignment="1">
      <alignment horizontal="left" vertical="center" wrapText="1"/>
    </xf>
    <xf numFmtId="179" fontId="29" fillId="2" borderId="7" xfId="2" applyNumberFormat="1" applyFont="1" applyFill="1" applyBorder="1" applyAlignment="1">
      <alignment horizontal="center" vertical="top" wrapText="1"/>
    </xf>
    <xf numFmtId="179" fontId="47" fillId="2" borderId="7" xfId="0" applyNumberFormat="1" applyFont="1" applyFill="1" applyBorder="1" applyAlignment="1">
      <alignment horizontal="center" vertical="top"/>
    </xf>
    <xf numFmtId="179" fontId="23" fillId="2" borderId="7" xfId="2" applyNumberFormat="1" applyFont="1" applyFill="1" applyBorder="1" applyAlignment="1">
      <alignment horizontal="center" vertical="top"/>
    </xf>
    <xf numFmtId="179" fontId="23" fillId="2" borderId="22" xfId="2" applyNumberFormat="1" applyFont="1" applyFill="1" applyBorder="1" applyAlignment="1">
      <alignment horizontal="center" vertical="top"/>
    </xf>
    <xf numFmtId="166" fontId="20" fillId="2" borderId="0" xfId="2" applyNumberFormat="1" applyFont="1" applyFill="1" applyAlignment="1">
      <alignment horizontal="right" wrapText="1"/>
    </xf>
    <xf numFmtId="0" fontId="20" fillId="2" borderId="0" xfId="2" applyFont="1" applyFill="1" applyAlignment="1">
      <alignment horizontal="right" wrapText="1"/>
    </xf>
    <xf numFmtId="0" fontId="19" fillId="2" borderId="0" xfId="2" applyFont="1" applyFill="1" applyAlignment="1">
      <alignment horizontal="right"/>
    </xf>
    <xf numFmtId="165" fontId="20" fillId="2" borderId="0" xfId="2" applyNumberFormat="1" applyFont="1" applyFill="1" applyAlignment="1">
      <alignment horizontal="right" wrapText="1"/>
    </xf>
    <xf numFmtId="0" fontId="17" fillId="2" borderId="3" xfId="0" applyFont="1" applyFill="1" applyBorder="1" applyAlignment="1">
      <alignment horizontal="right"/>
    </xf>
    <xf numFmtId="0" fontId="18" fillId="2" borderId="0" xfId="0" applyFont="1" applyFill="1" applyAlignment="1">
      <alignment horizontal="right"/>
    </xf>
    <xf numFmtId="183" fontId="2" fillId="0" borderId="0" xfId="2" applyNumberFormat="1"/>
    <xf numFmtId="0" fontId="2" fillId="0" borderId="0" xfId="2" quotePrefix="1" applyAlignment="1">
      <alignment horizontal="left"/>
    </xf>
    <xf numFmtId="0" fontId="54" fillId="0" borderId="0" xfId="2" applyFont="1"/>
    <xf numFmtId="7" fontId="2" fillId="0" borderId="0" xfId="2" applyNumberFormat="1"/>
    <xf numFmtId="184" fontId="0" fillId="0" borderId="0" xfId="7" applyNumberFormat="1" applyFont="1"/>
    <xf numFmtId="178" fontId="2" fillId="0" borderId="0" xfId="2" applyNumberFormat="1"/>
    <xf numFmtId="178" fontId="2" fillId="8" borderId="0" xfId="7" applyNumberFormat="1" applyFont="1" applyFill="1"/>
    <xf numFmtId="44" fontId="2" fillId="0" borderId="0" xfId="2" applyNumberFormat="1"/>
    <xf numFmtId="44" fontId="2" fillId="8" borderId="0" xfId="9" applyFont="1" applyFill="1"/>
    <xf numFmtId="0" fontId="59" fillId="8" borderId="0" xfId="2" applyFont="1" applyFill="1" applyAlignment="1">
      <alignment horizontal="right"/>
    </xf>
    <xf numFmtId="0" fontId="54" fillId="0" borderId="0" xfId="2" applyFont="1" applyAlignment="1">
      <alignment horizontal="right"/>
    </xf>
    <xf numFmtId="0" fontId="49" fillId="0" borderId="0" xfId="2" applyFont="1"/>
    <xf numFmtId="181" fontId="2" fillId="0" borderId="0" xfId="2" applyNumberFormat="1"/>
    <xf numFmtId="10" fontId="2" fillId="9" borderId="0" xfId="2" applyNumberFormat="1" applyFill="1"/>
    <xf numFmtId="10" fontId="2" fillId="0" borderId="0" xfId="2" applyNumberFormat="1"/>
    <xf numFmtId="10" fontId="2" fillId="0" borderId="36" xfId="2" applyNumberFormat="1" applyBorder="1"/>
    <xf numFmtId="10" fontId="2" fillId="0" borderId="37" xfId="2" applyNumberFormat="1" applyBorder="1"/>
    <xf numFmtId="10" fontId="2" fillId="9" borderId="38" xfId="2" applyNumberFormat="1" applyFill="1" applyBorder="1"/>
    <xf numFmtId="183" fontId="2" fillId="9" borderId="0" xfId="2" applyNumberFormat="1" applyFill="1"/>
    <xf numFmtId="0" fontId="61" fillId="0" borderId="0" xfId="2" applyFont="1" applyAlignment="1">
      <alignment horizontal="right"/>
    </xf>
    <xf numFmtId="0" fontId="62" fillId="0" borderId="0" xfId="2" applyFont="1"/>
    <xf numFmtId="0" fontId="63" fillId="0" borderId="0" xfId="2" applyFont="1" applyAlignment="1">
      <alignment horizontal="right"/>
    </xf>
    <xf numFmtId="188" fontId="2" fillId="0" borderId="0" xfId="2" applyNumberFormat="1"/>
    <xf numFmtId="3" fontId="2" fillId="9" borderId="0" xfId="2" applyNumberFormat="1" applyFill="1"/>
    <xf numFmtId="183" fontId="2" fillId="0" borderId="0" xfId="2" applyNumberFormat="1" applyAlignment="1">
      <alignment horizontal="center"/>
    </xf>
    <xf numFmtId="183" fontId="2" fillId="0" borderId="39" xfId="2" applyNumberFormat="1" applyBorder="1"/>
    <xf numFmtId="0" fontId="2" fillId="0" borderId="40" xfId="2" applyBorder="1"/>
    <xf numFmtId="188" fontId="2" fillId="0" borderId="41" xfId="2" applyNumberFormat="1" applyBorder="1"/>
    <xf numFmtId="0" fontId="2" fillId="0" borderId="42" xfId="2" applyBorder="1"/>
    <xf numFmtId="0" fontId="2" fillId="9" borderId="41" xfId="2" applyFill="1" applyBorder="1"/>
    <xf numFmtId="0" fontId="2" fillId="0" borderId="41" xfId="2" applyBorder="1"/>
    <xf numFmtId="183" fontId="2" fillId="9" borderId="41" xfId="2" applyNumberFormat="1" applyFill="1" applyBorder="1"/>
    <xf numFmtId="0" fontId="2" fillId="0" borderId="43" xfId="2" applyBorder="1"/>
    <xf numFmtId="0" fontId="54" fillId="0" borderId="44" xfId="2" applyFont="1" applyBorder="1"/>
    <xf numFmtId="178" fontId="0" fillId="0" borderId="0" xfId="7" applyNumberFormat="1" applyFont="1" applyAlignment="1">
      <alignment horizontal="center"/>
    </xf>
    <xf numFmtId="0" fontId="60" fillId="0" borderId="0" xfId="2" applyFont="1"/>
    <xf numFmtId="178" fontId="2" fillId="8" borderId="0" xfId="2" applyNumberFormat="1" applyFill="1"/>
    <xf numFmtId="183" fontId="2" fillId="8" borderId="0" xfId="2" applyNumberFormat="1" applyFill="1"/>
    <xf numFmtId="10" fontId="54" fillId="0" borderId="0" xfId="2" applyNumberFormat="1" applyFont="1" applyAlignment="1">
      <alignment horizontal="right"/>
    </xf>
    <xf numFmtId="168" fontId="2" fillId="8" borderId="0" xfId="7" applyNumberFormat="1" applyFont="1" applyFill="1"/>
    <xf numFmtId="0" fontId="2" fillId="9" borderId="0" xfId="2" applyFill="1" applyAlignment="1">
      <alignment horizontal="right"/>
    </xf>
    <xf numFmtId="8" fontId="19" fillId="0" borderId="45" xfId="2" applyNumberFormat="1" applyFont="1" applyBorder="1" applyAlignment="1">
      <alignment horizontal="right" wrapText="1"/>
    </xf>
    <xf numFmtId="8" fontId="19" fillId="8" borderId="45" xfId="2" applyNumberFormat="1" applyFont="1" applyFill="1" applyBorder="1" applyAlignment="1">
      <alignment horizontal="right" wrapText="1"/>
    </xf>
    <xf numFmtId="177" fontId="0" fillId="0" borderId="0" xfId="8" applyNumberFormat="1" applyFont="1"/>
    <xf numFmtId="189" fontId="2" fillId="8" borderId="0" xfId="2" applyNumberFormat="1" applyFill="1" applyAlignment="1">
      <alignment horizontal="right" wrapText="1"/>
    </xf>
    <xf numFmtId="8" fontId="2" fillId="0" borderId="0" xfId="2" applyNumberFormat="1"/>
    <xf numFmtId="10" fontId="2" fillId="9" borderId="0" xfId="2" applyNumberFormat="1" applyFill="1" applyAlignment="1">
      <alignment horizontal="right"/>
    </xf>
    <xf numFmtId="0" fontId="2" fillId="9" borderId="0" xfId="2" applyFill="1"/>
    <xf numFmtId="0" fontId="64" fillId="0" borderId="0" xfId="2" applyFont="1"/>
    <xf numFmtId="0" fontId="17" fillId="2" borderId="0" xfId="0" applyFont="1" applyFill="1" applyAlignment="1">
      <alignment horizontal="right"/>
    </xf>
    <xf numFmtId="2" fontId="9" fillId="2" borderId="0" xfId="4" applyNumberFormat="1" applyFont="1" applyFill="1"/>
    <xf numFmtId="2" fontId="9" fillId="2" borderId="0" xfId="4" applyNumberFormat="1" applyFont="1" applyFill="1" applyAlignment="1">
      <alignment wrapText="1"/>
    </xf>
    <xf numFmtId="182" fontId="9" fillId="2" borderId="0" xfId="0" applyNumberFormat="1" applyFont="1" applyFill="1"/>
    <xf numFmtId="0" fontId="68" fillId="0" borderId="0" xfId="2" applyFont="1"/>
    <xf numFmtId="0" fontId="69" fillId="0" borderId="0" xfId="2" applyFont="1"/>
    <xf numFmtId="14" fontId="69" fillId="0" borderId="0" xfId="2" applyNumberFormat="1" applyFont="1"/>
    <xf numFmtId="2" fontId="69" fillId="0" borderId="0" xfId="2" applyNumberFormat="1" applyFont="1"/>
    <xf numFmtId="0" fontId="70" fillId="0" borderId="0" xfId="2" applyFont="1"/>
    <xf numFmtId="0" fontId="69" fillId="9" borderId="0" xfId="2" applyFont="1" applyFill="1"/>
    <xf numFmtId="0" fontId="71" fillId="0" borderId="0" xfId="2" applyFont="1" applyAlignment="1">
      <alignment horizontal="centerContinuous"/>
    </xf>
    <xf numFmtId="0" fontId="69" fillId="0" borderId="0" xfId="2" applyFont="1" applyAlignment="1">
      <alignment horizontal="centerContinuous"/>
    </xf>
    <xf numFmtId="10" fontId="69" fillId="9" borderId="0" xfId="2" applyNumberFormat="1" applyFont="1" applyFill="1" applyAlignment="1">
      <alignment horizontal="right"/>
    </xf>
    <xf numFmtId="187" fontId="72" fillId="0" borderId="0" xfId="2" applyNumberFormat="1" applyFont="1"/>
    <xf numFmtId="0" fontId="69" fillId="0" borderId="30" xfId="2" applyFont="1" applyBorder="1"/>
    <xf numFmtId="183" fontId="69" fillId="8" borderId="0" xfId="2" applyNumberFormat="1" applyFont="1" applyFill="1"/>
    <xf numFmtId="189" fontId="69" fillId="8" borderId="0" xfId="2" applyNumberFormat="1" applyFont="1" applyFill="1" applyAlignment="1">
      <alignment horizontal="right" wrapText="1"/>
    </xf>
    <xf numFmtId="0" fontId="75" fillId="0" borderId="0" xfId="2" applyFont="1" applyAlignment="1">
      <alignment horizontal="centerContinuous"/>
    </xf>
    <xf numFmtId="0" fontId="76" fillId="0" borderId="0" xfId="2" applyFont="1" applyAlignment="1">
      <alignment horizontal="right"/>
    </xf>
    <xf numFmtId="0" fontId="77" fillId="0" borderId="0" xfId="2" applyFont="1" applyAlignment="1">
      <alignment horizontal="right"/>
    </xf>
    <xf numFmtId="10" fontId="78" fillId="0" borderId="0" xfId="2" applyNumberFormat="1" applyFont="1" applyAlignment="1">
      <alignment horizontal="right"/>
    </xf>
    <xf numFmtId="10" fontId="75" fillId="8" borderId="0" xfId="2" applyNumberFormat="1" applyFont="1" applyFill="1"/>
    <xf numFmtId="10" fontId="79" fillId="0" borderId="0" xfId="2" applyNumberFormat="1" applyFont="1"/>
    <xf numFmtId="168" fontId="9" fillId="0" borderId="0" xfId="7" applyNumberFormat="1" applyFont="1"/>
    <xf numFmtId="0" fontId="69" fillId="0" borderId="0" xfId="2" quotePrefix="1" applyFont="1" applyAlignment="1">
      <alignment horizontal="left"/>
    </xf>
    <xf numFmtId="0" fontId="69" fillId="0" borderId="33" xfId="2" applyFont="1" applyBorder="1"/>
    <xf numFmtId="168" fontId="9" fillId="0" borderId="33" xfId="7" applyNumberFormat="1" applyFont="1" applyBorder="1"/>
    <xf numFmtId="171" fontId="69" fillId="0" borderId="33" xfId="2" applyNumberFormat="1" applyFont="1" applyBorder="1"/>
    <xf numFmtId="0" fontId="69" fillId="0" borderId="34" xfId="2" applyFont="1" applyBorder="1"/>
    <xf numFmtId="0" fontId="69" fillId="0" borderId="0" xfId="2" quotePrefix="1" applyFont="1"/>
    <xf numFmtId="0" fontId="69" fillId="0" borderId="31" xfId="2" applyFont="1" applyBorder="1"/>
    <xf numFmtId="183" fontId="69" fillId="0" borderId="31" xfId="2" applyNumberFormat="1" applyFont="1" applyBorder="1"/>
    <xf numFmtId="0" fontId="69" fillId="0" borderId="32" xfId="2" applyFont="1" applyBorder="1"/>
    <xf numFmtId="186" fontId="69" fillId="0" borderId="31" xfId="2" applyNumberFormat="1" applyFont="1" applyBorder="1"/>
    <xf numFmtId="171" fontId="69" fillId="0" borderId="31" xfId="2" applyNumberFormat="1" applyFont="1" applyBorder="1"/>
    <xf numFmtId="2" fontId="69" fillId="0" borderId="31" xfId="2" applyNumberFormat="1" applyFont="1" applyBorder="1"/>
    <xf numFmtId="10" fontId="69" fillId="9" borderId="0" xfId="2" applyNumberFormat="1" applyFont="1" applyFill="1"/>
    <xf numFmtId="0" fontId="74" fillId="0" borderId="0" xfId="2" applyFont="1"/>
    <xf numFmtId="10" fontId="69" fillId="0" borderId="31" xfId="2" applyNumberFormat="1" applyFont="1" applyBorder="1"/>
    <xf numFmtId="9" fontId="9" fillId="0" borderId="31" xfId="8" applyFont="1" applyBorder="1"/>
    <xf numFmtId="183" fontId="69" fillId="0" borderId="0" xfId="2" applyNumberFormat="1" applyFont="1"/>
    <xf numFmtId="0" fontId="79" fillId="0" borderId="0" xfId="2" applyFont="1"/>
    <xf numFmtId="44" fontId="9" fillId="0" borderId="0" xfId="9" applyFont="1"/>
    <xf numFmtId="0" fontId="80" fillId="0" borderId="0" xfId="2" applyFont="1" applyAlignment="1">
      <alignment horizontal="center"/>
    </xf>
    <xf numFmtId="0" fontId="69" fillId="9" borderId="0" xfId="2" applyFont="1" applyFill="1" applyAlignment="1">
      <alignment horizontal="right"/>
    </xf>
    <xf numFmtId="7" fontId="69" fillId="0" borderId="0" xfId="2" applyNumberFormat="1" applyFont="1"/>
    <xf numFmtId="169" fontId="81" fillId="0" borderId="0" xfId="8" applyNumberFormat="1" applyFont="1"/>
    <xf numFmtId="168" fontId="69" fillId="8" borderId="0" xfId="7" applyNumberFormat="1" applyFont="1" applyFill="1"/>
    <xf numFmtId="169" fontId="82" fillId="0" borderId="0" xfId="8" applyNumberFormat="1" applyFont="1"/>
    <xf numFmtId="190" fontId="69" fillId="0" borderId="0" xfId="2" applyNumberFormat="1" applyFont="1"/>
    <xf numFmtId="185" fontId="69" fillId="0" borderId="0" xfId="2" applyNumberFormat="1" applyFont="1"/>
    <xf numFmtId="184" fontId="9" fillId="0" borderId="0" xfId="7" applyNumberFormat="1" applyFont="1"/>
    <xf numFmtId="9" fontId="81" fillId="0" borderId="0" xfId="8" applyFont="1"/>
    <xf numFmtId="7" fontId="69" fillId="0" borderId="0" xfId="2" applyNumberFormat="1" applyFont="1" applyAlignment="1">
      <alignment horizontal="right"/>
    </xf>
    <xf numFmtId="9" fontId="74" fillId="0" borderId="0" xfId="8" applyFont="1" applyAlignment="1">
      <alignment horizontal="right"/>
    </xf>
    <xf numFmtId="10" fontId="69" fillId="0" borderId="0" xfId="2" applyNumberFormat="1" applyFont="1"/>
    <xf numFmtId="10" fontId="79" fillId="0" borderId="0" xfId="2" applyNumberFormat="1" applyFont="1" applyAlignment="1">
      <alignment horizontal="right"/>
    </xf>
    <xf numFmtId="169" fontId="9" fillId="0" borderId="0" xfId="8" applyNumberFormat="1" applyFont="1"/>
    <xf numFmtId="177" fontId="81" fillId="0" borderId="0" xfId="8" applyNumberFormat="1" applyFont="1"/>
    <xf numFmtId="0" fontId="69" fillId="8" borderId="0" xfId="2" applyFont="1" applyFill="1" applyAlignment="1">
      <alignment horizontal="right"/>
    </xf>
    <xf numFmtId="169" fontId="69" fillId="8" borderId="0" xfId="2" applyNumberFormat="1" applyFont="1" applyFill="1" applyAlignment="1">
      <alignment horizontal="right"/>
    </xf>
    <xf numFmtId="0" fontId="79" fillId="10" borderId="14" xfId="2" applyFont="1" applyFill="1" applyBorder="1"/>
    <xf numFmtId="0" fontId="69" fillId="10" borderId="15" xfId="2" applyFont="1" applyFill="1" applyBorder="1"/>
    <xf numFmtId="0" fontId="69" fillId="10" borderId="16" xfId="2" applyFont="1" applyFill="1" applyBorder="1"/>
    <xf numFmtId="181" fontId="69" fillId="0" borderId="0" xfId="2" applyNumberFormat="1" applyFont="1"/>
    <xf numFmtId="0" fontId="69" fillId="10" borderId="29" xfId="2" applyFont="1" applyFill="1" applyBorder="1"/>
    <xf numFmtId="10" fontId="69" fillId="11" borderId="0" xfId="2" applyNumberFormat="1" applyFont="1" applyFill="1"/>
    <xf numFmtId="0" fontId="74" fillId="11" borderId="17" xfId="2" applyFont="1" applyFill="1" applyBorder="1" applyAlignment="1">
      <alignment horizontal="center"/>
    </xf>
    <xf numFmtId="1" fontId="69" fillId="0" borderId="0" xfId="2" applyNumberFormat="1" applyFont="1"/>
    <xf numFmtId="0" fontId="69" fillId="10" borderId="18" xfId="2" applyFont="1" applyFill="1" applyBorder="1"/>
    <xf numFmtId="10" fontId="69" fillId="10" borderId="19" xfId="2" applyNumberFormat="1" applyFont="1" applyFill="1" applyBorder="1"/>
    <xf numFmtId="0" fontId="69" fillId="10" borderId="20" xfId="2" applyFont="1" applyFill="1" applyBorder="1"/>
    <xf numFmtId="178" fontId="69" fillId="8" borderId="0" xfId="7" applyNumberFormat="1" applyFont="1" applyFill="1"/>
    <xf numFmtId="0" fontId="69" fillId="10" borderId="28" xfId="2" applyFont="1" applyFill="1" applyBorder="1"/>
    <xf numFmtId="10" fontId="69" fillId="10" borderId="0" xfId="2" applyNumberFormat="1" applyFont="1" applyFill="1" applyAlignment="1">
      <alignment horizontal="right"/>
    </xf>
    <xf numFmtId="0" fontId="69" fillId="10" borderId="27" xfId="2" applyFont="1" applyFill="1" applyBorder="1"/>
    <xf numFmtId="178" fontId="69" fillId="8" borderId="0" xfId="2" applyNumberFormat="1" applyFont="1" applyFill="1"/>
    <xf numFmtId="183" fontId="9" fillId="10" borderId="0" xfId="7" quotePrefix="1" applyNumberFormat="1" applyFont="1" applyFill="1" applyBorder="1" applyAlignment="1">
      <alignment horizontal="left"/>
    </xf>
    <xf numFmtId="0" fontId="69" fillId="12" borderId="0" xfId="2" applyFont="1" applyFill="1"/>
    <xf numFmtId="10" fontId="69" fillId="12" borderId="0" xfId="2" applyNumberFormat="1" applyFont="1" applyFill="1"/>
    <xf numFmtId="0" fontId="74" fillId="10" borderId="28" xfId="2" applyFont="1" applyFill="1" applyBorder="1"/>
    <xf numFmtId="10" fontId="74" fillId="10" borderId="0" xfId="2" applyNumberFormat="1" applyFont="1" applyFill="1" applyAlignment="1">
      <alignment horizontal="left"/>
    </xf>
    <xf numFmtId="183" fontId="69" fillId="9" borderId="0" xfId="2" applyNumberFormat="1" applyFont="1" applyFill="1"/>
    <xf numFmtId="0" fontId="69" fillId="10" borderId="0" xfId="2" applyFont="1" applyFill="1" applyAlignment="1">
      <alignment horizontal="left"/>
    </xf>
    <xf numFmtId="0" fontId="69" fillId="10" borderId="26" xfId="2" applyFont="1" applyFill="1" applyBorder="1"/>
    <xf numFmtId="1" fontId="69" fillId="10" borderId="25" xfId="2" applyNumberFormat="1" applyFont="1" applyFill="1" applyBorder="1"/>
    <xf numFmtId="0" fontId="69" fillId="10" borderId="24" xfId="2" applyFont="1" applyFill="1" applyBorder="1"/>
    <xf numFmtId="188" fontId="69" fillId="0" borderId="0" xfId="2" applyNumberFormat="1" applyFont="1"/>
    <xf numFmtId="183" fontId="69" fillId="0" borderId="0" xfId="2" applyNumberFormat="1" applyFont="1" applyAlignment="1">
      <alignment horizontal="center"/>
    </xf>
    <xf numFmtId="178" fontId="9" fillId="0" borderId="0" xfId="7" applyNumberFormat="1" applyFont="1" applyAlignment="1">
      <alignment horizontal="center"/>
    </xf>
    <xf numFmtId="0" fontId="69" fillId="0" borderId="23" xfId="2" applyFont="1" applyBorder="1"/>
    <xf numFmtId="0" fontId="83" fillId="0" borderId="0" xfId="2" applyFont="1"/>
    <xf numFmtId="10" fontId="9" fillId="0" borderId="0" xfId="8" applyNumberFormat="1" applyFont="1" applyFill="1"/>
    <xf numFmtId="1" fontId="9" fillId="9" borderId="0" xfId="8" applyNumberFormat="1" applyFont="1" applyFill="1"/>
    <xf numFmtId="3" fontId="69" fillId="9" borderId="0" xfId="2" applyNumberFormat="1" applyFont="1" applyFill="1"/>
    <xf numFmtId="0" fontId="84" fillId="0" borderId="0" xfId="2" applyFont="1" applyAlignment="1">
      <alignment horizontal="right"/>
    </xf>
    <xf numFmtId="0" fontId="85" fillId="0" borderId="0" xfId="2" applyFont="1" applyAlignment="1">
      <alignment horizontal="right"/>
    </xf>
    <xf numFmtId="10" fontId="69" fillId="9" borderId="38" xfId="2" applyNumberFormat="1" applyFont="1" applyFill="1" applyBorder="1"/>
    <xf numFmtId="10" fontId="69" fillId="0" borderId="37" xfId="2" applyNumberFormat="1" applyFont="1" applyBorder="1"/>
    <xf numFmtId="10" fontId="69" fillId="0" borderId="36" xfId="2" applyNumberFormat="1" applyFont="1" applyBorder="1"/>
    <xf numFmtId="178" fontId="9" fillId="0" borderId="0" xfId="7" applyNumberFormat="1" applyFont="1"/>
    <xf numFmtId="0" fontId="86" fillId="0" borderId="0" xfId="2" applyFont="1"/>
    <xf numFmtId="0" fontId="79" fillId="0" borderId="0" xfId="2" applyFont="1" applyAlignment="1">
      <alignment horizontal="right"/>
    </xf>
    <xf numFmtId="0" fontId="75" fillId="8" borderId="0" xfId="2" applyFont="1" applyFill="1" applyAlignment="1">
      <alignment horizontal="right"/>
    </xf>
    <xf numFmtId="44" fontId="69" fillId="8" borderId="0" xfId="9" applyFont="1" applyFill="1"/>
    <xf numFmtId="178" fontId="69" fillId="0" borderId="0" xfId="7" applyNumberFormat="1" applyFont="1" applyFill="1"/>
    <xf numFmtId="178" fontId="69" fillId="0" borderId="0" xfId="2" applyNumberFormat="1" applyFont="1"/>
    <xf numFmtId="44" fontId="69" fillId="0" borderId="0" xfId="2" applyNumberFormat="1" applyFont="1"/>
    <xf numFmtId="9" fontId="9" fillId="0" borderId="0" xfId="8" applyFont="1"/>
    <xf numFmtId="0" fontId="87" fillId="0" borderId="0" xfId="2" applyFont="1" applyAlignment="1">
      <alignment horizontal="centerContinuous"/>
    </xf>
    <xf numFmtId="0" fontId="71" fillId="0" borderId="0" xfId="2" applyFont="1" applyAlignment="1">
      <alignment horizontal="center"/>
    </xf>
    <xf numFmtId="178" fontId="20" fillId="2" borderId="0" xfId="1" applyNumberFormat="1" applyFont="1" applyFill="1" applyBorder="1"/>
    <xf numFmtId="2" fontId="18" fillId="2" borderId="0" xfId="0" applyNumberFormat="1" applyFont="1" applyFill="1"/>
    <xf numFmtId="179" fontId="26" fillId="2" borderId="10" xfId="2" applyNumberFormat="1" applyFont="1" applyFill="1" applyBorder="1" applyAlignment="1">
      <alignment horizontal="center" vertical="top" wrapText="1"/>
    </xf>
    <xf numFmtId="2" fontId="22" fillId="2" borderId="46" xfId="2" applyNumberFormat="1" applyFont="1" applyFill="1" applyBorder="1" applyAlignment="1">
      <alignment horizontal="center" vertical="top"/>
    </xf>
    <xf numFmtId="9" fontId="22" fillId="2" borderId="0" xfId="2" applyNumberFormat="1" applyFont="1" applyFill="1" applyAlignment="1">
      <alignment horizontal="center" vertical="top"/>
    </xf>
    <xf numFmtId="0" fontId="9" fillId="2" borderId="0" xfId="0" applyFont="1" applyFill="1" applyAlignment="1">
      <alignment horizontal="right"/>
    </xf>
    <xf numFmtId="0" fontId="9" fillId="2" borderId="0" xfId="0" applyFont="1" applyFill="1" applyAlignment="1">
      <alignment horizontal="right" vertical="center"/>
    </xf>
    <xf numFmtId="8" fontId="20" fillId="2" borderId="0" xfId="0" applyNumberFormat="1" applyFont="1" applyFill="1"/>
    <xf numFmtId="14" fontId="18" fillId="2" borderId="3" xfId="0" applyNumberFormat="1" applyFont="1" applyFill="1" applyBorder="1"/>
    <xf numFmtId="14" fontId="20" fillId="2" borderId="0" xfId="0" applyNumberFormat="1" applyFont="1" applyFill="1"/>
    <xf numFmtId="0" fontId="9" fillId="2" borderId="4" xfId="0" applyFont="1" applyFill="1" applyBorder="1"/>
    <xf numFmtId="0" fontId="20" fillId="2" borderId="0" xfId="0" applyFont="1" applyFill="1" applyAlignment="1">
      <alignment horizontal="center" vertical="center"/>
    </xf>
    <xf numFmtId="0" fontId="17" fillId="3" borderId="3" xfId="0" applyFont="1" applyFill="1" applyBorder="1" applyAlignment="1">
      <alignment horizontal="right"/>
    </xf>
    <xf numFmtId="178" fontId="9" fillId="2" borderId="0" xfId="1" applyNumberFormat="1" applyFont="1" applyFill="1" applyAlignment="1">
      <alignment horizontal="right"/>
    </xf>
    <xf numFmtId="0" fontId="9" fillId="3" borderId="0" xfId="0" applyFont="1" applyFill="1" applyAlignment="1">
      <alignment horizontal="right"/>
    </xf>
    <xf numFmtId="9" fontId="9" fillId="2" borderId="0" xfId="4" applyFont="1" applyFill="1" applyAlignment="1">
      <alignment horizontal="right"/>
    </xf>
    <xf numFmtId="9" fontId="9" fillId="3" borderId="0" xfId="0" applyNumberFormat="1" applyFont="1" applyFill="1" applyAlignment="1">
      <alignment horizontal="right"/>
    </xf>
    <xf numFmtId="2" fontId="9" fillId="2" borderId="0" xfId="0" applyNumberFormat="1" applyFont="1" applyFill="1" applyAlignment="1">
      <alignment horizontal="right"/>
    </xf>
    <xf numFmtId="2" fontId="9" fillId="3" borderId="0" xfId="0" applyNumberFormat="1" applyFont="1" applyFill="1" applyAlignment="1">
      <alignment horizontal="right"/>
    </xf>
    <xf numFmtId="43" fontId="9" fillId="2" borderId="0" xfId="0" applyNumberFormat="1" applyFont="1" applyFill="1" applyAlignment="1">
      <alignment horizontal="right"/>
    </xf>
    <xf numFmtId="9" fontId="9" fillId="3" borderId="0" xfId="4" applyFont="1" applyFill="1" applyAlignment="1">
      <alignment horizontal="right"/>
    </xf>
    <xf numFmtId="43" fontId="9" fillId="3" borderId="0" xfId="0" applyNumberFormat="1" applyFont="1" applyFill="1" applyAlignment="1">
      <alignment horizontal="right"/>
    </xf>
    <xf numFmtId="9" fontId="9" fillId="3" borderId="0" xfId="4" applyFont="1" applyFill="1" applyBorder="1" applyAlignment="1">
      <alignment horizontal="right"/>
    </xf>
    <xf numFmtId="178" fontId="9" fillId="2" borderId="6" xfId="0" applyNumberFormat="1" applyFont="1" applyFill="1" applyBorder="1" applyAlignment="1">
      <alignment horizontal="right"/>
    </xf>
    <xf numFmtId="9" fontId="9" fillId="3" borderId="6" xfId="4" applyFont="1" applyFill="1" applyBorder="1" applyAlignment="1">
      <alignment horizontal="right"/>
    </xf>
    <xf numFmtId="10" fontId="9" fillId="2" borderId="0" xfId="0" applyNumberFormat="1" applyFont="1" applyFill="1" applyAlignment="1">
      <alignment horizontal="right"/>
    </xf>
    <xf numFmtId="10" fontId="9" fillId="2" borderId="0" xfId="4" applyNumberFormat="1" applyFont="1" applyFill="1" applyAlignment="1">
      <alignment horizontal="right"/>
    </xf>
    <xf numFmtId="169" fontId="20" fillId="2" borderId="0" xfId="4" applyNumberFormat="1" applyFont="1" applyFill="1" applyAlignment="1">
      <alignment horizontal="right"/>
    </xf>
    <xf numFmtId="169" fontId="9" fillId="2" borderId="0" xfId="0" applyNumberFormat="1" applyFont="1" applyFill="1" applyAlignment="1">
      <alignment horizontal="right"/>
    </xf>
    <xf numFmtId="169" fontId="9" fillId="2" borderId="0" xfId="0" applyNumberFormat="1" applyFont="1" applyFill="1"/>
    <xf numFmtId="2" fontId="9" fillId="2" borderId="0" xfId="0" applyNumberFormat="1" applyFont="1" applyFill="1" applyAlignment="1">
      <alignment horizontal="center"/>
    </xf>
    <xf numFmtId="9" fontId="9" fillId="2" borderId="0" xfId="0" applyNumberFormat="1" applyFont="1" applyFill="1" applyAlignment="1">
      <alignment horizontal="right"/>
    </xf>
    <xf numFmtId="0" fontId="35" fillId="4" borderId="0" xfId="0" applyFont="1" applyFill="1" applyAlignment="1">
      <alignment horizontal="center" vertical="center"/>
    </xf>
    <xf numFmtId="0" fontId="18" fillId="4" borderId="3" xfId="0" applyFont="1" applyFill="1" applyBorder="1" applyAlignment="1">
      <alignment horizontal="center" vertical="center"/>
    </xf>
    <xf numFmtId="0" fontId="18" fillId="13" borderId="3" xfId="0" applyFont="1" applyFill="1" applyBorder="1" applyAlignment="1">
      <alignment horizontal="center" vertical="center"/>
    </xf>
    <xf numFmtId="0" fontId="20" fillId="4" borderId="0" xfId="0" applyFont="1" applyFill="1" applyAlignment="1">
      <alignment horizontal="center" vertical="center"/>
    </xf>
    <xf numFmtId="2" fontId="20" fillId="4" borderId="0" xfId="0" applyNumberFormat="1" applyFont="1" applyFill="1" applyAlignment="1">
      <alignment horizontal="center" vertical="center"/>
    </xf>
    <xf numFmtId="9" fontId="20" fillId="4" borderId="0" xfId="4" applyFont="1" applyFill="1" applyAlignment="1">
      <alignment horizontal="center" vertical="center"/>
    </xf>
    <xf numFmtId="2" fontId="18" fillId="4" borderId="4" xfId="0" applyNumberFormat="1" applyFont="1" applyFill="1" applyBorder="1" applyAlignment="1">
      <alignment horizontal="center" vertical="center"/>
    </xf>
    <xf numFmtId="9" fontId="20" fillId="4" borderId="4" xfId="0" applyNumberFormat="1" applyFont="1" applyFill="1" applyBorder="1" applyAlignment="1">
      <alignment horizontal="center" vertical="center"/>
    </xf>
    <xf numFmtId="9" fontId="20" fillId="4" borderId="0" xfId="0" applyNumberFormat="1" applyFont="1" applyFill="1" applyAlignment="1">
      <alignment horizontal="center" vertical="center"/>
    </xf>
    <xf numFmtId="0" fontId="20" fillId="4" borderId="4" xfId="0" applyFont="1" applyFill="1" applyBorder="1" applyAlignment="1">
      <alignment horizontal="center" vertical="center"/>
    </xf>
    <xf numFmtId="0" fontId="9" fillId="2" borderId="0" xfId="0" applyFont="1" applyFill="1" applyAlignment="1">
      <alignment horizontal="center" vertical="center"/>
    </xf>
    <xf numFmtId="2" fontId="9" fillId="2" borderId="0" xfId="0" applyNumberFormat="1" applyFont="1" applyFill="1" applyAlignment="1">
      <alignment horizontal="center" vertical="center"/>
    </xf>
    <xf numFmtId="0" fontId="18" fillId="4" borderId="0" xfId="0" applyFont="1" applyFill="1" applyAlignment="1">
      <alignment horizontal="center" vertical="center"/>
    </xf>
    <xf numFmtId="0" fontId="20" fillId="4" borderId="0" xfId="0" applyFont="1" applyFill="1" applyAlignment="1">
      <alignment horizontal="center" vertical="center" wrapText="1"/>
    </xf>
    <xf numFmtId="10" fontId="9" fillId="2" borderId="0" xfId="4" applyNumberFormat="1" applyFont="1" applyFill="1" applyAlignment="1">
      <alignment horizontal="center"/>
    </xf>
    <xf numFmtId="2" fontId="9" fillId="2" borderId="0" xfId="4" applyNumberFormat="1" applyFont="1" applyFill="1" applyAlignment="1">
      <alignment horizontal="center"/>
    </xf>
    <xf numFmtId="8" fontId="19" fillId="8" borderId="45" xfId="0" applyNumberFormat="1" applyFont="1" applyFill="1" applyBorder="1" applyAlignment="1">
      <alignment horizontal="right" wrapText="1"/>
    </xf>
    <xf numFmtId="10" fontId="69" fillId="8" borderId="0" xfId="8" applyNumberFormat="1" applyFont="1" applyFill="1"/>
    <xf numFmtId="177" fontId="69" fillId="0" borderId="0" xfId="2" applyNumberFormat="1" applyFont="1"/>
    <xf numFmtId="43" fontId="69" fillId="0" borderId="31" xfId="1" applyFont="1" applyBorder="1"/>
    <xf numFmtId="43" fontId="69" fillId="0" borderId="0" xfId="2" applyNumberFormat="1" applyFont="1"/>
    <xf numFmtId="0" fontId="18" fillId="2" borderId="6" xfId="0" applyFont="1" applyFill="1" applyBorder="1"/>
    <xf numFmtId="169" fontId="22" fillId="2" borderId="0" xfId="4" applyNumberFormat="1" applyFont="1" applyFill="1" applyAlignment="1">
      <alignment horizontal="center" vertical="top"/>
    </xf>
    <xf numFmtId="9" fontId="69" fillId="0" borderId="0" xfId="2" applyNumberFormat="1" applyFont="1"/>
    <xf numFmtId="9" fontId="69" fillId="0" borderId="0" xfId="4" applyFont="1"/>
    <xf numFmtId="0" fontId="17" fillId="2" borderId="6" xfId="0" applyFont="1" applyFill="1" applyBorder="1" applyAlignment="1">
      <alignment horizontal="center"/>
    </xf>
    <xf numFmtId="0" fontId="30" fillId="2" borderId="3" xfId="0" applyFont="1" applyFill="1" applyBorder="1" applyAlignment="1">
      <alignment horizontal="left" wrapText="1"/>
    </xf>
    <xf numFmtId="0" fontId="30" fillId="2" borderId="0" xfId="0" applyFont="1" applyFill="1" applyAlignment="1">
      <alignment horizontal="left" wrapText="1"/>
    </xf>
    <xf numFmtId="0" fontId="17" fillId="2" borderId="0" xfId="0" applyFont="1" applyFill="1" applyAlignment="1">
      <alignment horizontal="center"/>
    </xf>
    <xf numFmtId="0" fontId="16" fillId="2" borderId="0" xfId="0" applyFont="1" applyFill="1" applyAlignment="1">
      <alignment horizontal="center"/>
    </xf>
    <xf numFmtId="0" fontId="18" fillId="4" borderId="0" xfId="0" applyFont="1" applyFill="1" applyAlignment="1">
      <alignment horizontal="center"/>
    </xf>
    <xf numFmtId="0" fontId="35" fillId="4" borderId="0" xfId="0" applyFont="1" applyFill="1" applyAlignment="1">
      <alignment horizontal="center"/>
    </xf>
    <xf numFmtId="0" fontId="20" fillId="4" borderId="6" xfId="0" applyFont="1" applyFill="1" applyBorder="1" applyAlignment="1">
      <alignment horizontal="center"/>
    </xf>
    <xf numFmtId="0" fontId="20" fillId="4" borderId="0" xfId="0" applyFont="1" applyFill="1" applyAlignment="1">
      <alignment horizontal="center"/>
    </xf>
    <xf numFmtId="0" fontId="48" fillId="4" borderId="0" xfId="0" applyFont="1" applyFill="1" applyAlignment="1">
      <alignment horizontal="left" vertical="top" wrapText="1"/>
    </xf>
    <xf numFmtId="0" fontId="18" fillId="4" borderId="6" xfId="0" applyFont="1" applyFill="1" applyBorder="1" applyAlignment="1">
      <alignment horizontal="center"/>
    </xf>
    <xf numFmtId="0" fontId="48" fillId="4" borderId="3" xfId="0" applyFont="1" applyFill="1" applyBorder="1" applyAlignment="1">
      <alignment horizontal="left" vertical="top" wrapText="1"/>
    </xf>
    <xf numFmtId="0" fontId="21" fillId="2" borderId="6" xfId="2" applyFont="1" applyFill="1" applyBorder="1" applyAlignment="1">
      <alignment horizontal="center"/>
    </xf>
    <xf numFmtId="0" fontId="18" fillId="2" borderId="6" xfId="2" applyFont="1" applyFill="1" applyBorder="1" applyAlignment="1">
      <alignment horizontal="center" wrapText="1"/>
    </xf>
    <xf numFmtId="0" fontId="19" fillId="2" borderId="0" xfId="2" applyFont="1" applyFill="1" applyAlignment="1">
      <alignment horizontal="center"/>
    </xf>
    <xf numFmtId="0" fontId="18" fillId="3" borderId="6" xfId="2" applyFont="1" applyFill="1" applyBorder="1" applyAlignment="1">
      <alignment horizontal="center" wrapText="1"/>
    </xf>
    <xf numFmtId="0" fontId="73" fillId="0" borderId="35" xfId="2" applyFont="1" applyBorder="1" applyAlignment="1">
      <alignment horizontal="center"/>
    </xf>
    <xf numFmtId="0" fontId="73" fillId="0" borderId="0" xfId="2" applyFont="1" applyAlignment="1">
      <alignment horizontal="center"/>
    </xf>
    <xf numFmtId="0" fontId="74" fillId="0" borderId="35" xfId="2" applyFont="1" applyBorder="1" applyAlignment="1">
      <alignment horizontal="center"/>
    </xf>
    <xf numFmtId="0" fontId="74" fillId="0" borderId="0" xfId="2" applyFont="1" applyAlignment="1">
      <alignment horizontal="center"/>
    </xf>
    <xf numFmtId="0" fontId="71" fillId="0" borderId="0" xfId="2" applyFont="1" applyAlignment="1">
      <alignment horizontal="center"/>
    </xf>
    <xf numFmtId="0" fontId="18" fillId="2" borderId="6" xfId="0" applyFont="1" applyFill="1" applyBorder="1" applyAlignment="1">
      <alignment horizontal="center"/>
    </xf>
    <xf numFmtId="0" fontId="36" fillId="2" borderId="0" xfId="0" applyFont="1" applyFill="1" applyAlignment="1">
      <alignment horizontal="center"/>
    </xf>
    <xf numFmtId="0" fontId="9" fillId="2" borderId="0" xfId="0" applyFont="1" applyFill="1" applyAlignment="1">
      <alignment horizontal="center"/>
    </xf>
    <xf numFmtId="0" fontId="18" fillId="2" borderId="3" xfId="0" applyFont="1" applyFill="1" applyBorder="1" applyAlignment="1">
      <alignment horizontal="center"/>
    </xf>
    <xf numFmtId="0" fontId="18" fillId="2" borderId="0" xfId="0" applyFont="1" applyFill="1" applyAlignment="1">
      <alignment horizontal="center"/>
    </xf>
    <xf numFmtId="0" fontId="17" fillId="2" borderId="7" xfId="0" applyFont="1" applyFill="1" applyBorder="1" applyAlignment="1">
      <alignment horizontal="center"/>
    </xf>
    <xf numFmtId="0" fontId="9" fillId="2" borderId="0" xfId="0" applyFont="1" applyFill="1" applyAlignment="1">
      <alignment horizontal="right" vertical="center" wrapText="1"/>
    </xf>
    <xf numFmtId="0" fontId="53" fillId="0" borderId="0" xfId="2" applyFont="1" applyAlignment="1">
      <alignment horizontal="center"/>
    </xf>
    <xf numFmtId="0" fontId="9" fillId="2" borderId="0" xfId="0" applyFont="1" applyFill="1" applyAlignment="1">
      <alignment horizontal="left" vertical="top" wrapText="1"/>
    </xf>
    <xf numFmtId="0" fontId="46" fillId="2" borderId="6" xfId="2" applyFont="1" applyFill="1" applyBorder="1" applyAlignment="1">
      <alignment horizontal="center"/>
    </xf>
    <xf numFmtId="0" fontId="36" fillId="2" borderId="6" xfId="0" applyFont="1" applyFill="1" applyBorder="1" applyAlignment="1">
      <alignment horizontal="center"/>
    </xf>
    <xf numFmtId="0" fontId="36" fillId="2" borderId="6" xfId="2" applyFont="1" applyFill="1" applyBorder="1" applyAlignment="1">
      <alignment horizontal="center"/>
    </xf>
    <xf numFmtId="0" fontId="30" fillId="2" borderId="0" xfId="0" applyFont="1" applyFill="1" applyAlignment="1">
      <alignment horizontal="left" vertical="top" wrapText="1"/>
    </xf>
    <xf numFmtId="0" fontId="46" fillId="2" borderId="0" xfId="2" applyFont="1" applyFill="1" applyAlignment="1">
      <alignment horizontal="center"/>
    </xf>
    <xf numFmtId="0" fontId="39" fillId="2" borderId="0" xfId="2" applyFont="1" applyFill="1" applyAlignment="1">
      <alignment horizontal="right" wrapText="1"/>
    </xf>
    <xf numFmtId="0" fontId="39" fillId="2" borderId="0" xfId="2" applyFont="1" applyFill="1"/>
    <xf numFmtId="0" fontId="18" fillId="2" borderId="0" xfId="2" applyFont="1" applyFill="1" applyAlignment="1">
      <alignment horizontal="center" wrapText="1"/>
    </xf>
    <xf numFmtId="0" fontId="20" fillId="2" borderId="0" xfId="2" applyFont="1" applyFill="1" applyAlignment="1">
      <alignment horizontal="left" wrapText="1"/>
    </xf>
    <xf numFmtId="0" fontId="19" fillId="2" borderId="0" xfId="2" applyFont="1" applyFill="1"/>
    <xf numFmtId="0" fontId="18" fillId="2" borderId="1" xfId="2" applyFont="1" applyFill="1" applyBorder="1" applyAlignment="1">
      <alignment horizontal="center" wrapText="1"/>
    </xf>
    <xf numFmtId="0" fontId="22" fillId="2" borderId="0" xfId="2" applyFont="1" applyFill="1" applyAlignment="1">
      <alignment horizontal="right" wrapText="1"/>
    </xf>
    <xf numFmtId="0" fontId="22" fillId="2" borderId="0" xfId="2" applyFont="1" applyFill="1"/>
    <xf numFmtId="0" fontId="69" fillId="2" borderId="0" xfId="2" applyFont="1" applyFill="1"/>
    <xf numFmtId="10" fontId="9" fillId="9" borderId="0" xfId="0" applyNumberFormat="1" applyFont="1" applyFill="1"/>
  </cellXfs>
  <cellStyles count="10">
    <cellStyle name="Comma" xfId="1" builtinId="3"/>
    <cellStyle name="Comma 2" xfId="7" xr:uid="{BB78A9BA-B47D-8642-A8B4-FAE3E93A30D8}"/>
    <cellStyle name="Currency 2" xfId="9" xr:uid="{B281B6A4-DD34-114A-BCC8-44169EC2DECC}"/>
    <cellStyle name="Hyperlink" xfId="5" builtinId="8"/>
    <cellStyle name="Invisible" xfId="6" xr:uid="{FAB67386-9AA6-DC4C-A433-B0C233913CD6}"/>
    <cellStyle name="Normal" xfId="0" builtinId="0"/>
    <cellStyle name="Normal 2" xfId="2" xr:uid="{AFF4E5A6-AA88-2A4F-B60A-0CBEBB1CAF73}"/>
    <cellStyle name="Percent" xfId="4" builtinId="5"/>
    <cellStyle name="Percent 2" xfId="8" xr:uid="{2746F2C9-6015-AA41-976F-D67595717023}"/>
    <cellStyle name="Table (Normal)" xfId="3" xr:uid="{1625C5E8-8245-C645-A069-07EE28FBBD7C}"/>
  </cellStyles>
  <dxfs count="18">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b/>
        <i val="0"/>
        <color rgb="FF0070C0"/>
      </font>
    </dxf>
    <dxf>
      <font>
        <b/>
        <i val="0"/>
        <strike val="0"/>
        <color rgb="FFFF0000"/>
      </font>
    </dxf>
    <dxf>
      <font>
        <b/>
        <i val="0"/>
        <color rgb="FF0070C0"/>
      </font>
    </dxf>
    <dxf>
      <font>
        <b/>
        <i val="0"/>
        <strike val="0"/>
        <color rgb="FFFF0000"/>
      </font>
    </dxf>
    <dxf>
      <font>
        <b/>
        <i val="0"/>
        <color rgb="FF0070C0"/>
      </font>
    </dxf>
    <dxf>
      <font>
        <b/>
        <i val="0"/>
        <strike val="0"/>
        <color rgb="FFFF0000"/>
      </font>
    </dxf>
    <dxf>
      <font>
        <b/>
        <i val="0"/>
        <strike val="0"/>
        <color rgb="FFFF0000"/>
      </font>
    </dxf>
    <dxf>
      <font>
        <b/>
        <i val="0"/>
        <color rgb="FF0070C0"/>
      </font>
    </dxf>
    <dxf>
      <font>
        <b/>
        <i val="0"/>
        <color rgb="FF0070C0"/>
      </font>
    </dxf>
    <dxf>
      <font>
        <b/>
        <i val="0"/>
        <strike val="0"/>
        <color rgb="FFFF0000"/>
      </font>
    </dxf>
    <dxf>
      <font>
        <b/>
        <i val="0"/>
        <color rgb="FF0070C0"/>
      </font>
    </dxf>
    <dxf>
      <font>
        <b/>
        <i val="0"/>
        <strike val="0"/>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v>Our Offering</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'Combination Financing'!$F$60</c:f>
              <c:numCache>
                <c:formatCode>"$"#,##0.00</c:formatCode>
                <c:ptCount val="1"/>
                <c:pt idx="0">
                  <c:v>544.99850513656133</c:v>
                </c:pt>
              </c:numCache>
            </c:numRef>
          </c:val>
          <c:extLst>
            <c:ext xmlns:c16="http://schemas.microsoft.com/office/drawing/2014/chart" uri="{C3380CC4-5D6E-409C-BE32-E72D297353CC}">
              <c16:uniqueId val="{00000000-2577-604F-B4BB-6EA0580D3F51}"/>
            </c:ext>
          </c:extLst>
        </c:ser>
        <c:ser>
          <c:idx val="1"/>
          <c:order val="1"/>
          <c:tx>
            <c:v>ASML Current</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'Combination Financing'!$M$12</c:f>
              <c:numCache>
                <c:formatCode>"$"#,##0.00</c:formatCode>
                <c:ptCount val="1"/>
                <c:pt idx="0">
                  <c:v>652.04999999999995</c:v>
                </c:pt>
              </c:numCache>
            </c:numRef>
          </c:val>
          <c:extLst>
            <c:ext xmlns:c16="http://schemas.microsoft.com/office/drawing/2014/chart" uri="{C3380CC4-5D6E-409C-BE32-E72D297353CC}">
              <c16:uniqueId val="{00000001-2577-604F-B4BB-6EA0580D3F51}"/>
            </c:ext>
          </c:extLst>
        </c:ser>
        <c:ser>
          <c:idx val="2"/>
          <c:order val="2"/>
          <c:tx>
            <c:v>EPS Breakeven Price</c:v>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'Combination Financing'!$O$12</c:f>
              <c:numCache>
                <c:formatCode>"$"#,##0.00</c:formatCode>
                <c:ptCount val="1"/>
                <c:pt idx="0">
                  <c:v>536.30773784201995</c:v>
                </c:pt>
              </c:numCache>
            </c:numRef>
          </c:val>
          <c:extLst>
            <c:ext xmlns:c16="http://schemas.microsoft.com/office/drawing/2014/chart" uri="{C3380CC4-5D6E-409C-BE32-E72D297353CC}">
              <c16:uniqueId val="{00000002-2577-604F-B4BB-6EA0580D3F51}"/>
            </c:ext>
          </c:extLst>
        </c:ser>
        <c:ser>
          <c:idx val="3"/>
          <c:order val="3"/>
          <c:tx>
            <c:v>Base with Synergies</c:v>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'Combination Financing'!$R$12</c:f>
              <c:numCache>
                <c:formatCode>"$"#,##0.00</c:formatCode>
                <c:ptCount val="1"/>
                <c:pt idx="0">
                  <c:v>685.56112089377825</c:v>
                </c:pt>
              </c:numCache>
            </c:numRef>
          </c:val>
          <c:extLst>
            <c:ext xmlns:c16="http://schemas.microsoft.com/office/drawing/2014/chart" uri="{C3380CC4-5D6E-409C-BE32-E72D297353CC}">
              <c16:uniqueId val="{00000003-2577-604F-B4BB-6EA0580D3F51}"/>
            </c:ext>
          </c:extLst>
        </c:ser>
        <c:ser>
          <c:idx val="4"/>
          <c:order val="4"/>
          <c:tx>
            <c:v>Worst with Synergies</c:v>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'Combination Financing'!$V$12</c:f>
              <c:numCache>
                <c:formatCode>"$"#,##0.00</c:formatCode>
                <c:ptCount val="1"/>
                <c:pt idx="0">
                  <c:v>793.00371779592854</c:v>
                </c:pt>
              </c:numCache>
            </c:numRef>
          </c:val>
          <c:extLst>
            <c:ext xmlns:c16="http://schemas.microsoft.com/office/drawing/2014/chart" uri="{C3380CC4-5D6E-409C-BE32-E72D297353CC}">
              <c16:uniqueId val="{00000004-2577-604F-B4BB-6EA0580D3F51}"/>
            </c:ext>
          </c:extLst>
        </c:ser>
        <c:ser>
          <c:idx val="5"/>
          <c:order val="5"/>
          <c:tx>
            <c:v>Best with Synergies</c:v>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'Combination Financing'!$T$12</c:f>
              <c:numCache>
                <c:formatCode>"$"#,##0.00</c:formatCode>
                <c:ptCount val="1"/>
                <c:pt idx="0">
                  <c:v>557.22327479021237</c:v>
                </c:pt>
              </c:numCache>
            </c:numRef>
          </c:val>
          <c:extLst>
            <c:ext xmlns:c16="http://schemas.microsoft.com/office/drawing/2014/chart" uri="{C3380CC4-5D6E-409C-BE32-E72D297353CC}">
              <c16:uniqueId val="{00000005-2577-604F-B4BB-6EA0580D3F51}"/>
            </c:ext>
          </c:extLst>
        </c:ser>
        <c:dLbls>
          <c:dLblPos val="outEnd"/>
          <c:showLegendKey val="0"/>
          <c:showVal val="1"/>
          <c:showCatName val="0"/>
          <c:showSerName val="0"/>
          <c:showPercent val="0"/>
          <c:showBubbleSize val="0"/>
        </c:dLbls>
        <c:gapWidth val="125"/>
        <c:axId val="229957151"/>
        <c:axId val="229659039"/>
      </c:barChart>
      <c:catAx>
        <c:axId val="2299571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659039"/>
        <c:crosses val="autoZero"/>
        <c:auto val="1"/>
        <c:lblAlgn val="ctr"/>
        <c:lblOffset val="100"/>
        <c:noMultiLvlLbl val="0"/>
      </c:catAx>
      <c:valAx>
        <c:axId val="229659039"/>
        <c:scaling>
          <c:orientation val="minMax"/>
        </c:scaling>
        <c:delete val="0"/>
        <c:axPos val="b"/>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957151"/>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584200</xdr:colOff>
      <xdr:row>3</xdr:row>
      <xdr:rowOff>139700</xdr:rowOff>
    </xdr:from>
    <xdr:to>
      <xdr:col>12</xdr:col>
      <xdr:colOff>635000</xdr:colOff>
      <xdr:row>22</xdr:row>
      <xdr:rowOff>90750</xdr:rowOff>
    </xdr:to>
    <xdr:pic>
      <xdr:nvPicPr>
        <xdr:cNvPr id="2" name="Picture 1" descr="Image result for asml">
          <a:extLst>
            <a:ext uri="{FF2B5EF4-FFF2-40B4-BE49-F238E27FC236}">
              <a16:creationId xmlns:a16="http://schemas.microsoft.com/office/drawing/2014/main" id="{7A50F089-3E4F-BFD4-F9AE-968068BC39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56300" y="977900"/>
          <a:ext cx="5829300" cy="4027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469901</xdr:colOff>
      <xdr:row>3</xdr:row>
      <xdr:rowOff>139700</xdr:rowOff>
    </xdr:from>
    <xdr:to>
      <xdr:col>18</xdr:col>
      <xdr:colOff>761997</xdr:colOff>
      <xdr:row>22</xdr:row>
      <xdr:rowOff>88900</xdr:rowOff>
    </xdr:to>
    <xdr:pic>
      <xdr:nvPicPr>
        <xdr:cNvPr id="3" name="Picture 2" descr="Nvidia forecast beats expectations, but talks on $40 bln Arm deal take ...">
          <a:extLst>
            <a:ext uri="{FF2B5EF4-FFF2-40B4-BE49-F238E27FC236}">
              <a16:creationId xmlns:a16="http://schemas.microsoft.com/office/drawing/2014/main" id="{C4E5A9CF-50CE-5405-0CA5-86F3F918686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795001" y="977900"/>
          <a:ext cx="6070596" cy="402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95443</xdr:colOff>
      <xdr:row>97</xdr:row>
      <xdr:rowOff>11545</xdr:rowOff>
    </xdr:from>
    <xdr:to>
      <xdr:col>3</xdr:col>
      <xdr:colOff>1522462</xdr:colOff>
      <xdr:row>120</xdr:row>
      <xdr:rowOff>5388</xdr:rowOff>
    </xdr:to>
    <xdr:graphicFrame macro="">
      <xdr:nvGraphicFramePr>
        <xdr:cNvPr id="6" name="Chart 5">
          <a:extLst>
            <a:ext uri="{FF2B5EF4-FFF2-40B4-BE49-F238E27FC236}">
              <a16:creationId xmlns:a16="http://schemas.microsoft.com/office/drawing/2014/main" id="{A88DF15A-233C-81F2-188D-D4535D2DF8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chengyixu/Desktop/JHU/Spring%202/MA/Review/Combination_PresentationFormat_2023-03.xls" TargetMode="External"/><Relationship Id="rId1" Type="http://schemas.openxmlformats.org/officeDocument/2006/relationships/externalLinkPath" Target="/Users/chengyixu/Desktop/JHU/Spring%202/MA/Review/Combination_PresentationFormat_2023-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put Data"/>
      <sheetName val="MixedFinancing"/>
      <sheetName val="MixedFinancing (2)"/>
    </sheetNames>
    <sheetDataSet>
      <sheetData sheetId="0"/>
      <sheetData sheetId="1"/>
      <sheetData sheetId="2">
        <row r="9">
          <cell r="C9">
            <v>1000</v>
          </cell>
        </row>
        <row r="10">
          <cell r="H10">
            <v>13.750000000000002</v>
          </cell>
        </row>
        <row r="32">
          <cell r="B32">
            <v>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allstreetprep.com/knowledge/dupont-analysis-template/" TargetMode="External"/><Relationship Id="rId2" Type="http://schemas.openxmlformats.org/officeDocument/2006/relationships/hyperlink" Target="https://www-capitaliq-com.proxy1.library.jhu.edu/CIQDotNet/Financial/Ratios.aspx?CompanyId=388904" TargetMode="External"/><Relationship Id="rId1" Type="http://schemas.openxmlformats.org/officeDocument/2006/relationships/hyperlink" Target="https://www.asml.com/en/investors/annual-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irs.gov/individuals/international-taxpayers/yearly-average-currency-exchange-rates"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hyperlink" Target="https://pages.stern.nyu.edu/~adamodar/New_Home_Page/datafile/implpr.html"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8ECCA-825E-A249-B2FC-ADA584A7FE32}">
  <dimension ref="A2:G32"/>
  <sheetViews>
    <sheetView workbookViewId="0">
      <selection activeCell="O25" sqref="O25"/>
    </sheetView>
  </sheetViews>
  <sheetFormatPr baseColWidth="10" defaultColWidth="10.83203125" defaultRowHeight="16" x14ac:dyDescent="0.2"/>
  <cols>
    <col min="1" max="1" width="18.1640625" style="3" customWidth="1"/>
    <col min="2" max="2" width="19.83203125" style="3" bestFit="1" customWidth="1"/>
    <col min="3" max="16384" width="10.83203125" style="3"/>
  </cols>
  <sheetData>
    <row r="2" spans="1:7" ht="25" x14ac:dyDescent="0.25">
      <c r="A2" s="1" t="s">
        <v>139</v>
      </c>
      <c r="B2" s="1"/>
      <c r="C2" s="2"/>
      <c r="D2" s="2"/>
      <c r="E2" s="2"/>
    </row>
    <row r="3" spans="1:7" ht="25" x14ac:dyDescent="0.25">
      <c r="A3" s="4" t="s">
        <v>141</v>
      </c>
      <c r="B3" s="4"/>
      <c r="C3" s="5"/>
      <c r="D3" s="5"/>
      <c r="E3" s="5"/>
    </row>
    <row r="4" spans="1:7" ht="25" x14ac:dyDescent="0.25">
      <c r="A4" s="4" t="s">
        <v>142</v>
      </c>
      <c r="B4" s="4"/>
      <c r="C4" s="5"/>
      <c r="D4" s="5"/>
      <c r="E4" s="5"/>
    </row>
    <row r="5" spans="1:7" ht="20" x14ac:dyDescent="0.2">
      <c r="A5" s="6">
        <v>45043</v>
      </c>
      <c r="B5" s="7"/>
    </row>
    <row r="6" spans="1:7" ht="20" x14ac:dyDescent="0.2">
      <c r="A6" s="7"/>
      <c r="B6" s="7"/>
    </row>
    <row r="8" spans="1:7" x14ac:dyDescent="0.2">
      <c r="A8" s="8" t="s">
        <v>145</v>
      </c>
      <c r="B8" s="52" t="s">
        <v>291</v>
      </c>
    </row>
    <row r="9" spans="1:7" x14ac:dyDescent="0.2">
      <c r="A9" s="8"/>
      <c r="B9" s="52" t="s">
        <v>391</v>
      </c>
    </row>
    <row r="10" spans="1:7" x14ac:dyDescent="0.2">
      <c r="A10" s="8"/>
      <c r="B10" s="52" t="s">
        <v>339</v>
      </c>
    </row>
    <row r="11" spans="1:7" x14ac:dyDescent="0.2">
      <c r="A11" s="8"/>
      <c r="B11" s="3" t="s">
        <v>295</v>
      </c>
    </row>
    <row r="12" spans="1:7" x14ac:dyDescent="0.2">
      <c r="A12" s="8"/>
      <c r="B12" s="52" t="s">
        <v>292</v>
      </c>
      <c r="G12"/>
    </row>
    <row r="13" spans="1:7" x14ac:dyDescent="0.2">
      <c r="A13" s="8"/>
      <c r="B13" s="3" t="s">
        <v>148</v>
      </c>
    </row>
    <row r="14" spans="1:7" x14ac:dyDescent="0.2">
      <c r="A14" s="13"/>
      <c r="B14" s="3" t="s">
        <v>284</v>
      </c>
    </row>
    <row r="15" spans="1:7" x14ac:dyDescent="0.2">
      <c r="A15" s="13"/>
      <c r="B15" s="3" t="s">
        <v>293</v>
      </c>
    </row>
    <row r="16" spans="1:7" x14ac:dyDescent="0.2">
      <c r="A16" s="13"/>
      <c r="B16" s="3" t="s">
        <v>294</v>
      </c>
    </row>
    <row r="17" spans="1:7" x14ac:dyDescent="0.2">
      <c r="A17" s="13"/>
      <c r="B17" s="52" t="s">
        <v>147</v>
      </c>
    </row>
    <row r="18" spans="1:7" x14ac:dyDescent="0.2">
      <c r="A18" s="13"/>
      <c r="B18" s="3" t="s">
        <v>149</v>
      </c>
    </row>
    <row r="19" spans="1:7" x14ac:dyDescent="0.2">
      <c r="A19" s="13"/>
      <c r="B19" s="52" t="s">
        <v>146</v>
      </c>
    </row>
    <row r="20" spans="1:7" x14ac:dyDescent="0.2">
      <c r="A20" s="13"/>
      <c r="B20" s="3" t="s">
        <v>296</v>
      </c>
    </row>
    <row r="21" spans="1:7" x14ac:dyDescent="0.2">
      <c r="A21" s="8" t="s">
        <v>140</v>
      </c>
    </row>
    <row r="22" spans="1:7" x14ac:dyDescent="0.2">
      <c r="A22" s="8" t="s">
        <v>143</v>
      </c>
      <c r="B22" s="3" t="s">
        <v>144</v>
      </c>
    </row>
    <row r="23" spans="1:7" x14ac:dyDescent="0.2">
      <c r="A23" s="13"/>
    </row>
    <row r="24" spans="1:7" x14ac:dyDescent="0.2">
      <c r="A24" s="13"/>
    </row>
    <row r="25" spans="1:7" x14ac:dyDescent="0.2">
      <c r="A25" s="8" t="s">
        <v>132</v>
      </c>
      <c r="B25" s="9" t="s">
        <v>133</v>
      </c>
    </row>
    <row r="26" spans="1:7" x14ac:dyDescent="0.2">
      <c r="A26" s="13"/>
      <c r="B26" s="9" t="s">
        <v>134</v>
      </c>
    </row>
    <row r="27" spans="1:7" x14ac:dyDescent="0.2">
      <c r="A27" s="13"/>
    </row>
    <row r="28" spans="1:7" x14ac:dyDescent="0.2">
      <c r="A28" s="13"/>
      <c r="G28"/>
    </row>
    <row r="29" spans="1:7" x14ac:dyDescent="0.2">
      <c r="A29" s="13"/>
    </row>
    <row r="30" spans="1:7" x14ac:dyDescent="0.2">
      <c r="A30" s="8" t="s">
        <v>138</v>
      </c>
    </row>
    <row r="31" spans="1:7" x14ac:dyDescent="0.2">
      <c r="B31" s="3" t="s">
        <v>135</v>
      </c>
    </row>
    <row r="32" spans="1:7" x14ac:dyDescent="0.2">
      <c r="B32" s="3" t="s">
        <v>137</v>
      </c>
      <c r="C32" s="9" t="s">
        <v>136</v>
      </c>
    </row>
  </sheetData>
  <phoneticPr fontId="15" type="noConversion"/>
  <hyperlinks>
    <hyperlink ref="B25" r:id="rId1" location="Archive" xr:uid="{02EB21ED-A4E8-0E4C-BFFD-600D79F1E61F}"/>
    <hyperlink ref="B26" r:id="rId2" xr:uid="{14C2FE5E-B21E-6B4B-8F13-4D2BC6D73C41}"/>
    <hyperlink ref="C32" r:id="rId3" xr:uid="{2004D2BE-2A92-604E-AD76-3ED2525A5BEF}"/>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A4F57-00C6-6841-A717-6871442F4F19}">
  <sheetPr>
    <tabColor theme="8" tint="0.79998168889431442"/>
  </sheetPr>
  <dimension ref="A1:I13"/>
  <sheetViews>
    <sheetView zoomScale="150" workbookViewId="0">
      <selection activeCell="C16" sqref="C16"/>
    </sheetView>
  </sheetViews>
  <sheetFormatPr baseColWidth="10" defaultColWidth="10.83203125" defaultRowHeight="16" x14ac:dyDescent="0.2"/>
  <cols>
    <col min="1" max="7" width="10.83203125" style="3"/>
    <col min="8" max="8" width="10.5" style="3" customWidth="1"/>
    <col min="9" max="16384" width="10.83203125" style="3"/>
  </cols>
  <sheetData>
    <row r="1" spans="1:9" x14ac:dyDescent="0.2">
      <c r="A1" s="556" t="s">
        <v>298</v>
      </c>
      <c r="B1" s="556"/>
      <c r="C1" s="556"/>
      <c r="D1" s="556"/>
      <c r="E1" s="556"/>
      <c r="F1" s="556"/>
      <c r="G1" s="556"/>
      <c r="H1" s="556"/>
      <c r="I1" s="556"/>
    </row>
    <row r="2" spans="1:9" x14ac:dyDescent="0.2">
      <c r="A2" s="556" t="s">
        <v>299</v>
      </c>
      <c r="B2" s="556"/>
      <c r="C2" s="556"/>
      <c r="D2" s="556"/>
      <c r="E2" s="556"/>
      <c r="F2" s="556"/>
      <c r="G2" s="556"/>
      <c r="H2" s="556"/>
      <c r="I2" s="556"/>
    </row>
    <row r="3" spans="1:9" x14ac:dyDescent="0.2">
      <c r="A3" s="557" t="s">
        <v>300</v>
      </c>
      <c r="B3" s="557"/>
      <c r="C3" s="557"/>
      <c r="D3" s="557"/>
      <c r="E3" s="557"/>
      <c r="F3" s="557"/>
      <c r="G3" s="557"/>
      <c r="H3" s="557"/>
      <c r="I3" s="557"/>
    </row>
    <row r="5" spans="1:9" x14ac:dyDescent="0.2">
      <c r="A5" s="15" t="s">
        <v>131</v>
      </c>
      <c r="B5" s="15">
        <v>2017</v>
      </c>
      <c r="C5" s="15">
        <v>2018</v>
      </c>
      <c r="D5" s="15">
        <v>2019</v>
      </c>
      <c r="E5" s="15">
        <v>2020</v>
      </c>
      <c r="F5" s="15">
        <v>2021</v>
      </c>
      <c r="G5" s="15">
        <v>2022</v>
      </c>
      <c r="H5" s="15">
        <v>2023</v>
      </c>
      <c r="I5" s="14"/>
    </row>
    <row r="6" spans="1:9" x14ac:dyDescent="0.2">
      <c r="A6" s="3" t="s">
        <v>152</v>
      </c>
      <c r="B6" s="10">
        <v>0.92300000000000004</v>
      </c>
      <c r="C6" s="10">
        <v>0.84799999999999998</v>
      </c>
      <c r="D6" s="10">
        <v>0.89300000000000002</v>
      </c>
      <c r="E6" s="10">
        <v>0.877</v>
      </c>
      <c r="F6" s="10">
        <v>0.84599999999999997</v>
      </c>
      <c r="G6" s="10">
        <v>0.95099999999999996</v>
      </c>
      <c r="H6" s="10">
        <f>G6</f>
        <v>0.95099999999999996</v>
      </c>
      <c r="I6" s="3" t="s">
        <v>153</v>
      </c>
    </row>
    <row r="7" spans="1:9" x14ac:dyDescent="0.2">
      <c r="A7" s="3" t="s">
        <v>154</v>
      </c>
      <c r="B7" s="10">
        <f>1/B6</f>
        <v>1.0834236186348862</v>
      </c>
      <c r="C7" s="10">
        <f t="shared" ref="C7:H7" si="0">1/C6</f>
        <v>1.179245283018868</v>
      </c>
      <c r="D7" s="10">
        <f t="shared" si="0"/>
        <v>1.1198208286674132</v>
      </c>
      <c r="E7" s="10">
        <f t="shared" si="0"/>
        <v>1.1402508551881414</v>
      </c>
      <c r="F7" s="10">
        <f t="shared" si="0"/>
        <v>1.1820330969267139</v>
      </c>
      <c r="G7" s="10">
        <f t="shared" si="0"/>
        <v>1.0515247108307046</v>
      </c>
      <c r="H7" s="10">
        <f t="shared" si="0"/>
        <v>1.0515247108307046</v>
      </c>
      <c r="I7" s="3" t="s">
        <v>155</v>
      </c>
    </row>
    <row r="10" spans="1:9" x14ac:dyDescent="0.2">
      <c r="A10" s="553" t="s">
        <v>297</v>
      </c>
      <c r="B10" s="553"/>
      <c r="C10" s="553"/>
      <c r="D10" s="553"/>
      <c r="E10" s="553"/>
      <c r="F10" s="553"/>
      <c r="G10" s="553"/>
      <c r="H10" s="553"/>
      <c r="I10" s="553"/>
    </row>
    <row r="11" spans="1:9" x14ac:dyDescent="0.2">
      <c r="A11" s="554" t="s">
        <v>156</v>
      </c>
      <c r="B11" s="554"/>
      <c r="C11" s="554"/>
      <c r="D11" s="554"/>
      <c r="E11" s="554"/>
      <c r="F11" s="554"/>
      <c r="G11" s="554"/>
      <c r="H11" s="554"/>
      <c r="I11" s="554"/>
    </row>
    <row r="12" spans="1:9" x14ac:dyDescent="0.2">
      <c r="A12" s="555"/>
      <c r="B12" s="555"/>
      <c r="C12" s="555"/>
      <c r="D12" s="555"/>
      <c r="E12" s="555"/>
      <c r="F12" s="555"/>
      <c r="G12" s="555"/>
      <c r="H12" s="555"/>
      <c r="I12" s="555"/>
    </row>
    <row r="13" spans="1:9" x14ac:dyDescent="0.2">
      <c r="A13" s="89" t="s">
        <v>150</v>
      </c>
      <c r="B13" s="90" t="s">
        <v>151</v>
      </c>
      <c r="C13" s="89"/>
      <c r="D13" s="89"/>
      <c r="E13" s="89"/>
      <c r="F13" s="89"/>
      <c r="G13" s="89"/>
      <c r="H13" s="89"/>
      <c r="I13" s="89"/>
    </row>
  </sheetData>
  <mergeCells count="5">
    <mergeCell ref="A10:I10"/>
    <mergeCell ref="A11:I12"/>
    <mergeCell ref="A1:I1"/>
    <mergeCell ref="A2:I2"/>
    <mergeCell ref="A3:I3"/>
  </mergeCells>
  <phoneticPr fontId="15" type="noConversion"/>
  <hyperlinks>
    <hyperlink ref="B13" r:id="rId1" xr:uid="{61FEABCA-2249-FD4D-BEEB-B7CD8994972F}"/>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B5297-9026-214C-BA02-2E76BF14735C}">
  <sheetPr>
    <tabColor theme="9" tint="0.79998168889431442"/>
  </sheetPr>
  <dimension ref="A1:I44"/>
  <sheetViews>
    <sheetView topLeftCell="A17" workbookViewId="0">
      <selection activeCell="B34" sqref="B34"/>
    </sheetView>
  </sheetViews>
  <sheetFormatPr baseColWidth="10" defaultRowHeight="16" x14ac:dyDescent="0.2"/>
  <cols>
    <col min="1" max="1" width="42.33203125" style="3" bestFit="1" customWidth="1"/>
    <col min="2" max="2" width="4.1640625" style="3" bestFit="1" customWidth="1"/>
    <col min="3" max="3" width="10.83203125" style="3"/>
    <col min="4" max="6" width="25.33203125" style="538" customWidth="1"/>
    <col min="7" max="7" width="10.83203125" style="538"/>
    <col min="8" max="16384" width="10.83203125" style="3"/>
  </cols>
  <sheetData>
    <row r="1" spans="1:9" x14ac:dyDescent="0.2">
      <c r="A1" s="558" t="s">
        <v>298</v>
      </c>
      <c r="B1" s="558"/>
      <c r="C1" s="558"/>
      <c r="D1" s="558"/>
      <c r="E1" s="558"/>
      <c r="F1" s="558"/>
      <c r="G1" s="558"/>
      <c r="H1" s="230"/>
      <c r="I1" s="230"/>
    </row>
    <row r="2" spans="1:9" x14ac:dyDescent="0.2">
      <c r="A2" s="558" t="s">
        <v>339</v>
      </c>
      <c r="B2" s="558"/>
      <c r="C2" s="558"/>
      <c r="D2" s="558"/>
      <c r="E2" s="558"/>
      <c r="F2" s="558"/>
      <c r="G2" s="558"/>
      <c r="H2" s="231"/>
      <c r="I2" s="231"/>
    </row>
    <row r="3" spans="1:9" x14ac:dyDescent="0.2">
      <c r="A3" s="559" t="s">
        <v>611</v>
      </c>
      <c r="B3" s="559"/>
      <c r="C3" s="559"/>
      <c r="D3" s="559"/>
      <c r="E3" s="559"/>
      <c r="F3" s="559"/>
      <c r="G3" s="559"/>
      <c r="H3" s="231"/>
      <c r="I3" s="231"/>
    </row>
    <row r="4" spans="1:9" x14ac:dyDescent="0.2">
      <c r="A4" s="232"/>
      <c r="B4" s="232"/>
      <c r="C4" s="232"/>
      <c r="D4" s="528"/>
      <c r="E4" s="528"/>
      <c r="F4" s="528"/>
      <c r="G4" s="528"/>
      <c r="H4" s="231"/>
      <c r="I4" s="231"/>
    </row>
    <row r="5" spans="1:9" x14ac:dyDescent="0.2">
      <c r="A5" s="560" t="s">
        <v>608</v>
      </c>
      <c r="B5" s="560"/>
      <c r="C5" s="560"/>
      <c r="D5" s="560"/>
      <c r="E5" s="560"/>
      <c r="F5" s="560"/>
      <c r="G5" s="560"/>
      <c r="H5" s="233"/>
      <c r="I5" s="233"/>
    </row>
    <row r="6" spans="1:9" x14ac:dyDescent="0.2">
      <c r="A6" s="234"/>
      <c r="B6" s="235"/>
      <c r="C6" s="235"/>
      <c r="D6" s="529" t="s">
        <v>596</v>
      </c>
      <c r="E6" s="529" t="s">
        <v>597</v>
      </c>
      <c r="F6" s="530" t="s">
        <v>598</v>
      </c>
      <c r="G6" s="529" t="s">
        <v>289</v>
      </c>
    </row>
    <row r="7" spans="1:9" x14ac:dyDescent="0.2">
      <c r="A7" s="236" t="s">
        <v>328</v>
      </c>
      <c r="B7" s="236"/>
      <c r="C7" s="231"/>
      <c r="D7" s="531"/>
      <c r="G7" s="531"/>
    </row>
    <row r="8" spans="1:9" x14ac:dyDescent="0.2">
      <c r="A8" s="238" t="s">
        <v>340</v>
      </c>
      <c r="B8" s="238"/>
      <c r="C8" s="238"/>
      <c r="D8" s="532">
        <f>'Income Approach wo Synergies'!C54*'Currency Exchange'!H7</f>
        <v>564.23054359883395</v>
      </c>
      <c r="E8" s="539">
        <f>'Income Approach wo Synergies'!C55*'Currency Exchange'!H7</f>
        <v>465.72703396771311</v>
      </c>
      <c r="F8" s="539">
        <f>'Income Approach wo Synergies'!C56*'Currency Exchange'!H7</f>
        <v>750.59658871205261</v>
      </c>
      <c r="G8" s="533">
        <v>0.25</v>
      </c>
    </row>
    <row r="9" spans="1:9" x14ac:dyDescent="0.2">
      <c r="A9" s="238" t="s">
        <v>329</v>
      </c>
      <c r="B9" s="238"/>
      <c r="C9" s="238"/>
      <c r="D9" s="532">
        <f>'Income Approach wo Synergies'!B54*'Currency Exchange'!H7</f>
        <v>596.83731325739518</v>
      </c>
      <c r="E9" s="539">
        <f>'Income Approach wo Synergies'!B55*'Currency Exchange'!H7</f>
        <v>496.37383931509169</v>
      </c>
      <c r="F9" s="539">
        <f>'Income Approach wo Synergies'!B56*'Currency Exchange'!H7</f>
        <v>782.13173600844959</v>
      </c>
      <c r="G9" s="533">
        <v>0.25</v>
      </c>
    </row>
    <row r="10" spans="1:9" x14ac:dyDescent="0.2">
      <c r="A10" s="238" t="s">
        <v>330</v>
      </c>
      <c r="B10" s="238"/>
      <c r="C10" s="231"/>
      <c r="D10" s="532">
        <f>'Income Approach wo Synergies'!B68*'Currency Exchange'!H7</f>
        <v>157.25965380258037</v>
      </c>
      <c r="E10" s="539">
        <f>'Income Approach wo Synergies'!B70*'Currency Exchange'!H7</f>
        <v>128.94229345586882</v>
      </c>
      <c r="F10" s="539">
        <f>'Income Approach wo Synergies'!B69*'Currency Exchange'!H7</f>
        <v>201.51487114415116</v>
      </c>
      <c r="G10" s="533">
        <v>0</v>
      </c>
    </row>
    <row r="11" spans="1:9" x14ac:dyDescent="0.2">
      <c r="A11" s="238" t="s">
        <v>331</v>
      </c>
      <c r="B11" s="238"/>
      <c r="C11" s="231"/>
      <c r="D11" s="532">
        <f>'Income Approach wo Synergies'!B80*'Currency Exchange'!H7</f>
        <v>493.93767740912853</v>
      </c>
      <c r="E11" s="539">
        <f>'Income Approach wo Synergies'!B81*'Currency Exchange'!H7</f>
        <v>398.92681555898798</v>
      </c>
      <c r="F11" s="539">
        <f>'Income Approach wo Synergies'!B82*'Currency Exchange'!H7</f>
        <v>546.52098498083581</v>
      </c>
      <c r="G11" s="533">
        <v>0.1</v>
      </c>
    </row>
    <row r="12" spans="1:9" x14ac:dyDescent="0.2">
      <c r="A12" s="236" t="s">
        <v>332</v>
      </c>
      <c r="B12" s="236"/>
      <c r="C12" s="231"/>
      <c r="D12" s="532"/>
      <c r="G12" s="533"/>
    </row>
    <row r="13" spans="1:9" x14ac:dyDescent="0.2">
      <c r="A13" s="238" t="s">
        <v>333</v>
      </c>
      <c r="B13" s="238"/>
      <c r="C13" s="231"/>
      <c r="D13" s="532">
        <f>'Market Approach'!B64*'Currency Exchange'!H7</f>
        <v>513.34443295397784</v>
      </c>
      <c r="E13" s="539">
        <f>'Market Approach'!B65*'Currency Exchange'!H7</f>
        <v>484.71347173485503</v>
      </c>
      <c r="F13" s="539">
        <f>'Market Approach'!B66*'Currency Exchange'!H7</f>
        <v>542.78041942920993</v>
      </c>
      <c r="G13" s="533">
        <v>0.4</v>
      </c>
    </row>
    <row r="14" spans="1:9" x14ac:dyDescent="0.2">
      <c r="A14" s="231"/>
      <c r="B14" s="231"/>
      <c r="C14" s="231"/>
      <c r="D14" s="532"/>
      <c r="G14" s="531"/>
      <c r="H14" s="241"/>
      <c r="I14" s="240"/>
    </row>
    <row r="15" spans="1:9" x14ac:dyDescent="0.2">
      <c r="A15" s="231"/>
      <c r="B15" s="231"/>
      <c r="C15" s="231"/>
      <c r="D15" s="532"/>
      <c r="G15" s="531"/>
      <c r="H15" s="239"/>
      <c r="I15" s="239"/>
    </row>
    <row r="16" spans="1:9" ht="17" thickBot="1" x14ac:dyDescent="0.25">
      <c r="A16" s="242" t="s">
        <v>336</v>
      </c>
      <c r="B16" s="242"/>
      <c r="C16" s="242"/>
      <c r="D16" s="534">
        <f>SUMPRODUCT(D8:D13,G8:G13)</f>
        <v>544.99850513656133</v>
      </c>
      <c r="E16" s="534">
        <f>SUMPRODUCT(E8:E13,G8:G13)</f>
        <v>474.30328857054201</v>
      </c>
      <c r="F16" s="534">
        <f>SUMPRODUCT(F8:F13,G8:G13)</f>
        <v>654.94634744989321</v>
      </c>
      <c r="G16" s="535"/>
    </row>
    <row r="17" spans="1:9" ht="17" thickTop="1" x14ac:dyDescent="0.2">
      <c r="A17" s="231" t="s">
        <v>623</v>
      </c>
      <c r="B17" s="231"/>
      <c r="C17" s="231"/>
      <c r="D17" s="531"/>
      <c r="E17" s="531">
        <v>546.4</v>
      </c>
      <c r="F17" s="531">
        <v>652.04999999999995</v>
      </c>
      <c r="G17" s="531"/>
      <c r="H17" s="233"/>
      <c r="I17" s="233"/>
    </row>
    <row r="18" spans="1:9" x14ac:dyDescent="0.2">
      <c r="A18" s="231"/>
      <c r="B18" s="231"/>
      <c r="C18" s="231"/>
      <c r="D18" s="531"/>
      <c r="E18" s="531"/>
      <c r="F18" s="531"/>
      <c r="G18" s="531"/>
      <c r="H18" s="233"/>
      <c r="I18" s="233"/>
    </row>
    <row r="19" spans="1:9" x14ac:dyDescent="0.2">
      <c r="A19" s="561" t="s">
        <v>609</v>
      </c>
      <c r="B19" s="561"/>
      <c r="C19" s="561"/>
      <c r="D19" s="561"/>
      <c r="E19" s="561"/>
      <c r="F19" s="561"/>
      <c r="G19" s="561"/>
      <c r="H19" s="233"/>
      <c r="I19" s="233"/>
    </row>
    <row r="20" spans="1:9" x14ac:dyDescent="0.2">
      <c r="A20" s="236" t="s">
        <v>328</v>
      </c>
      <c r="B20" s="237"/>
      <c r="C20" s="237"/>
      <c r="D20" s="531"/>
      <c r="E20" s="531"/>
      <c r="F20" s="531"/>
      <c r="G20" s="531"/>
      <c r="H20" s="233"/>
      <c r="I20" s="233"/>
    </row>
    <row r="21" spans="1:9" x14ac:dyDescent="0.2">
      <c r="A21" s="238" t="s">
        <v>340</v>
      </c>
      <c r="B21" s="231"/>
      <c r="C21" s="231"/>
      <c r="D21" s="532">
        <f>'Income Approach with Synergies'!B50*'Currency Exchange'!H7</f>
        <v>721.9586926816537</v>
      </c>
      <c r="E21" s="532">
        <f>'Income Approach with Synergies'!B51*'Currency Exchange'!H7</f>
        <v>600.0210308926986</v>
      </c>
      <c r="F21" s="532">
        <f>'Income Approach with Synergies'!B52*'Currency Exchange'!H7</f>
        <v>795.1719239055443</v>
      </c>
      <c r="G21" s="536">
        <v>0.5</v>
      </c>
      <c r="H21" s="233"/>
      <c r="I21" s="233"/>
    </row>
    <row r="22" spans="1:9" x14ac:dyDescent="0.2">
      <c r="A22" s="238" t="s">
        <v>329</v>
      </c>
      <c r="B22" s="231"/>
      <c r="C22" s="231"/>
      <c r="D22" s="532">
        <f>'Income Approach with Synergies'!C50*'Currency Exchange'!H7</f>
        <v>649.1635491059028</v>
      </c>
      <c r="E22" s="532">
        <f>'Income Approach with Synergies'!C51*'Currency Exchange'!H7</f>
        <v>514.42551868772603</v>
      </c>
      <c r="F22" s="532">
        <f>'Income Approach with Synergies'!C52*'Currency Exchange'!H7</f>
        <v>790.83551168631277</v>
      </c>
      <c r="G22" s="536">
        <v>0.5</v>
      </c>
      <c r="H22" s="233"/>
      <c r="I22" s="233"/>
    </row>
    <row r="23" spans="1:9" x14ac:dyDescent="0.2">
      <c r="A23" s="238"/>
      <c r="B23" s="231"/>
      <c r="C23" s="231"/>
      <c r="D23" s="531"/>
      <c r="E23" s="531"/>
      <c r="F23" s="531"/>
      <c r="G23" s="531"/>
      <c r="H23" s="233"/>
      <c r="I23" s="233"/>
    </row>
    <row r="24" spans="1:9" ht="17" thickBot="1" x14ac:dyDescent="0.25">
      <c r="A24" s="242" t="s">
        <v>336</v>
      </c>
      <c r="B24" s="242"/>
      <c r="C24" s="242"/>
      <c r="D24" s="534">
        <f>SUMPRODUCT(D21:D22,G21:G22)</f>
        <v>685.56112089377825</v>
      </c>
      <c r="E24" s="534">
        <f>SUMPRODUCT(E21:E22,G21:G22)</f>
        <v>557.22327479021237</v>
      </c>
      <c r="F24" s="534">
        <f>SUMPRODUCT(F21:F22,G21:G22)</f>
        <v>793.00371779592854</v>
      </c>
      <c r="G24" s="537"/>
      <c r="H24" s="233"/>
      <c r="I24" s="233"/>
    </row>
    <row r="25" spans="1:9" ht="17" thickTop="1" x14ac:dyDescent="0.2">
      <c r="A25" s="238"/>
      <c r="B25" s="233"/>
      <c r="C25" s="233"/>
      <c r="D25" s="528"/>
      <c r="E25" s="528"/>
      <c r="F25" s="528"/>
      <c r="G25" s="528"/>
      <c r="H25" s="233"/>
      <c r="I25" s="233"/>
    </row>
    <row r="26" spans="1:9" x14ac:dyDescent="0.2">
      <c r="A26" s="563" t="s">
        <v>337</v>
      </c>
      <c r="B26" s="563"/>
      <c r="C26" s="563"/>
      <c r="D26" s="563"/>
      <c r="E26" s="563"/>
      <c r="F26" s="563"/>
      <c r="G26" s="540"/>
      <c r="H26" s="230"/>
      <c r="I26" s="230"/>
    </row>
    <row r="27" spans="1:9" x14ac:dyDescent="0.2">
      <c r="A27" s="243" t="s">
        <v>338</v>
      </c>
      <c r="B27" s="244">
        <v>0.5</v>
      </c>
      <c r="C27" s="564" t="s">
        <v>393</v>
      </c>
      <c r="D27" s="564"/>
      <c r="E27" s="564"/>
      <c r="F27" s="564"/>
      <c r="G27" s="541"/>
      <c r="H27" s="245"/>
      <c r="I27" s="245"/>
    </row>
    <row r="28" spans="1:9" x14ac:dyDescent="0.2">
      <c r="A28" s="243"/>
      <c r="B28" s="246"/>
      <c r="C28" s="562"/>
      <c r="D28" s="562"/>
      <c r="E28" s="562"/>
      <c r="F28" s="562"/>
      <c r="G28" s="541"/>
      <c r="H28" s="245"/>
      <c r="I28" s="245"/>
    </row>
    <row r="29" spans="1:9" x14ac:dyDescent="0.2">
      <c r="A29" s="243"/>
      <c r="B29" s="246"/>
      <c r="C29" s="562"/>
      <c r="D29" s="562"/>
      <c r="E29" s="562"/>
      <c r="F29" s="562"/>
      <c r="G29" s="541"/>
      <c r="H29" s="245"/>
      <c r="I29" s="245"/>
    </row>
    <row r="30" spans="1:9" x14ac:dyDescent="0.2">
      <c r="A30" s="243" t="s">
        <v>330</v>
      </c>
      <c r="B30" s="244">
        <v>0</v>
      </c>
      <c r="C30" s="562" t="s">
        <v>633</v>
      </c>
      <c r="D30" s="562"/>
      <c r="E30" s="562"/>
      <c r="F30" s="562"/>
      <c r="G30" s="541"/>
      <c r="H30" s="245"/>
      <c r="I30" s="245"/>
    </row>
    <row r="31" spans="1:9" x14ac:dyDescent="0.2">
      <c r="A31" s="243"/>
      <c r="B31" s="246"/>
      <c r="C31" s="562"/>
      <c r="D31" s="562"/>
      <c r="E31" s="562"/>
      <c r="F31" s="562"/>
      <c r="G31" s="541"/>
      <c r="H31" s="245"/>
      <c r="I31" s="245"/>
    </row>
    <row r="32" spans="1:9" x14ac:dyDescent="0.2">
      <c r="A32" s="243"/>
      <c r="B32" s="246"/>
      <c r="C32" s="562"/>
      <c r="D32" s="562"/>
      <c r="E32" s="562"/>
      <c r="F32" s="562"/>
      <c r="G32" s="541"/>
      <c r="H32" s="245"/>
      <c r="I32" s="245"/>
    </row>
    <row r="33" spans="1:9" x14ac:dyDescent="0.2">
      <c r="A33" s="243" t="s">
        <v>331</v>
      </c>
      <c r="B33" s="244">
        <v>0.1</v>
      </c>
      <c r="C33" s="562" t="s">
        <v>634</v>
      </c>
      <c r="D33" s="562"/>
      <c r="E33" s="562"/>
      <c r="F33" s="562"/>
      <c r="G33" s="528"/>
      <c r="H33" s="233"/>
      <c r="I33" s="233"/>
    </row>
    <row r="34" spans="1:9" x14ac:dyDescent="0.2">
      <c r="A34" s="243"/>
      <c r="B34" s="246"/>
      <c r="C34" s="562"/>
      <c r="D34" s="562"/>
      <c r="E34" s="562"/>
      <c r="F34" s="562"/>
      <c r="G34" s="528"/>
      <c r="H34" s="233"/>
      <c r="I34" s="233"/>
    </row>
    <row r="35" spans="1:9" x14ac:dyDescent="0.2">
      <c r="A35" s="243"/>
      <c r="B35" s="246"/>
      <c r="C35" s="562"/>
      <c r="D35" s="562"/>
      <c r="E35" s="562"/>
      <c r="F35" s="562"/>
      <c r="G35" s="528"/>
      <c r="H35" s="233"/>
      <c r="I35" s="233"/>
    </row>
    <row r="36" spans="1:9" x14ac:dyDescent="0.2">
      <c r="A36" s="243" t="s">
        <v>333</v>
      </c>
      <c r="B36" s="244">
        <v>0.4</v>
      </c>
      <c r="C36" s="562" t="s">
        <v>394</v>
      </c>
      <c r="D36" s="562"/>
      <c r="E36" s="562"/>
      <c r="F36" s="562"/>
      <c r="G36" s="528"/>
      <c r="H36" s="233"/>
      <c r="I36" s="233"/>
    </row>
    <row r="37" spans="1:9" x14ac:dyDescent="0.2">
      <c r="A37" s="243"/>
      <c r="B37" s="246"/>
      <c r="C37" s="562"/>
      <c r="D37" s="562"/>
      <c r="E37" s="562"/>
      <c r="F37" s="562"/>
      <c r="G37" s="528"/>
      <c r="H37" s="233"/>
      <c r="I37" s="233"/>
    </row>
    <row r="38" spans="1:9" x14ac:dyDescent="0.2">
      <c r="A38" s="243"/>
      <c r="B38" s="246"/>
      <c r="C38" s="562"/>
      <c r="D38" s="562"/>
      <c r="E38" s="562"/>
      <c r="F38" s="562"/>
      <c r="G38" s="528"/>
      <c r="H38" s="233"/>
      <c r="I38" s="233"/>
    </row>
    <row r="39" spans="1:9" ht="20" customHeight="1" x14ac:dyDescent="0.2">
      <c r="A39" s="243" t="s">
        <v>334</v>
      </c>
      <c r="B39" s="244">
        <v>0</v>
      </c>
      <c r="C39" s="562" t="s">
        <v>395</v>
      </c>
      <c r="D39" s="562"/>
      <c r="E39" s="562"/>
      <c r="F39" s="562"/>
      <c r="G39" s="528"/>
      <c r="H39" s="233"/>
      <c r="I39" s="233"/>
    </row>
    <row r="40" spans="1:9" x14ac:dyDescent="0.2">
      <c r="A40" s="243"/>
      <c r="B40" s="246"/>
      <c r="C40" s="562"/>
      <c r="D40" s="562"/>
      <c r="E40" s="562"/>
      <c r="F40" s="562"/>
      <c r="G40" s="528"/>
      <c r="H40" s="233"/>
      <c r="I40" s="233"/>
    </row>
    <row r="41" spans="1:9" x14ac:dyDescent="0.2">
      <c r="A41" s="243"/>
      <c r="B41" s="246"/>
      <c r="C41" s="562"/>
      <c r="D41" s="562"/>
      <c r="E41" s="562"/>
      <c r="F41" s="562"/>
      <c r="G41" s="528"/>
      <c r="H41" s="233"/>
      <c r="I41" s="233"/>
    </row>
    <row r="42" spans="1:9" ht="20" customHeight="1" x14ac:dyDescent="0.2">
      <c r="A42" s="243" t="s">
        <v>335</v>
      </c>
      <c r="B42" s="244">
        <v>0</v>
      </c>
      <c r="C42" s="562" t="s">
        <v>396</v>
      </c>
      <c r="D42" s="562"/>
      <c r="E42" s="562"/>
      <c r="F42" s="562"/>
      <c r="G42" s="528"/>
      <c r="H42" s="233"/>
      <c r="I42" s="233"/>
    </row>
    <row r="43" spans="1:9" x14ac:dyDescent="0.2">
      <c r="A43" s="243"/>
      <c r="B43" s="246"/>
      <c r="C43" s="562"/>
      <c r="D43" s="562"/>
      <c r="E43" s="562"/>
      <c r="F43" s="562"/>
      <c r="G43" s="528"/>
      <c r="H43" s="233"/>
      <c r="I43" s="233"/>
    </row>
    <row r="44" spans="1:9" x14ac:dyDescent="0.2">
      <c r="A44" s="243"/>
      <c r="B44" s="243"/>
      <c r="C44" s="562"/>
      <c r="D44" s="562"/>
      <c r="E44" s="562"/>
      <c r="F44" s="562"/>
      <c r="G44" s="528"/>
      <c r="H44" s="233"/>
      <c r="I44" s="233"/>
    </row>
  </sheetData>
  <mergeCells count="12">
    <mergeCell ref="C33:F35"/>
    <mergeCell ref="C36:F38"/>
    <mergeCell ref="C39:F41"/>
    <mergeCell ref="C42:F44"/>
    <mergeCell ref="A26:F26"/>
    <mergeCell ref="C27:F29"/>
    <mergeCell ref="C30:F32"/>
    <mergeCell ref="A1:G1"/>
    <mergeCell ref="A2:G2"/>
    <mergeCell ref="A3:G3"/>
    <mergeCell ref="A5:G5"/>
    <mergeCell ref="A19:G19"/>
  </mergeCells>
  <pageMargins left="0.7" right="0.7" top="0.75" bottom="0.75" header="0.3" footer="0.3"/>
  <pageSetup paperSize="9" orientation="portrait" horizontalDpi="0" verticalDpi="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029B1-E432-9045-BB70-EAAFFF49776D}">
  <sheetPr>
    <tabColor theme="7" tint="0.79998168889431442"/>
  </sheetPr>
  <dimension ref="A1:X101"/>
  <sheetViews>
    <sheetView zoomScale="85" workbookViewId="0">
      <pane xSplit="1" topLeftCell="B1" activePane="topRight" state="frozen"/>
      <selection pane="topRight" activeCell="A12" sqref="A12"/>
    </sheetView>
  </sheetViews>
  <sheetFormatPr baseColWidth="10" defaultColWidth="13.33203125" defaultRowHeight="16" x14ac:dyDescent="0.2"/>
  <cols>
    <col min="1" max="1" width="54.5" style="16" customWidth="1"/>
    <col min="2" max="8" width="13.33203125" style="16" customWidth="1"/>
    <col min="9" max="9" width="7" style="16" customWidth="1"/>
    <col min="10" max="10" width="18.83203125" style="16" bestFit="1" customWidth="1"/>
    <col min="11" max="17" width="8.83203125" style="16" customWidth="1"/>
    <col min="18" max="18" width="13.6640625" style="93" bestFit="1" customWidth="1"/>
    <col min="19" max="39" width="20.1640625" style="16" customWidth="1"/>
    <col min="40" max="16384" width="13.33203125" style="16"/>
  </cols>
  <sheetData>
    <row r="1" spans="1:24" s="3" customFormat="1" x14ac:dyDescent="0.2">
      <c r="A1" s="556" t="s">
        <v>298</v>
      </c>
      <c r="B1" s="556"/>
      <c r="C1" s="556"/>
      <c r="D1" s="556"/>
      <c r="E1" s="556"/>
      <c r="F1" s="556"/>
      <c r="G1" s="556"/>
      <c r="H1" s="556"/>
      <c r="I1" s="556"/>
      <c r="J1" s="556"/>
      <c r="K1" s="556"/>
      <c r="L1" s="556"/>
      <c r="M1" s="556"/>
    </row>
    <row r="2" spans="1:24" s="3" customFormat="1" x14ac:dyDescent="0.2">
      <c r="A2" s="556" t="s">
        <v>341</v>
      </c>
      <c r="B2" s="556"/>
      <c r="C2" s="556"/>
      <c r="D2" s="556"/>
      <c r="E2" s="556"/>
      <c r="F2" s="556"/>
      <c r="G2" s="556"/>
      <c r="H2" s="556"/>
      <c r="I2" s="556"/>
      <c r="J2" s="556"/>
      <c r="K2" s="556"/>
      <c r="L2" s="556"/>
      <c r="M2" s="556"/>
    </row>
    <row r="3" spans="1:24" s="3" customFormat="1" x14ac:dyDescent="0.2">
      <c r="A3" s="557" t="s">
        <v>385</v>
      </c>
      <c r="B3" s="557"/>
      <c r="C3" s="557"/>
      <c r="D3" s="557"/>
      <c r="E3" s="557"/>
      <c r="F3" s="557"/>
      <c r="G3" s="557"/>
      <c r="H3" s="557"/>
      <c r="I3" s="557"/>
      <c r="J3" s="557"/>
      <c r="K3" s="557"/>
      <c r="L3" s="557"/>
      <c r="M3" s="557"/>
    </row>
    <row r="4" spans="1:24" ht="25.5" customHeight="1" x14ac:dyDescent="0.2">
      <c r="D4" s="92"/>
      <c r="E4" s="92"/>
      <c r="F4" s="92"/>
      <c r="G4" s="92"/>
      <c r="H4" s="92"/>
      <c r="J4" s="567"/>
      <c r="K4" s="567"/>
      <c r="L4" s="567"/>
      <c r="M4" s="567"/>
      <c r="N4" s="567"/>
      <c r="O4" s="567"/>
      <c r="P4" s="567"/>
      <c r="Q4" s="91"/>
      <c r="R4" s="94"/>
    </row>
    <row r="5" spans="1:24" ht="20" customHeight="1" x14ac:dyDescent="0.2">
      <c r="A5" s="566" t="s">
        <v>311</v>
      </c>
      <c r="B5" s="566"/>
      <c r="C5" s="566"/>
      <c r="D5" s="566"/>
      <c r="E5" s="566"/>
      <c r="F5" s="566"/>
      <c r="G5" s="566"/>
      <c r="H5" s="566"/>
      <c r="I5" s="18"/>
      <c r="J5" s="120"/>
      <c r="K5" s="120"/>
      <c r="L5" s="120"/>
      <c r="M5" s="568" t="s">
        <v>306</v>
      </c>
      <c r="N5" s="568"/>
      <c r="O5" s="568"/>
      <c r="P5" s="568"/>
      <c r="Q5" s="568"/>
      <c r="R5" s="121" t="s">
        <v>312</v>
      </c>
      <c r="S5" s="565" t="s">
        <v>310</v>
      </c>
      <c r="T5" s="565"/>
      <c r="U5" s="565"/>
      <c r="V5" s="565"/>
      <c r="W5" s="565"/>
    </row>
    <row r="6" spans="1:24" ht="17" x14ac:dyDescent="0.2">
      <c r="A6" s="17" t="s">
        <v>2</v>
      </c>
      <c r="B6" s="35" t="s">
        <v>450</v>
      </c>
      <c r="C6" s="35" t="s">
        <v>451</v>
      </c>
      <c r="D6" s="35" t="s">
        <v>452</v>
      </c>
      <c r="E6" s="35" t="s">
        <v>108</v>
      </c>
      <c r="F6" s="35" t="s">
        <v>3</v>
      </c>
      <c r="G6" s="35" t="s">
        <v>4</v>
      </c>
      <c r="H6" s="35" t="s">
        <v>5</v>
      </c>
      <c r="I6" s="35"/>
      <c r="J6" s="98" t="s">
        <v>253</v>
      </c>
      <c r="K6" s="98">
        <v>2016</v>
      </c>
      <c r="L6" s="98">
        <v>2017</v>
      </c>
      <c r="M6" s="99">
        <v>2018</v>
      </c>
      <c r="N6" s="99">
        <v>2019</v>
      </c>
      <c r="O6" s="99">
        <v>2020</v>
      </c>
      <c r="P6" s="99">
        <v>2021</v>
      </c>
      <c r="Q6" s="99">
        <v>2022</v>
      </c>
      <c r="R6" s="100" t="s">
        <v>254</v>
      </c>
      <c r="S6" s="35" t="s">
        <v>248</v>
      </c>
      <c r="T6" s="35" t="s">
        <v>249</v>
      </c>
      <c r="U6" s="35" t="s">
        <v>250</v>
      </c>
      <c r="V6" s="35" t="s">
        <v>251</v>
      </c>
      <c r="W6" s="35" t="s">
        <v>252</v>
      </c>
      <c r="X6" s="35"/>
    </row>
    <row r="7" spans="1:24" ht="20" customHeight="1" x14ac:dyDescent="0.2">
      <c r="A7" s="97" t="s">
        <v>6</v>
      </c>
      <c r="B7" s="21">
        <v>4672</v>
      </c>
      <c r="C7" s="21">
        <v>6373.7</v>
      </c>
      <c r="D7" s="21">
        <v>8259.1</v>
      </c>
      <c r="E7" s="21">
        <v>8996.2000000000007</v>
      </c>
      <c r="F7" s="21">
        <v>10316.6</v>
      </c>
      <c r="G7" s="21">
        <v>13652.8</v>
      </c>
      <c r="H7" s="21">
        <v>15430.3</v>
      </c>
      <c r="I7" s="21"/>
      <c r="J7" s="101" t="s">
        <v>307</v>
      </c>
      <c r="K7" s="101"/>
      <c r="L7" s="102">
        <f t="shared" ref="L7:P8" si="0">(C7-B7)/B7</f>
        <v>0.36423373287671229</v>
      </c>
      <c r="M7" s="102">
        <f t="shared" si="0"/>
        <v>0.29580934151277916</v>
      </c>
      <c r="N7" s="102">
        <f t="shared" si="0"/>
        <v>8.9247012386337532E-2</v>
      </c>
      <c r="O7" s="102">
        <f t="shared" si="0"/>
        <v>0.14677308196794198</v>
      </c>
      <c r="P7" s="102">
        <f t="shared" si="0"/>
        <v>0.32338173429230549</v>
      </c>
      <c r="Q7" s="102">
        <f>(H7-G7)/G7</f>
        <v>0.13019307394820112</v>
      </c>
      <c r="R7" s="108">
        <f>AVERAGE(N7:Q7)</f>
        <v>0.17239872564869652</v>
      </c>
      <c r="S7" s="31">
        <f>H7*(1+$R$7)</f>
        <v>18090.464056377081</v>
      </c>
      <c r="T7" s="36">
        <f>S7*(1+$R$7)</f>
        <v>21209.237006090039</v>
      </c>
      <c r="U7" s="36">
        <f t="shared" ref="U7:W7" si="1">T7*(1+$R$7)</f>
        <v>24865.682437921136</v>
      </c>
      <c r="V7" s="36">
        <f t="shared" si="1"/>
        <v>29152.494402603912</v>
      </c>
      <c r="W7" s="36">
        <f t="shared" si="1"/>
        <v>34178.347287093588</v>
      </c>
    </row>
    <row r="8" spans="1:24" ht="20" customHeight="1" x14ac:dyDescent="0.2">
      <c r="A8" s="97" t="s">
        <v>7</v>
      </c>
      <c r="B8" s="21">
        <v>2122.8000000000002</v>
      </c>
      <c r="C8" s="21">
        <v>2679.1</v>
      </c>
      <c r="D8" s="21">
        <v>2684.9</v>
      </c>
      <c r="E8" s="21">
        <v>2823.8</v>
      </c>
      <c r="F8" s="21">
        <v>3661.9</v>
      </c>
      <c r="G8" s="21">
        <v>4958.2</v>
      </c>
      <c r="H8" s="21">
        <v>5743.1</v>
      </c>
      <c r="J8" s="101" t="s">
        <v>301</v>
      </c>
      <c r="K8" s="101"/>
      <c r="L8" s="102">
        <f t="shared" si="0"/>
        <v>0.26205954399849241</v>
      </c>
      <c r="M8" s="102">
        <f t="shared" si="0"/>
        <v>2.1649061251913636E-3</v>
      </c>
      <c r="N8" s="102">
        <f t="shared" si="0"/>
        <v>5.1733770345264288E-2</v>
      </c>
      <c r="O8" s="102">
        <f t="shared" si="0"/>
        <v>0.29679864013032081</v>
      </c>
      <c r="P8" s="102">
        <f t="shared" si="0"/>
        <v>0.35399655916327583</v>
      </c>
      <c r="Q8" s="102">
        <f t="shared" ref="Q8" si="2">(H8-G8)/G8</f>
        <v>0.1583034165624623</v>
      </c>
      <c r="R8" s="108">
        <f>AVERAGE(N8:Q8)</f>
        <v>0.2152080965503308</v>
      </c>
      <c r="S8" s="37">
        <f>H8*(1+$R$8)</f>
        <v>6979.0616192982061</v>
      </c>
      <c r="T8" s="36">
        <f>S8*(1+$R$8)</f>
        <v>8481.0121860948439</v>
      </c>
      <c r="U8" s="36">
        <f t="shared" ref="U8:W8" si="3">T8*(1+$R$8)</f>
        <v>10306.194675484476</v>
      </c>
      <c r="V8" s="36">
        <f t="shared" si="3"/>
        <v>12524.171214272645</v>
      </c>
      <c r="W8" s="36">
        <f t="shared" si="3"/>
        <v>15219.474262166706</v>
      </c>
    </row>
    <row r="9" spans="1:24" s="116" customFormat="1" ht="20" customHeight="1" x14ac:dyDescent="0.2">
      <c r="A9" s="110" t="s">
        <v>8</v>
      </c>
      <c r="B9" s="111">
        <f t="shared" ref="B9:C9" si="4">SUM(B7:B8)</f>
        <v>6794.8</v>
      </c>
      <c r="C9" s="111">
        <f t="shared" si="4"/>
        <v>9052.7999999999993</v>
      </c>
      <c r="D9" s="111">
        <f>SUM(D7:D8)</f>
        <v>10944</v>
      </c>
      <c r="E9" s="111">
        <f t="shared" ref="E9:H9" si="5">SUM(E7:E8)</f>
        <v>11820</v>
      </c>
      <c r="F9" s="111">
        <f t="shared" si="5"/>
        <v>13978.5</v>
      </c>
      <c r="G9" s="111">
        <f t="shared" si="5"/>
        <v>18611</v>
      </c>
      <c r="H9" s="111">
        <f t="shared" si="5"/>
        <v>21173.4</v>
      </c>
      <c r="I9" s="111"/>
      <c r="J9" s="112"/>
      <c r="K9" s="112"/>
      <c r="L9" s="112"/>
      <c r="M9" s="117"/>
      <c r="N9" s="113"/>
      <c r="O9" s="113"/>
      <c r="P9" s="113"/>
      <c r="Q9" s="113"/>
      <c r="R9" s="114"/>
      <c r="S9" s="115">
        <f>SUM(S7:S8)</f>
        <v>25069.525675675286</v>
      </c>
      <c r="T9" s="115">
        <f t="shared" ref="T9:W9" si="6">SUM(T7:T8)</f>
        <v>29690.249192184885</v>
      </c>
      <c r="U9" s="115">
        <f t="shared" si="6"/>
        <v>35171.877113405615</v>
      </c>
      <c r="V9" s="115">
        <f t="shared" si="6"/>
        <v>41676.665616876555</v>
      </c>
      <c r="W9" s="115">
        <f t="shared" si="6"/>
        <v>49397.82154926029</v>
      </c>
    </row>
    <row r="10" spans="1:24" ht="20" customHeight="1" x14ac:dyDescent="0.2">
      <c r="J10" s="104"/>
      <c r="K10" s="104"/>
      <c r="L10" s="104"/>
      <c r="M10" s="103"/>
      <c r="N10" s="103"/>
      <c r="O10" s="103"/>
      <c r="P10" s="103"/>
      <c r="Q10" s="103"/>
      <c r="R10" s="109"/>
    </row>
    <row r="11" spans="1:24" ht="20" customHeight="1" x14ac:dyDescent="0.2">
      <c r="A11" s="97" t="s">
        <v>9</v>
      </c>
      <c r="B11" s="21">
        <v>-2468.1999999999998</v>
      </c>
      <c r="C11" s="21">
        <v>-3459</v>
      </c>
      <c r="D11" s="21">
        <v>-4141.2</v>
      </c>
      <c r="E11" s="21">
        <v>-4676.2</v>
      </c>
      <c r="F11" s="21">
        <v>-5169.3</v>
      </c>
      <c r="G11" s="21">
        <v>-6482.9</v>
      </c>
      <c r="H11" s="21">
        <v>-7582.3</v>
      </c>
      <c r="I11" s="21"/>
      <c r="J11" s="101" t="s">
        <v>302</v>
      </c>
      <c r="K11" s="102">
        <f t="shared" ref="K11:K12" si="7">-B11/B7</f>
        <v>0.52829623287671224</v>
      </c>
      <c r="L11" s="102">
        <f t="shared" ref="L11:L12" si="8">-C11/C7</f>
        <v>0.5426989033057722</v>
      </c>
      <c r="M11" s="102">
        <f t="shared" ref="M11:M12" si="9">-D11/D7</f>
        <v>0.50141056531583339</v>
      </c>
      <c r="N11" s="102">
        <f t="shared" ref="N11:N12" si="10">-E11/E7</f>
        <v>0.5197972477268179</v>
      </c>
      <c r="O11" s="102">
        <f t="shared" ref="O11:O12" si="11">-F11/F7</f>
        <v>0.50106624275439582</v>
      </c>
      <c r="P11" s="102">
        <f t="shared" ref="P11:P12" si="12">-G11/G7</f>
        <v>0.47484032579397634</v>
      </c>
      <c r="Q11" s="102">
        <f t="shared" ref="Q11:Q12" si="13">-H11/H7</f>
        <v>0.49139031645528608</v>
      </c>
      <c r="R11" s="108">
        <f>AVERAGE(M11:Q11)</f>
        <v>0.49770093960926198</v>
      </c>
      <c r="S11" s="31">
        <f>-S7*$R$11</f>
        <v>-9003.6409588264542</v>
      </c>
      <c r="T11" s="31">
        <f t="shared" ref="T11:W11" si="14">-T7*$R$11</f>
        <v>-10555.857186326542</v>
      </c>
      <c r="U11" s="31">
        <f t="shared" si="14"/>
        <v>-12375.673513378873</v>
      </c>
      <c r="V11" s="31">
        <f t="shared" si="14"/>
        <v>-14509.223856129718</v>
      </c>
      <c r="W11" s="31">
        <f t="shared" si="14"/>
        <v>-17010.595559078149</v>
      </c>
    </row>
    <row r="12" spans="1:24" ht="20" customHeight="1" x14ac:dyDescent="0.2">
      <c r="A12" s="97" t="s">
        <v>10</v>
      </c>
      <c r="B12" s="21">
        <v>-1282.0999999999999</v>
      </c>
      <c r="C12" s="21">
        <v>-1517.1</v>
      </c>
      <c r="D12" s="21">
        <v>-1773.6</v>
      </c>
      <c r="E12" s="21">
        <v>-1864</v>
      </c>
      <c r="F12" s="21">
        <v>-2012</v>
      </c>
      <c r="G12" s="21">
        <v>-2319.1</v>
      </c>
      <c r="H12" s="21">
        <v>-2891</v>
      </c>
      <c r="I12" s="21"/>
      <c r="J12" s="101" t="s">
        <v>309</v>
      </c>
      <c r="K12" s="102">
        <f t="shared" si="7"/>
        <v>0.60396645939325411</v>
      </c>
      <c r="L12" s="102">
        <f t="shared" si="8"/>
        <v>0.56627225560822658</v>
      </c>
      <c r="M12" s="102">
        <f t="shared" si="9"/>
        <v>0.66058326194644112</v>
      </c>
      <c r="N12" s="102">
        <f t="shared" si="10"/>
        <v>0.66010340675685242</v>
      </c>
      <c r="O12" s="102">
        <f t="shared" si="11"/>
        <v>0.54944154673803214</v>
      </c>
      <c r="P12" s="102">
        <f t="shared" si="12"/>
        <v>0.46773022467831066</v>
      </c>
      <c r="Q12" s="102">
        <f t="shared" si="13"/>
        <v>0.50338667270289561</v>
      </c>
      <c r="R12" s="108">
        <f>Q12</f>
        <v>0.50338667270289561</v>
      </c>
      <c r="S12" s="31">
        <f>-S8*$R$12</f>
        <v>-3513.1666071270065</v>
      </c>
      <c r="T12" s="31">
        <f t="shared" ref="T12:W12" si="15">-T8*$R$12</f>
        <v>-4269.2285055109942</v>
      </c>
      <c r="U12" s="31">
        <f t="shared" si="15"/>
        <v>-5188.0010459204295</v>
      </c>
      <c r="V12" s="31">
        <f t="shared" si="15"/>
        <v>-6304.5008759140901</v>
      </c>
      <c r="W12" s="31">
        <f t="shared" si="15"/>
        <v>-7661.2805091194559</v>
      </c>
    </row>
    <row r="13" spans="1:24" s="116" customFormat="1" ht="20" customHeight="1" x14ac:dyDescent="0.2">
      <c r="A13" s="110" t="s">
        <v>11</v>
      </c>
      <c r="B13" s="111">
        <f t="shared" ref="B13:G13" si="16">SUM(B11:B12)</f>
        <v>-3750.2999999999997</v>
      </c>
      <c r="C13" s="111">
        <f t="shared" si="16"/>
        <v>-4976.1000000000004</v>
      </c>
      <c r="D13" s="111">
        <f t="shared" si="16"/>
        <v>-5914.7999999999993</v>
      </c>
      <c r="E13" s="111">
        <f t="shared" si="16"/>
        <v>-6540.2</v>
      </c>
      <c r="F13" s="111">
        <f t="shared" si="16"/>
        <v>-7181.3</v>
      </c>
      <c r="G13" s="111">
        <f t="shared" si="16"/>
        <v>-8802</v>
      </c>
      <c r="H13" s="111">
        <f t="shared" ref="H13" si="17">SUM(H11:H12)</f>
        <v>-10473.299999999999</v>
      </c>
      <c r="I13" s="111"/>
      <c r="J13" s="112"/>
      <c r="K13" s="113"/>
      <c r="L13" s="113"/>
      <c r="M13" s="113"/>
      <c r="N13" s="113"/>
      <c r="O13" s="113"/>
      <c r="P13" s="113"/>
      <c r="Q13" s="113"/>
      <c r="R13" s="114"/>
      <c r="S13" s="115">
        <f>SUM(S11:S12)</f>
        <v>-12516.807565953461</v>
      </c>
      <c r="T13" s="115">
        <f t="shared" ref="T13:W13" si="18">SUM(T11:T12)</f>
        <v>-14825.085691837536</v>
      </c>
      <c r="U13" s="115">
        <f t="shared" si="18"/>
        <v>-17563.674559299303</v>
      </c>
      <c r="V13" s="115">
        <f t="shared" si="18"/>
        <v>-20813.724732043807</v>
      </c>
      <c r="W13" s="115">
        <f t="shared" si="18"/>
        <v>-24671.876068197605</v>
      </c>
    </row>
    <row r="14" spans="1:24" ht="20" customHeight="1" x14ac:dyDescent="0.2">
      <c r="J14" s="104"/>
      <c r="K14" s="103"/>
      <c r="L14" s="103"/>
      <c r="M14" s="103"/>
      <c r="N14" s="103"/>
      <c r="O14" s="103"/>
      <c r="P14" s="103"/>
      <c r="Q14" s="103"/>
      <c r="R14" s="109"/>
      <c r="S14" s="31"/>
      <c r="T14" s="31"/>
      <c r="U14" s="31"/>
      <c r="V14" s="31"/>
      <c r="W14" s="31"/>
    </row>
    <row r="15" spans="1:24" s="116" customFormat="1" ht="20" customHeight="1" x14ac:dyDescent="0.2">
      <c r="A15" s="110" t="s">
        <v>12</v>
      </c>
      <c r="B15" s="111">
        <f t="shared" ref="B15:G15" si="19">B9+B13</f>
        <v>3044.5000000000005</v>
      </c>
      <c r="C15" s="111">
        <f t="shared" si="19"/>
        <v>4076.6999999999989</v>
      </c>
      <c r="D15" s="111">
        <f t="shared" si="19"/>
        <v>5029.2000000000007</v>
      </c>
      <c r="E15" s="111">
        <f t="shared" si="19"/>
        <v>5279.8</v>
      </c>
      <c r="F15" s="111">
        <f t="shared" si="19"/>
        <v>6797.2</v>
      </c>
      <c r="G15" s="111">
        <f t="shared" si="19"/>
        <v>9809</v>
      </c>
      <c r="H15" s="111">
        <f>H9+H13</f>
        <v>10700.100000000002</v>
      </c>
      <c r="I15" s="111"/>
      <c r="J15" s="112"/>
      <c r="K15" s="113"/>
      <c r="L15" s="113"/>
      <c r="M15" s="113"/>
      <c r="N15" s="113"/>
      <c r="O15" s="113"/>
      <c r="P15" s="113"/>
      <c r="Q15" s="113"/>
      <c r="R15" s="114"/>
      <c r="S15" s="115">
        <f>S9+S13</f>
        <v>12552.718109721825</v>
      </c>
      <c r="T15" s="115">
        <f t="shared" ref="T15:W15" si="20">T9+T13</f>
        <v>14865.163500347349</v>
      </c>
      <c r="U15" s="115">
        <f t="shared" si="20"/>
        <v>17608.202554106312</v>
      </c>
      <c r="V15" s="115">
        <f t="shared" si="20"/>
        <v>20862.940884832748</v>
      </c>
      <c r="W15" s="115">
        <f t="shared" si="20"/>
        <v>24725.945481062685</v>
      </c>
    </row>
    <row r="16" spans="1:24" ht="20" customHeight="1" x14ac:dyDescent="0.2">
      <c r="J16" s="104"/>
      <c r="K16" s="103"/>
      <c r="L16" s="103"/>
      <c r="M16" s="103"/>
      <c r="N16" s="103"/>
      <c r="O16" s="103"/>
      <c r="P16" s="103"/>
      <c r="Q16" s="103"/>
      <c r="R16" s="109"/>
      <c r="S16" s="31"/>
      <c r="T16" s="31"/>
      <c r="U16" s="31"/>
      <c r="V16" s="31"/>
      <c r="W16" s="31"/>
    </row>
    <row r="17" spans="1:23" ht="20" customHeight="1" x14ac:dyDescent="0.2">
      <c r="A17" s="97" t="s">
        <v>13</v>
      </c>
      <c r="B17" s="21">
        <v>-1105.8</v>
      </c>
      <c r="C17" s="21">
        <v>-1259.7</v>
      </c>
      <c r="D17" s="21">
        <v>-1575.9</v>
      </c>
      <c r="E17" s="21">
        <v>-1968.5</v>
      </c>
      <c r="F17" s="21">
        <v>-2200.8000000000002</v>
      </c>
      <c r="G17" s="21">
        <v>-2547</v>
      </c>
      <c r="H17" s="21">
        <v>-3253.5</v>
      </c>
      <c r="I17" s="21"/>
      <c r="J17" s="101" t="s">
        <v>303</v>
      </c>
      <c r="K17" s="102">
        <f t="shared" ref="K17:P17" si="21">-B17/B9</f>
        <v>0.16274209689762759</v>
      </c>
      <c r="L17" s="102">
        <f t="shared" si="21"/>
        <v>0.13915031813361614</v>
      </c>
      <c r="M17" s="102">
        <f t="shared" si="21"/>
        <v>0.1439967105263158</v>
      </c>
      <c r="N17" s="102">
        <f t="shared" si="21"/>
        <v>0.16653976311336718</v>
      </c>
      <c r="O17" s="102">
        <f t="shared" si="21"/>
        <v>0.15744178559931324</v>
      </c>
      <c r="P17" s="102">
        <f t="shared" si="21"/>
        <v>0.13685454838536348</v>
      </c>
      <c r="Q17" s="102">
        <f>-H17/H9</f>
        <v>0.15365978066819688</v>
      </c>
      <c r="R17" s="108">
        <f>AVERAGE(K17:Q17)</f>
        <v>0.15148357190340003</v>
      </c>
      <c r="S17" s="31">
        <f>-$R$17*S9</f>
        <v>-3797.6212952752903</v>
      </c>
      <c r="T17" s="31">
        <f t="shared" ref="T17:W17" si="22">-$R$17*T9</f>
        <v>-4497.5849983342041</v>
      </c>
      <c r="U17" s="31">
        <f t="shared" si="22"/>
        <v>-5327.9615756861294</v>
      </c>
      <c r="V17" s="31">
        <f t="shared" si="22"/>
        <v>-6313.3301726680793</v>
      </c>
      <c r="W17" s="31">
        <f t="shared" si="22"/>
        <v>-7482.9584525286946</v>
      </c>
    </row>
    <row r="18" spans="1:23" ht="20" customHeight="1" x14ac:dyDescent="0.2">
      <c r="A18" s="97" t="s">
        <v>14</v>
      </c>
      <c r="B18" s="21">
        <v>-374.8</v>
      </c>
      <c r="C18" s="21">
        <v>-416.6</v>
      </c>
      <c r="D18" s="21">
        <v>-488</v>
      </c>
      <c r="E18" s="21">
        <v>-520.5</v>
      </c>
      <c r="F18" s="21">
        <v>-544.9</v>
      </c>
      <c r="G18" s="21">
        <v>-725.6</v>
      </c>
      <c r="H18" s="21">
        <v>-945.9</v>
      </c>
      <c r="I18" s="21"/>
      <c r="J18" s="101" t="s">
        <v>303</v>
      </c>
      <c r="K18" s="102">
        <f t="shared" ref="K18:P18" si="23">-B18/B9</f>
        <v>5.5159828103844115E-2</v>
      </c>
      <c r="L18" s="102">
        <f t="shared" si="23"/>
        <v>4.6018911276069288E-2</v>
      </c>
      <c r="M18" s="102">
        <f t="shared" si="23"/>
        <v>4.4590643274853799E-2</v>
      </c>
      <c r="N18" s="102">
        <f t="shared" si="23"/>
        <v>4.4035532994923861E-2</v>
      </c>
      <c r="O18" s="102">
        <f t="shared" si="23"/>
        <v>3.8981292699502804E-2</v>
      </c>
      <c r="P18" s="102">
        <f t="shared" si="23"/>
        <v>3.8987695448928057E-2</v>
      </c>
      <c r="Q18" s="102">
        <f>-H18/H9</f>
        <v>4.4673977726770377E-2</v>
      </c>
      <c r="R18" s="108">
        <f>AVERAGE(K18:Q18)</f>
        <v>4.463541164641318E-2</v>
      </c>
      <c r="S18" s="95">
        <f>-$R$18*S9</f>
        <v>-1118.988598314091</v>
      </c>
      <c r="T18" s="95">
        <f t="shared" ref="T18:W18" si="24">-$R$18*T9</f>
        <v>-1325.2364945777588</v>
      </c>
      <c r="U18" s="95">
        <f t="shared" si="24"/>
        <v>-1569.9112133339181</v>
      </c>
      <c r="V18" s="95">
        <f t="shared" si="24"/>
        <v>-1860.2551258591996</v>
      </c>
      <c r="W18" s="95">
        <f t="shared" si="24"/>
        <v>-2204.8920992872927</v>
      </c>
    </row>
    <row r="19" spans="1:23" ht="20" customHeight="1" x14ac:dyDescent="0.2">
      <c r="A19" s="97" t="s">
        <v>15</v>
      </c>
      <c r="B19" s="21">
        <v>93.8</v>
      </c>
      <c r="C19" s="21">
        <v>95.8</v>
      </c>
      <c r="D19" s="21">
        <v>0</v>
      </c>
      <c r="E19" s="21">
        <v>0</v>
      </c>
      <c r="F19" s="21">
        <v>0</v>
      </c>
      <c r="G19" s="21">
        <v>213.7</v>
      </c>
      <c r="H19" s="21">
        <v>0</v>
      </c>
      <c r="I19" s="21"/>
      <c r="J19" s="101" t="s">
        <v>303</v>
      </c>
      <c r="K19" s="102">
        <f t="shared" ref="K19:P19" si="25">B19/B9</f>
        <v>1.3804674162594925E-2</v>
      </c>
      <c r="L19" s="102">
        <f t="shared" si="25"/>
        <v>1.0582361258395193E-2</v>
      </c>
      <c r="M19" s="102">
        <f t="shared" si="25"/>
        <v>0</v>
      </c>
      <c r="N19" s="102">
        <f t="shared" si="25"/>
        <v>0</v>
      </c>
      <c r="O19" s="102">
        <f t="shared" si="25"/>
        <v>0</v>
      </c>
      <c r="P19" s="102">
        <f t="shared" si="25"/>
        <v>1.1482456611681263E-2</v>
      </c>
      <c r="Q19" s="102">
        <f>H19/H9</f>
        <v>0</v>
      </c>
      <c r="R19" s="108">
        <f>AVERAGE(K19:Q19)</f>
        <v>5.1242131475244829E-3</v>
      </c>
      <c r="S19" s="31">
        <f>S9*$R$19</f>
        <v>128.46159306949789</v>
      </c>
      <c r="T19" s="31">
        <f t="shared" ref="T19:W19" si="26">T9*$R$19</f>
        <v>152.13916526387194</v>
      </c>
      <c r="U19" s="31">
        <f t="shared" si="26"/>
        <v>180.22819512762851</v>
      </c>
      <c r="V19" s="31">
        <f t="shared" si="26"/>
        <v>213.56011789898039</v>
      </c>
      <c r="W19" s="31">
        <f t="shared" si="26"/>
        <v>253.12496664178781</v>
      </c>
    </row>
    <row r="20" spans="1:23" s="116" customFormat="1" ht="21" customHeight="1" x14ac:dyDescent="0.2">
      <c r="A20" s="110" t="s">
        <v>121</v>
      </c>
      <c r="B20" s="111">
        <f t="shared" ref="B20:H20" si="27">SUM(B15:B19)</f>
        <v>1657.7000000000005</v>
      </c>
      <c r="C20" s="111">
        <f t="shared" si="27"/>
        <v>2496.1999999999994</v>
      </c>
      <c r="D20" s="111">
        <f t="shared" si="27"/>
        <v>2965.3000000000006</v>
      </c>
      <c r="E20" s="111">
        <f t="shared" si="27"/>
        <v>2790.8</v>
      </c>
      <c r="F20" s="111">
        <f t="shared" si="27"/>
        <v>4051.4999999999995</v>
      </c>
      <c r="G20" s="111">
        <f t="shared" si="27"/>
        <v>6750.0999999999995</v>
      </c>
      <c r="H20" s="111">
        <f t="shared" si="27"/>
        <v>6500.7000000000025</v>
      </c>
      <c r="I20" s="111"/>
      <c r="J20" s="112"/>
      <c r="K20" s="113"/>
      <c r="L20" s="113"/>
      <c r="M20" s="113"/>
      <c r="N20" s="113"/>
      <c r="O20" s="113"/>
      <c r="P20" s="113"/>
      <c r="Q20" s="113"/>
      <c r="R20" s="114"/>
      <c r="S20" s="115">
        <f>S15+SUM(S17:S19)</f>
        <v>7764.569809201942</v>
      </c>
      <c r="T20" s="115">
        <f t="shared" ref="T20:W20" si="28">T15+SUM(T17:T19)</f>
        <v>9194.4811726992593</v>
      </c>
      <c r="U20" s="115">
        <f t="shared" si="28"/>
        <v>10890.557960213893</v>
      </c>
      <c r="V20" s="115">
        <f t="shared" si="28"/>
        <v>12902.91570420445</v>
      </c>
      <c r="W20" s="115">
        <f t="shared" si="28"/>
        <v>15291.219895888486</v>
      </c>
    </row>
    <row r="21" spans="1:23" ht="20" customHeight="1" x14ac:dyDescent="0.2">
      <c r="J21" s="104"/>
      <c r="K21" s="103"/>
      <c r="L21" s="103"/>
      <c r="M21" s="103"/>
      <c r="N21" s="103"/>
      <c r="O21" s="103"/>
      <c r="P21" s="103"/>
      <c r="Q21" s="103"/>
      <c r="R21" s="108"/>
      <c r="S21" s="31"/>
      <c r="T21" s="31"/>
      <c r="U21" s="31"/>
      <c r="V21" s="31"/>
      <c r="W21" s="31"/>
    </row>
    <row r="22" spans="1:23" ht="20" customHeight="1" x14ac:dyDescent="0.2">
      <c r="A22" s="97" t="s">
        <v>16</v>
      </c>
      <c r="B22" s="21">
        <v>33.700000000000003</v>
      </c>
      <c r="C22" s="21">
        <v>-50.3</v>
      </c>
      <c r="D22" s="21">
        <v>-28.3</v>
      </c>
      <c r="E22" s="21">
        <v>-25</v>
      </c>
      <c r="F22" s="21">
        <v>-34.9</v>
      </c>
      <c r="G22" s="21">
        <v>-44.6</v>
      </c>
      <c r="H22" s="21">
        <v>-44.6</v>
      </c>
      <c r="I22" s="21"/>
      <c r="J22" s="101" t="s">
        <v>304</v>
      </c>
      <c r="K22" s="102">
        <f t="shared" ref="K22:P22" si="29">-B22/B20</f>
        <v>-2.0329372021475535E-2</v>
      </c>
      <c r="L22" s="102">
        <f t="shared" si="29"/>
        <v>2.0150628956013144E-2</v>
      </c>
      <c r="M22" s="102">
        <f t="shared" si="29"/>
        <v>9.5437223889657009E-3</v>
      </c>
      <c r="N22" s="102">
        <f t="shared" si="29"/>
        <v>8.9580048731546496E-3</v>
      </c>
      <c r="O22" s="102">
        <f t="shared" si="29"/>
        <v>8.6140935456003962E-3</v>
      </c>
      <c r="P22" s="102">
        <f t="shared" si="29"/>
        <v>6.6073095213404253E-3</v>
      </c>
      <c r="Q22" s="102">
        <f>-H22/H20</f>
        <v>6.8607996061962537E-3</v>
      </c>
      <c r="R22" s="108">
        <f>AVERAGE(K22:Q22)</f>
        <v>5.7721695528278622E-3</v>
      </c>
      <c r="S22" s="31">
        <f>-$R$22*S20</f>
        <v>-44.818413443481894</v>
      </c>
      <c r="T22" s="31">
        <f t="shared" ref="T22:W22" si="30">-$R$22*T20</f>
        <v>-53.072104279103684</v>
      </c>
      <c r="U22" s="31">
        <f t="shared" si="30"/>
        <v>-62.862147071253744</v>
      </c>
      <c r="V22" s="31">
        <f t="shared" si="30"/>
        <v>-74.477817170513404</v>
      </c>
      <c r="W22" s="31">
        <f t="shared" si="30"/>
        <v>-88.263513908643148</v>
      </c>
    </row>
    <row r="23" spans="1:23" s="116" customFormat="1" ht="20" customHeight="1" x14ac:dyDescent="0.2">
      <c r="A23" s="110" t="s">
        <v>17</v>
      </c>
      <c r="B23" s="111">
        <f t="shared" ref="B23:G23" si="31">SUM(B20:B22)</f>
        <v>1691.4000000000005</v>
      </c>
      <c r="C23" s="111">
        <f t="shared" si="31"/>
        <v>2445.8999999999992</v>
      </c>
      <c r="D23" s="111">
        <f t="shared" si="31"/>
        <v>2937.0000000000005</v>
      </c>
      <c r="E23" s="111">
        <f t="shared" si="31"/>
        <v>2765.8</v>
      </c>
      <c r="F23" s="111">
        <f t="shared" si="31"/>
        <v>4016.5999999999995</v>
      </c>
      <c r="G23" s="111">
        <f t="shared" si="31"/>
        <v>6705.4999999999991</v>
      </c>
      <c r="H23" s="111">
        <f t="shared" ref="H23" si="32">SUM(H20:H22)</f>
        <v>6456.1000000000022</v>
      </c>
      <c r="I23" s="111"/>
      <c r="J23" s="112"/>
      <c r="K23" s="113"/>
      <c r="L23" s="113"/>
      <c r="M23" s="113"/>
      <c r="N23" s="113"/>
      <c r="O23" s="113"/>
      <c r="P23" s="113"/>
      <c r="Q23" s="113"/>
      <c r="R23" s="114"/>
      <c r="S23" s="115">
        <f>S20+S22</f>
        <v>7719.7513957584597</v>
      </c>
      <c r="T23" s="115">
        <f t="shared" ref="T23:W23" si="33">T20+T22</f>
        <v>9141.4090684201565</v>
      </c>
      <c r="U23" s="115">
        <f t="shared" si="33"/>
        <v>10827.69581314264</v>
      </c>
      <c r="V23" s="115">
        <f t="shared" si="33"/>
        <v>12828.437887033937</v>
      </c>
      <c r="W23" s="115">
        <f t="shared" si="33"/>
        <v>15202.956381979842</v>
      </c>
    </row>
    <row r="24" spans="1:23" ht="20" customHeight="1" x14ac:dyDescent="0.2">
      <c r="J24" s="104"/>
      <c r="K24" s="103"/>
      <c r="L24" s="103"/>
      <c r="M24" s="103"/>
      <c r="N24" s="103"/>
      <c r="O24" s="103"/>
      <c r="P24" s="103"/>
      <c r="Q24" s="103"/>
      <c r="R24" s="108"/>
      <c r="S24" s="31"/>
      <c r="T24" s="31"/>
      <c r="U24" s="31"/>
      <c r="V24" s="31"/>
      <c r="W24" s="31"/>
    </row>
    <row r="25" spans="1:23" ht="20" customHeight="1" x14ac:dyDescent="0.2">
      <c r="A25" s="97" t="s">
        <v>18</v>
      </c>
      <c r="B25" s="21">
        <v>-219.5</v>
      </c>
      <c r="C25" s="21">
        <v>-310.7</v>
      </c>
      <c r="D25" s="21">
        <v>-351.6</v>
      </c>
      <c r="E25" s="21">
        <v>-191.7</v>
      </c>
      <c r="F25" s="21">
        <v>-551.5</v>
      </c>
      <c r="G25" s="21">
        <v>-1021.4</v>
      </c>
      <c r="H25" s="21">
        <v>-969.9</v>
      </c>
      <c r="I25" s="21"/>
      <c r="J25" s="104" t="s">
        <v>305</v>
      </c>
      <c r="K25" s="102">
        <f t="shared" ref="K25:P25" si="34">-B25/B23</f>
        <v>0.12977415159039846</v>
      </c>
      <c r="L25" s="102">
        <f t="shared" si="34"/>
        <v>0.12702890551535226</v>
      </c>
      <c r="M25" s="102">
        <f t="shared" si="34"/>
        <v>0.11971399387129723</v>
      </c>
      <c r="N25" s="102">
        <f t="shared" si="34"/>
        <v>6.9310868464820291E-2</v>
      </c>
      <c r="O25" s="102">
        <f t="shared" si="34"/>
        <v>0.13730518348852264</v>
      </c>
      <c r="P25" s="102">
        <f t="shared" si="34"/>
        <v>0.15232272015509657</v>
      </c>
      <c r="Q25" s="102">
        <f>-H25/H23</f>
        <v>0.15023001502455038</v>
      </c>
      <c r="R25" s="108">
        <f>AVERAGE(K25:Q25)</f>
        <v>0.12652654830143395</v>
      </c>
      <c r="S25" s="31">
        <f>-$R$25*S23</f>
        <v>-976.75349785049491</v>
      </c>
      <c r="T25" s="31">
        <f t="shared" ref="T25:W25" si="35">-$R$25*T23</f>
        <v>-1156.6309360386292</v>
      </c>
      <c r="U25" s="31">
        <f t="shared" si="35"/>
        <v>-1369.9909772948263</v>
      </c>
      <c r="V25" s="31">
        <f t="shared" si="35"/>
        <v>-1623.1379659457448</v>
      </c>
      <c r="W25" s="31">
        <f t="shared" si="35"/>
        <v>-1923.5775949891661</v>
      </c>
    </row>
    <row r="26" spans="1:23" s="116" customFormat="1" ht="20" customHeight="1" x14ac:dyDescent="0.2">
      <c r="A26" s="110" t="s">
        <v>19</v>
      </c>
      <c r="B26" s="111">
        <f t="shared" ref="B26:G26" si="36">SUM(B23:B25)</f>
        <v>1471.9000000000005</v>
      </c>
      <c r="C26" s="111">
        <f t="shared" si="36"/>
        <v>2135.1999999999994</v>
      </c>
      <c r="D26" s="111">
        <f t="shared" si="36"/>
        <v>2585.4000000000005</v>
      </c>
      <c r="E26" s="111">
        <f t="shared" si="36"/>
        <v>2574.1000000000004</v>
      </c>
      <c r="F26" s="111">
        <f t="shared" si="36"/>
        <v>3465.0999999999995</v>
      </c>
      <c r="G26" s="111">
        <f t="shared" si="36"/>
        <v>5684.0999999999995</v>
      </c>
      <c r="H26" s="111">
        <f t="shared" ref="H26" si="37">SUM(H23:H25)</f>
        <v>5486.2000000000025</v>
      </c>
      <c r="I26" s="111"/>
      <c r="J26" s="112"/>
      <c r="K26" s="113"/>
      <c r="L26" s="113"/>
      <c r="M26" s="113"/>
      <c r="N26" s="113"/>
      <c r="O26" s="113"/>
      <c r="P26" s="113"/>
      <c r="Q26" s="113"/>
      <c r="R26" s="114"/>
      <c r="S26" s="115">
        <f>S23+S25</f>
        <v>6742.9978979079651</v>
      </c>
      <c r="T26" s="115">
        <f t="shared" ref="T26:W26" si="38">T23+T25</f>
        <v>7984.778132381527</v>
      </c>
      <c r="U26" s="115">
        <f t="shared" si="38"/>
        <v>9457.7048358478132</v>
      </c>
      <c r="V26" s="115">
        <f t="shared" si="38"/>
        <v>11205.299921088192</v>
      </c>
      <c r="W26" s="115">
        <f t="shared" si="38"/>
        <v>13279.378786990676</v>
      </c>
    </row>
    <row r="27" spans="1:23" ht="20" customHeight="1" x14ac:dyDescent="0.2">
      <c r="J27" s="104"/>
      <c r="K27" s="103"/>
      <c r="L27" s="103"/>
      <c r="M27" s="103"/>
      <c r="N27" s="103"/>
      <c r="O27" s="103"/>
      <c r="P27" s="103"/>
      <c r="Q27" s="103"/>
      <c r="R27" s="108"/>
      <c r="S27" s="31"/>
      <c r="T27" s="31"/>
      <c r="U27" s="31"/>
      <c r="V27" s="31"/>
      <c r="W27" s="31"/>
    </row>
    <row r="28" spans="1:23" ht="20" customHeight="1" x14ac:dyDescent="0.2">
      <c r="A28" s="97" t="s">
        <v>20</v>
      </c>
      <c r="B28" s="21">
        <v>0</v>
      </c>
      <c r="C28" s="21">
        <v>-16.7</v>
      </c>
      <c r="D28" s="21">
        <v>6.2</v>
      </c>
      <c r="E28" s="21">
        <v>18.2</v>
      </c>
      <c r="F28" s="21">
        <v>88.6</v>
      </c>
      <c r="G28" s="21">
        <v>199.1</v>
      </c>
      <c r="H28" s="21">
        <v>138</v>
      </c>
      <c r="I28" s="21"/>
      <c r="J28" s="101" t="s">
        <v>303</v>
      </c>
      <c r="K28" s="102">
        <f t="shared" ref="K28:P28" si="39">B28/B9</f>
        <v>0</v>
      </c>
      <c r="L28" s="102">
        <f t="shared" si="39"/>
        <v>-1.844733121244256E-3</v>
      </c>
      <c r="M28" s="102">
        <f t="shared" si="39"/>
        <v>5.665204678362573E-4</v>
      </c>
      <c r="N28" s="102">
        <f t="shared" si="39"/>
        <v>1.5397631133671741E-3</v>
      </c>
      <c r="O28" s="102">
        <f t="shared" si="39"/>
        <v>6.3383052544979789E-3</v>
      </c>
      <c r="P28" s="102">
        <f t="shared" si="39"/>
        <v>1.0697974316264574E-2</v>
      </c>
      <c r="Q28" s="102">
        <f>H28/H9</f>
        <v>6.5176117203661196E-3</v>
      </c>
      <c r="R28" s="108">
        <f>AVERAGE(K28:Q28)</f>
        <v>3.4022059644411217E-3</v>
      </c>
      <c r="S28" s="31">
        <f>$R$28*S9</f>
        <v>85.291689779492302</v>
      </c>
      <c r="T28" s="31">
        <f t="shared" ref="T28:W28" si="40">$R$28*T9</f>
        <v>101.01234288739461</v>
      </c>
      <c r="U28" s="31">
        <f t="shared" si="40"/>
        <v>119.66197009581877</v>
      </c>
      <c r="V28" s="31">
        <f t="shared" si="40"/>
        <v>141.79260033975564</v>
      </c>
      <c r="W28" s="31">
        <f t="shared" si="40"/>
        <v>168.06156310529153</v>
      </c>
    </row>
    <row r="29" spans="1:23" ht="20" customHeight="1" x14ac:dyDescent="0.2">
      <c r="A29" s="17"/>
      <c r="B29" s="23"/>
      <c r="C29" s="23"/>
      <c r="D29" s="23"/>
      <c r="E29" s="23"/>
      <c r="F29" s="23"/>
      <c r="G29" s="23"/>
      <c r="H29" s="23"/>
      <c r="I29" s="23"/>
      <c r="J29" s="105"/>
      <c r="K29" s="105"/>
      <c r="L29" s="105"/>
      <c r="M29" s="105"/>
      <c r="N29" s="105"/>
      <c r="O29" s="105"/>
      <c r="P29" s="105"/>
      <c r="Q29" s="105"/>
      <c r="R29" s="108"/>
      <c r="S29" s="31"/>
      <c r="T29" s="31"/>
      <c r="U29" s="31"/>
      <c r="V29" s="31"/>
      <c r="W29" s="31"/>
    </row>
    <row r="30" spans="1:23" s="25" customFormat="1" ht="20" customHeight="1" thickBot="1" x14ac:dyDescent="0.25">
      <c r="A30" s="66" t="s">
        <v>21</v>
      </c>
      <c r="B30" s="34">
        <f t="shared" ref="B30:G30" si="41">SUM(B26:B28)</f>
        <v>1471.9000000000005</v>
      </c>
      <c r="C30" s="34">
        <f t="shared" si="41"/>
        <v>2118.4999999999995</v>
      </c>
      <c r="D30" s="34">
        <f t="shared" si="41"/>
        <v>2591.6000000000004</v>
      </c>
      <c r="E30" s="34">
        <f t="shared" si="41"/>
        <v>2592.3000000000002</v>
      </c>
      <c r="F30" s="34">
        <f t="shared" si="41"/>
        <v>3553.6999999999994</v>
      </c>
      <c r="G30" s="34">
        <f t="shared" si="41"/>
        <v>5883.2</v>
      </c>
      <c r="H30" s="34">
        <f t="shared" ref="H30" si="42">SUM(H26:H28)</f>
        <v>5624.2000000000025</v>
      </c>
      <c r="I30" s="34"/>
      <c r="J30" s="106"/>
      <c r="K30" s="106"/>
      <c r="L30" s="106"/>
      <c r="M30" s="106"/>
      <c r="N30" s="106"/>
      <c r="O30" s="106"/>
      <c r="P30" s="106"/>
      <c r="Q30" s="106"/>
      <c r="R30" s="107"/>
      <c r="S30" s="96">
        <f>S26+S28</f>
        <v>6828.2895876874572</v>
      </c>
      <c r="T30" s="96">
        <f t="shared" ref="T30:W30" si="43">T26+T28</f>
        <v>8085.7904752689219</v>
      </c>
      <c r="U30" s="96">
        <f t="shared" si="43"/>
        <v>9577.3668059436313</v>
      </c>
      <c r="V30" s="96">
        <f t="shared" si="43"/>
        <v>11347.092521427947</v>
      </c>
      <c r="W30" s="96">
        <f t="shared" si="43"/>
        <v>13447.440350095967</v>
      </c>
    </row>
    <row r="31" spans="1:23" ht="20" customHeight="1" thickTop="1" x14ac:dyDescent="0.2"/>
    <row r="32" spans="1:23" ht="20" customHeight="1" x14ac:dyDescent="0.2">
      <c r="A32" s="17" t="s">
        <v>22</v>
      </c>
      <c r="B32" s="330">
        <f t="shared" ref="B32:G32" si="44">B30/B35</f>
        <v>3.4584116541353396</v>
      </c>
      <c r="C32" s="330">
        <f t="shared" si="44"/>
        <v>4.9290367612843173</v>
      </c>
      <c r="D32" s="330">
        <f t="shared" si="44"/>
        <v>6.0993174864674051</v>
      </c>
      <c r="E32" s="330">
        <f t="shared" si="44"/>
        <v>6.1604087452471488</v>
      </c>
      <c r="F32" s="330">
        <f t="shared" si="44"/>
        <v>8.4955773368395864</v>
      </c>
      <c r="G32" s="330">
        <f t="shared" si="44"/>
        <v>14.356271351878965</v>
      </c>
      <c r="H32" s="330">
        <f t="shared" ref="H32:W32" si="45">H30/H35</f>
        <v>14.141815438772952</v>
      </c>
      <c r="I32" s="330"/>
      <c r="J32" s="330"/>
      <c r="K32" s="330"/>
      <c r="L32" s="330"/>
      <c r="M32" s="330"/>
      <c r="N32" s="330"/>
      <c r="O32" s="330"/>
      <c r="P32" s="330"/>
      <c r="Q32" s="330"/>
      <c r="R32" s="330"/>
      <c r="S32" s="330">
        <f t="shared" si="45"/>
        <v>17.169448296925967</v>
      </c>
      <c r="T32" s="330">
        <f t="shared" si="45"/>
        <v>20.331381632559523</v>
      </c>
      <c r="U32" s="330">
        <f t="shared" si="45"/>
        <v>24.081887870112226</v>
      </c>
      <c r="V32" s="330">
        <f t="shared" si="45"/>
        <v>28.53178909084221</v>
      </c>
      <c r="W32" s="330">
        <f t="shared" si="45"/>
        <v>33.813025773437182</v>
      </c>
    </row>
    <row r="33" spans="1:23" ht="20" customHeight="1" x14ac:dyDescent="0.2">
      <c r="A33" s="17" t="s">
        <v>23</v>
      </c>
      <c r="B33" s="330">
        <f t="shared" ref="B33:G33" si="46">B30/B36</f>
        <v>3.4414309095160172</v>
      </c>
      <c r="C33" s="330">
        <f t="shared" si="46"/>
        <v>4.908480074142723</v>
      </c>
      <c r="D33" s="330">
        <f t="shared" si="46"/>
        <v>6.0778611632270181</v>
      </c>
      <c r="E33" s="330">
        <f t="shared" si="46"/>
        <v>6.1487191650853887</v>
      </c>
      <c r="F33" s="330">
        <f t="shared" si="46"/>
        <v>8.4793605344786425</v>
      </c>
      <c r="G33" s="330">
        <f t="shared" si="46"/>
        <v>14.335282651072125</v>
      </c>
      <c r="H33" s="330">
        <f t="shared" ref="H33:W33" si="47">H30/H36</f>
        <v>14.131155778894479</v>
      </c>
      <c r="I33" s="330"/>
      <c r="J33" s="330"/>
      <c r="K33" s="330"/>
      <c r="L33" s="330"/>
      <c r="M33" s="330"/>
      <c r="N33" s="330"/>
      <c r="O33" s="330"/>
      <c r="P33" s="330"/>
      <c r="Q33" s="330"/>
      <c r="R33" s="330"/>
      <c r="S33" s="330">
        <f t="shared" si="47"/>
        <v>17.156506501727279</v>
      </c>
      <c r="T33" s="330">
        <f t="shared" si="47"/>
        <v>20.316056470524931</v>
      </c>
      <c r="U33" s="330">
        <f t="shared" si="47"/>
        <v>24.063735693325707</v>
      </c>
      <c r="V33" s="330">
        <f t="shared" si="47"/>
        <v>28.510282717155647</v>
      </c>
      <c r="W33" s="330">
        <f t="shared" si="47"/>
        <v>33.787538568080322</v>
      </c>
    </row>
    <row r="34" spans="1:23" ht="17" x14ac:dyDescent="0.2">
      <c r="A34" s="17" t="s">
        <v>24</v>
      </c>
      <c r="B34" s="331"/>
      <c r="C34" s="331"/>
      <c r="D34" s="332"/>
      <c r="E34" s="332"/>
      <c r="F34" s="332"/>
      <c r="G34" s="332"/>
      <c r="H34" s="332"/>
      <c r="I34" s="332"/>
      <c r="J34" s="332"/>
      <c r="K34" s="332"/>
      <c r="L34" s="332"/>
      <c r="M34" s="332"/>
      <c r="N34" s="332"/>
      <c r="O34" s="332"/>
      <c r="P34" s="332"/>
      <c r="Q34" s="332"/>
      <c r="R34" s="332"/>
      <c r="S34" s="332"/>
      <c r="T34" s="332"/>
      <c r="U34" s="332"/>
      <c r="V34" s="332"/>
      <c r="W34" s="332"/>
    </row>
    <row r="35" spans="1:23" ht="20" customHeight="1" x14ac:dyDescent="0.2">
      <c r="A35" s="17" t="s">
        <v>25</v>
      </c>
      <c r="B35" s="331">
        <v>425.6</v>
      </c>
      <c r="C35" s="331">
        <v>429.8</v>
      </c>
      <c r="D35" s="333">
        <v>424.9</v>
      </c>
      <c r="E35" s="333">
        <v>420.8</v>
      </c>
      <c r="F35" s="333">
        <v>418.3</v>
      </c>
      <c r="G35" s="333">
        <v>409.8</v>
      </c>
      <c r="H35" s="333">
        <v>397.7</v>
      </c>
      <c r="I35" s="333"/>
      <c r="J35" s="333"/>
      <c r="K35" s="333"/>
      <c r="L35" s="333"/>
      <c r="M35" s="333"/>
      <c r="N35" s="333"/>
      <c r="O35" s="333"/>
      <c r="P35" s="333"/>
      <c r="Q35" s="333"/>
      <c r="R35" s="333"/>
      <c r="S35" s="333">
        <v>397.7</v>
      </c>
      <c r="T35" s="333">
        <v>397.7</v>
      </c>
      <c r="U35" s="333">
        <v>397.7</v>
      </c>
      <c r="V35" s="333">
        <v>397.7</v>
      </c>
      <c r="W35" s="333">
        <v>397.7</v>
      </c>
    </row>
    <row r="36" spans="1:23" ht="20" customHeight="1" x14ac:dyDescent="0.2">
      <c r="A36" s="17" t="s">
        <v>26</v>
      </c>
      <c r="B36" s="331">
        <v>427.7</v>
      </c>
      <c r="C36" s="331">
        <v>431.6</v>
      </c>
      <c r="D36" s="333">
        <v>426.4</v>
      </c>
      <c r="E36" s="333">
        <v>421.6</v>
      </c>
      <c r="F36" s="333">
        <v>419.1</v>
      </c>
      <c r="G36" s="333">
        <v>410.4</v>
      </c>
      <c r="H36" s="333">
        <v>398</v>
      </c>
      <c r="I36" s="333"/>
      <c r="J36" s="333"/>
      <c r="K36" s="333"/>
      <c r="L36" s="333"/>
      <c r="M36" s="333"/>
      <c r="N36" s="333"/>
      <c r="O36" s="333"/>
      <c r="P36" s="333"/>
      <c r="Q36" s="333"/>
      <c r="R36" s="333"/>
      <c r="S36" s="333">
        <v>398</v>
      </c>
      <c r="T36" s="333">
        <v>398</v>
      </c>
      <c r="U36" s="333">
        <v>398</v>
      </c>
      <c r="V36" s="333">
        <v>398</v>
      </c>
      <c r="W36" s="333">
        <v>398</v>
      </c>
    </row>
    <row r="37" spans="1:23" ht="20" customHeight="1" x14ac:dyDescent="0.2">
      <c r="A37" s="57"/>
    </row>
    <row r="38" spans="1:23" ht="20" customHeight="1" x14ac:dyDescent="0.2">
      <c r="A38" s="61"/>
      <c r="B38" s="62">
        <v>2016</v>
      </c>
      <c r="C38" s="62">
        <v>2017</v>
      </c>
      <c r="D38" s="62">
        <v>2018</v>
      </c>
      <c r="E38" s="62">
        <v>2019</v>
      </c>
      <c r="F38" s="62">
        <v>2020</v>
      </c>
      <c r="G38" s="62">
        <v>2021</v>
      </c>
      <c r="H38" s="62">
        <v>2022</v>
      </c>
    </row>
    <row r="39" spans="1:23" x14ac:dyDescent="0.2">
      <c r="A39" s="29"/>
      <c r="D39" s="33"/>
      <c r="E39" s="33"/>
      <c r="F39" s="33"/>
      <c r="G39" s="33"/>
      <c r="H39" s="33"/>
    </row>
    <row r="40" spans="1:23" ht="17" x14ac:dyDescent="0.2">
      <c r="A40" s="22" t="s">
        <v>29</v>
      </c>
    </row>
    <row r="41" spans="1:23" ht="17" x14ac:dyDescent="0.2">
      <c r="A41" s="17" t="s">
        <v>30</v>
      </c>
      <c r="B41" s="21">
        <v>2906.9</v>
      </c>
      <c r="C41" s="21">
        <v>2259</v>
      </c>
      <c r="D41" s="21">
        <v>3121.1</v>
      </c>
      <c r="E41" s="21">
        <v>3532.3</v>
      </c>
      <c r="F41" s="21">
        <v>6049.4</v>
      </c>
      <c r="G41" s="21">
        <v>6951.8</v>
      </c>
      <c r="H41" s="21">
        <v>7268.3</v>
      </c>
    </row>
    <row r="42" spans="1:23" ht="17" x14ac:dyDescent="0.2">
      <c r="A42" s="17" t="s">
        <v>31</v>
      </c>
      <c r="B42" s="21">
        <v>1150</v>
      </c>
      <c r="C42" s="21">
        <v>1029.3</v>
      </c>
      <c r="D42" s="21">
        <v>913.3</v>
      </c>
      <c r="E42" s="21">
        <v>1185.8</v>
      </c>
      <c r="F42" s="21">
        <v>1302.2</v>
      </c>
      <c r="G42" s="21">
        <v>638.5</v>
      </c>
      <c r="H42" s="21">
        <v>107.7</v>
      </c>
    </row>
    <row r="43" spans="1:23" ht="17" x14ac:dyDescent="0.2">
      <c r="A43" s="17" t="s">
        <v>32</v>
      </c>
      <c r="B43" s="21">
        <v>700.2</v>
      </c>
      <c r="C43" s="21">
        <v>1772.3</v>
      </c>
      <c r="D43" s="21">
        <v>1498.2</v>
      </c>
      <c r="E43" s="21">
        <v>1786.8</v>
      </c>
      <c r="F43" s="21">
        <v>1310.3</v>
      </c>
      <c r="G43" s="21">
        <v>3028</v>
      </c>
      <c r="H43" s="21">
        <v>5323.8</v>
      </c>
    </row>
    <row r="44" spans="1:23" ht="20" customHeight="1" x14ac:dyDescent="0.2">
      <c r="A44" s="17" t="s">
        <v>33</v>
      </c>
      <c r="B44" s="21">
        <v>447.4</v>
      </c>
      <c r="C44" s="21">
        <v>59.1</v>
      </c>
      <c r="D44" s="21">
        <v>611.1</v>
      </c>
      <c r="E44" s="21">
        <v>564.5</v>
      </c>
      <c r="F44" s="21">
        <v>1710.5</v>
      </c>
      <c r="G44" s="21">
        <v>1185.5999999999999</v>
      </c>
      <c r="H44" s="21">
        <v>1356.7</v>
      </c>
    </row>
    <row r="45" spans="1:23" ht="20" customHeight="1" x14ac:dyDescent="0.2">
      <c r="A45" s="17" t="s">
        <v>34</v>
      </c>
      <c r="B45" s="21">
        <v>11.6</v>
      </c>
      <c r="C45" s="21">
        <v>61.6</v>
      </c>
      <c r="D45" s="21">
        <v>79.7</v>
      </c>
      <c r="E45" s="21">
        <v>178.7</v>
      </c>
      <c r="F45" s="21">
        <v>67.3</v>
      </c>
      <c r="G45" s="21">
        <v>42</v>
      </c>
      <c r="H45" s="21">
        <v>33.4</v>
      </c>
    </row>
    <row r="46" spans="1:23" ht="20" customHeight="1" x14ac:dyDescent="0.2">
      <c r="A46" s="17" t="s">
        <v>35</v>
      </c>
      <c r="B46" s="21"/>
      <c r="C46" s="21"/>
      <c r="D46" s="21">
        <v>95.9</v>
      </c>
      <c r="E46" s="21">
        <v>231</v>
      </c>
      <c r="F46" s="21">
        <v>119.2</v>
      </c>
      <c r="G46" s="21">
        <v>164.6</v>
      </c>
      <c r="H46" s="21">
        <v>131.9</v>
      </c>
    </row>
    <row r="47" spans="1:23" ht="20" customHeight="1" x14ac:dyDescent="0.2">
      <c r="A47" s="17" t="s">
        <v>36</v>
      </c>
      <c r="B47" s="21">
        <v>2780.9</v>
      </c>
      <c r="C47" s="21">
        <v>2958.4</v>
      </c>
      <c r="D47" s="21">
        <v>3439.5</v>
      </c>
      <c r="E47" s="21">
        <v>3809.2</v>
      </c>
      <c r="F47" s="21">
        <v>4569.3999999999996</v>
      </c>
      <c r="G47" s="21">
        <v>5179.2</v>
      </c>
      <c r="H47" s="21">
        <v>7199.7</v>
      </c>
    </row>
    <row r="48" spans="1:23" ht="20" customHeight="1" x14ac:dyDescent="0.2">
      <c r="A48" s="64" t="s">
        <v>37</v>
      </c>
      <c r="B48" s="32">
        <v>560.4</v>
      </c>
      <c r="C48" s="32">
        <v>867.3</v>
      </c>
      <c r="D48" s="32">
        <v>772.6</v>
      </c>
      <c r="E48" s="32">
        <v>842.8</v>
      </c>
      <c r="F48" s="32">
        <v>801.7</v>
      </c>
      <c r="G48" s="32">
        <v>1000.5</v>
      </c>
      <c r="H48" s="32">
        <v>1643.4</v>
      </c>
    </row>
    <row r="49" spans="1:8" ht="20" customHeight="1" x14ac:dyDescent="0.2">
      <c r="A49" s="65" t="s">
        <v>38</v>
      </c>
      <c r="B49" s="30">
        <f t="shared" ref="B49:C49" si="48">SUM(B41:B48)</f>
        <v>8557.4</v>
      </c>
      <c r="C49" s="30">
        <f t="shared" si="48"/>
        <v>9007</v>
      </c>
      <c r="D49" s="30">
        <f>SUM(D41:D48)</f>
        <v>10531.4</v>
      </c>
      <c r="E49" s="30">
        <f t="shared" ref="E49:H49" si="49">SUM(E41:E48)</f>
        <v>12131.099999999999</v>
      </c>
      <c r="F49" s="30">
        <f t="shared" si="49"/>
        <v>15930</v>
      </c>
      <c r="G49" s="30">
        <f t="shared" si="49"/>
        <v>18190.2</v>
      </c>
      <c r="H49" s="30">
        <f t="shared" si="49"/>
        <v>23064.9</v>
      </c>
    </row>
    <row r="50" spans="1:8" ht="20" customHeight="1" x14ac:dyDescent="0.2"/>
    <row r="51" spans="1:8" ht="20" customHeight="1" x14ac:dyDescent="0.2">
      <c r="A51" s="17" t="s">
        <v>33</v>
      </c>
      <c r="B51" s="21">
        <v>117.2</v>
      </c>
      <c r="C51" s="21">
        <v>264.89999999999998</v>
      </c>
      <c r="D51" s="21">
        <v>275.10000000000002</v>
      </c>
      <c r="E51" s="21">
        <v>421.1</v>
      </c>
      <c r="F51" s="21">
        <v>400.5</v>
      </c>
      <c r="G51" s="21">
        <v>383</v>
      </c>
      <c r="H51" s="21">
        <v>0</v>
      </c>
    </row>
    <row r="52" spans="1:8" ht="20" customHeight="1" x14ac:dyDescent="0.2">
      <c r="A52" s="17" t="s">
        <v>39</v>
      </c>
      <c r="B52" s="21">
        <v>34.9</v>
      </c>
      <c r="C52" s="21">
        <v>31.7</v>
      </c>
      <c r="D52" s="21">
        <v>236.3</v>
      </c>
      <c r="E52" s="21">
        <v>445.3</v>
      </c>
      <c r="F52" s="21">
        <v>671.5</v>
      </c>
      <c r="G52" s="21">
        <v>1098.7</v>
      </c>
      <c r="H52" s="21">
        <v>1672.8</v>
      </c>
    </row>
    <row r="53" spans="1:8" ht="16.75" customHeight="1" x14ac:dyDescent="0.2">
      <c r="A53" s="17" t="s">
        <v>40</v>
      </c>
      <c r="B53" s="21"/>
      <c r="C53" s="21"/>
      <c r="D53" s="21">
        <v>0</v>
      </c>
      <c r="E53" s="21">
        <v>0</v>
      </c>
      <c r="F53" s="21">
        <v>0</v>
      </c>
      <c r="G53" s="21">
        <v>124.4</v>
      </c>
      <c r="H53" s="21">
        <v>364.4</v>
      </c>
    </row>
    <row r="54" spans="1:8" ht="16.75" customHeight="1" x14ac:dyDescent="0.2">
      <c r="A54" s="17" t="s">
        <v>37</v>
      </c>
      <c r="B54" s="21">
        <v>612.29999999999995</v>
      </c>
      <c r="C54" s="21">
        <v>602.70000000000005</v>
      </c>
      <c r="D54" s="21">
        <v>806.1</v>
      </c>
      <c r="E54" s="21">
        <v>830.4</v>
      </c>
      <c r="F54" s="21">
        <v>951.5</v>
      </c>
      <c r="G54" s="21">
        <v>887</v>
      </c>
      <c r="H54" s="21">
        <v>739.8</v>
      </c>
    </row>
    <row r="55" spans="1:8" ht="16.75" customHeight="1" x14ac:dyDescent="0.2">
      <c r="A55" s="17" t="s">
        <v>41</v>
      </c>
      <c r="B55" s="21">
        <v>0</v>
      </c>
      <c r="C55" s="21">
        <v>982.2</v>
      </c>
      <c r="D55" s="21">
        <v>915.8</v>
      </c>
      <c r="E55" s="21">
        <v>833</v>
      </c>
      <c r="F55" s="21">
        <v>820.7</v>
      </c>
      <c r="G55" s="21">
        <v>892.5</v>
      </c>
      <c r="H55" s="21">
        <v>923.6</v>
      </c>
    </row>
    <row r="56" spans="1:8" ht="16.75" customHeight="1" x14ac:dyDescent="0.2">
      <c r="A56" s="17" t="s">
        <v>42</v>
      </c>
      <c r="B56" s="21">
        <v>4873.8999999999996</v>
      </c>
      <c r="C56" s="21">
        <v>4541.1000000000004</v>
      </c>
      <c r="D56" s="21">
        <v>4541.1000000000004</v>
      </c>
      <c r="E56" s="21">
        <v>4541.1000000000004</v>
      </c>
      <c r="F56" s="21">
        <v>4629.1000000000004</v>
      </c>
      <c r="G56" s="21">
        <v>4555.6000000000004</v>
      </c>
      <c r="H56" s="21">
        <v>4555.6000000000004</v>
      </c>
    </row>
    <row r="57" spans="1:8" ht="16.75" customHeight="1" x14ac:dyDescent="0.2">
      <c r="A57" s="17" t="s">
        <v>43</v>
      </c>
      <c r="B57" s="21">
        <v>1323</v>
      </c>
      <c r="C57" s="21">
        <v>1166</v>
      </c>
      <c r="D57" s="21">
        <v>1104</v>
      </c>
      <c r="E57" s="21">
        <v>1104.4000000000001</v>
      </c>
      <c r="F57" s="21">
        <v>1048.9000000000001</v>
      </c>
      <c r="G57" s="21">
        <v>952.1</v>
      </c>
      <c r="H57" s="21">
        <v>842.4</v>
      </c>
    </row>
    <row r="58" spans="1:8" ht="16.75" customHeight="1" x14ac:dyDescent="0.2">
      <c r="A58" s="17" t="s">
        <v>44</v>
      </c>
      <c r="B58" s="21">
        <v>1687.2</v>
      </c>
      <c r="C58" s="21">
        <v>1600.8</v>
      </c>
      <c r="D58" s="21">
        <v>1589.5</v>
      </c>
      <c r="E58" s="21">
        <v>1999.3</v>
      </c>
      <c r="F58" s="21">
        <v>2470.3000000000002</v>
      </c>
      <c r="G58" s="21">
        <v>2982.7</v>
      </c>
      <c r="H58" s="21">
        <v>3944.2</v>
      </c>
    </row>
    <row r="59" spans="1:8" ht="16.75" customHeight="1" x14ac:dyDescent="0.2">
      <c r="A59" s="17" t="s">
        <v>109</v>
      </c>
      <c r="B59" s="21"/>
      <c r="C59" s="21"/>
      <c r="D59" s="21">
        <v>137.6</v>
      </c>
      <c r="E59" s="21">
        <v>205.4</v>
      </c>
      <c r="F59" s="21">
        <v>180.1</v>
      </c>
      <c r="G59" s="21">
        <v>159.5</v>
      </c>
      <c r="H59" s="21">
        <v>192.7</v>
      </c>
    </row>
    <row r="60" spans="1:8" ht="16.75" customHeight="1" x14ac:dyDescent="0.2">
      <c r="A60" s="64" t="s">
        <v>110</v>
      </c>
      <c r="B60" s="21"/>
      <c r="C60" s="21"/>
      <c r="D60" s="21">
        <v>0</v>
      </c>
      <c r="E60" s="21">
        <v>118.5</v>
      </c>
      <c r="F60" s="21">
        <v>164.8</v>
      </c>
      <c r="G60" s="21">
        <v>5.3</v>
      </c>
      <c r="H60" s="21">
        <v>0</v>
      </c>
    </row>
    <row r="61" spans="1:8" ht="16.75" customHeight="1" x14ac:dyDescent="0.2">
      <c r="A61" s="65" t="s">
        <v>45</v>
      </c>
      <c r="B61" s="30">
        <f t="shared" ref="B61:G61" si="50">SUM(B51:B60)</f>
        <v>8648.5</v>
      </c>
      <c r="C61" s="30">
        <f t="shared" si="50"/>
        <v>9189.4</v>
      </c>
      <c r="D61" s="30">
        <f t="shared" si="50"/>
        <v>9605.5000000000018</v>
      </c>
      <c r="E61" s="30">
        <f t="shared" si="50"/>
        <v>10498.5</v>
      </c>
      <c r="F61" s="30">
        <f t="shared" si="50"/>
        <v>11337.4</v>
      </c>
      <c r="G61" s="30">
        <f t="shared" si="50"/>
        <v>12040.8</v>
      </c>
      <c r="H61" s="30">
        <f t="shared" ref="H61" si="51">SUM(H51:H60)</f>
        <v>13235.5</v>
      </c>
    </row>
    <row r="62" spans="1:8" ht="16.75" customHeight="1" x14ac:dyDescent="0.2"/>
    <row r="63" spans="1:8" ht="16.75" customHeight="1" thickBot="1" x14ac:dyDescent="0.25">
      <c r="A63" s="66" t="s">
        <v>46</v>
      </c>
      <c r="B63" s="34">
        <f t="shared" ref="B63:G63" si="52">B61+B49</f>
        <v>17205.900000000001</v>
      </c>
      <c r="C63" s="34">
        <f t="shared" si="52"/>
        <v>18196.400000000001</v>
      </c>
      <c r="D63" s="34">
        <f t="shared" si="52"/>
        <v>20136.900000000001</v>
      </c>
      <c r="E63" s="34">
        <f t="shared" si="52"/>
        <v>22629.599999999999</v>
      </c>
      <c r="F63" s="34">
        <f t="shared" si="52"/>
        <v>27267.4</v>
      </c>
      <c r="G63" s="34">
        <f t="shared" si="52"/>
        <v>30231</v>
      </c>
      <c r="H63" s="34">
        <f t="shared" ref="H63" si="53">H61+H49</f>
        <v>36300.400000000001</v>
      </c>
    </row>
    <row r="64" spans="1:8" ht="16.75" customHeight="1" thickTop="1" x14ac:dyDescent="0.2"/>
    <row r="65" spans="1:8" ht="16.75" customHeight="1" x14ac:dyDescent="0.2">
      <c r="A65" s="22" t="s">
        <v>47</v>
      </c>
    </row>
    <row r="66" spans="1:8" ht="16.75" customHeight="1" x14ac:dyDescent="0.2">
      <c r="A66" s="17" t="s">
        <v>48</v>
      </c>
      <c r="B66" s="21">
        <v>593.20000000000005</v>
      </c>
      <c r="C66" s="21">
        <v>837.3</v>
      </c>
      <c r="D66" s="21">
        <v>964</v>
      </c>
      <c r="E66" s="21">
        <v>1062.2</v>
      </c>
      <c r="F66" s="21">
        <v>1377.9</v>
      </c>
      <c r="G66" s="21">
        <v>2116.3000000000002</v>
      </c>
      <c r="H66" s="21">
        <v>2565.1999999999998</v>
      </c>
    </row>
    <row r="67" spans="1:8" ht="16.75" customHeight="1" x14ac:dyDescent="0.2">
      <c r="A67" s="17" t="s">
        <v>49</v>
      </c>
      <c r="B67" s="21">
        <v>2236</v>
      </c>
      <c r="C67" s="21">
        <v>625.5</v>
      </c>
      <c r="D67" s="21">
        <v>911.4</v>
      </c>
      <c r="E67" s="21">
        <v>1039.9000000000001</v>
      </c>
      <c r="F67" s="21">
        <v>1146</v>
      </c>
      <c r="G67" s="21">
        <v>1435.5</v>
      </c>
      <c r="H67" s="21">
        <v>1875.9</v>
      </c>
    </row>
    <row r="68" spans="1:8" ht="16.75" customHeight="1" x14ac:dyDescent="0.2">
      <c r="A68" s="17" t="s">
        <v>50</v>
      </c>
      <c r="B68" s="21">
        <v>201.9</v>
      </c>
      <c r="C68" s="21">
        <v>152</v>
      </c>
      <c r="D68" s="21">
        <v>187.9</v>
      </c>
      <c r="E68" s="21">
        <v>65.599999999999994</v>
      </c>
      <c r="F68" s="21">
        <v>110</v>
      </c>
      <c r="G68" s="21">
        <v>301.89999999999998</v>
      </c>
      <c r="H68" s="21">
        <v>315.3</v>
      </c>
    </row>
    <row r="69" spans="1:8" ht="16.75" customHeight="1" x14ac:dyDescent="0.2">
      <c r="A69" s="17" t="s">
        <v>51</v>
      </c>
      <c r="B69" s="21">
        <v>247.7</v>
      </c>
      <c r="C69" s="21">
        <v>25.2</v>
      </c>
      <c r="D69" s="21">
        <v>0</v>
      </c>
      <c r="E69" s="21">
        <v>0</v>
      </c>
      <c r="F69" s="21">
        <v>15.4</v>
      </c>
      <c r="G69" s="21">
        <v>509.1</v>
      </c>
      <c r="H69" s="21">
        <v>746.2</v>
      </c>
    </row>
    <row r="70" spans="1:8" ht="16.75" customHeight="1" x14ac:dyDescent="0.2">
      <c r="A70" s="64" t="s">
        <v>52</v>
      </c>
      <c r="B70" s="32">
        <v>1.8</v>
      </c>
      <c r="C70" s="32">
        <v>1530</v>
      </c>
      <c r="D70" s="32">
        <v>1728.6</v>
      </c>
      <c r="E70" s="32">
        <v>2526.4</v>
      </c>
      <c r="F70" s="32">
        <v>3954.2</v>
      </c>
      <c r="G70" s="32">
        <v>7935.2</v>
      </c>
      <c r="H70" s="32">
        <v>12481</v>
      </c>
    </row>
    <row r="71" spans="1:8" ht="16.75" customHeight="1" x14ac:dyDescent="0.2">
      <c r="A71" s="65" t="s">
        <v>53</v>
      </c>
      <c r="B71" s="30">
        <f t="shared" ref="B71:C71" si="54">SUM(B66:B70)</f>
        <v>3280.6</v>
      </c>
      <c r="C71" s="30">
        <f t="shared" si="54"/>
        <v>3170</v>
      </c>
      <c r="D71" s="30">
        <f>SUM(D66:D70)</f>
        <v>3791.9</v>
      </c>
      <c r="E71" s="30">
        <f t="shared" ref="E71:H71" si="55">SUM(E66:E70)</f>
        <v>4694.1000000000004</v>
      </c>
      <c r="F71" s="30">
        <f t="shared" si="55"/>
        <v>6603.5</v>
      </c>
      <c r="G71" s="30">
        <f t="shared" si="55"/>
        <v>12298</v>
      </c>
      <c r="H71" s="30">
        <f t="shared" si="55"/>
        <v>17983.599999999999</v>
      </c>
    </row>
    <row r="72" spans="1:8" ht="16.75" customHeight="1" x14ac:dyDescent="0.2"/>
    <row r="73" spans="1:8" ht="16.75" customHeight="1" x14ac:dyDescent="0.2">
      <c r="A73" s="17" t="s">
        <v>54</v>
      </c>
      <c r="B73" s="21">
        <v>3071.8</v>
      </c>
      <c r="C73" s="21">
        <v>3000.1</v>
      </c>
      <c r="D73" s="21">
        <v>3026.5</v>
      </c>
      <c r="E73" s="21">
        <v>3108.3</v>
      </c>
      <c r="F73" s="21">
        <v>4662.8</v>
      </c>
      <c r="G73" s="21">
        <v>4075</v>
      </c>
      <c r="H73" s="21">
        <v>3514.2</v>
      </c>
    </row>
    <row r="74" spans="1:8" ht="16.75" customHeight="1" x14ac:dyDescent="0.2">
      <c r="A74" s="17" t="s">
        <v>55</v>
      </c>
      <c r="B74" s="21">
        <v>396.9</v>
      </c>
      <c r="C74" s="21">
        <v>327.9</v>
      </c>
      <c r="D74" s="21">
        <v>251.2</v>
      </c>
      <c r="E74" s="21">
        <v>234.4</v>
      </c>
      <c r="F74" s="21">
        <v>238.3</v>
      </c>
      <c r="G74" s="21">
        <v>240.6</v>
      </c>
      <c r="H74" s="21">
        <v>267</v>
      </c>
    </row>
    <row r="75" spans="1:8" ht="16.75" customHeight="1" x14ac:dyDescent="0.2">
      <c r="A75" s="17" t="s">
        <v>52</v>
      </c>
      <c r="B75" s="21">
        <v>20.5</v>
      </c>
      <c r="C75" s="21">
        <v>21.2</v>
      </c>
      <c r="D75" s="21">
        <v>1224.5999999999999</v>
      </c>
      <c r="E75" s="21">
        <v>1759.6</v>
      </c>
      <c r="F75" s="21">
        <v>1639.9</v>
      </c>
      <c r="G75" s="21">
        <v>3225.7</v>
      </c>
      <c r="H75" s="21">
        <v>5269.9</v>
      </c>
    </row>
    <row r="76" spans="1:8" ht="16.75" customHeight="1" x14ac:dyDescent="0.2">
      <c r="A76" s="64" t="s">
        <v>49</v>
      </c>
      <c r="B76" s="32">
        <v>615.70000000000005</v>
      </c>
      <c r="C76" s="32">
        <v>829.1</v>
      </c>
      <c r="D76" s="32">
        <v>201.7</v>
      </c>
      <c r="E76" s="32">
        <v>241</v>
      </c>
      <c r="F76" s="32">
        <v>257.5</v>
      </c>
      <c r="G76" s="32">
        <v>251.1</v>
      </c>
      <c r="H76" s="32">
        <v>454.9</v>
      </c>
    </row>
    <row r="77" spans="1:8" ht="16.75" customHeight="1" x14ac:dyDescent="0.2">
      <c r="A77" s="65" t="s">
        <v>56</v>
      </c>
      <c r="B77" s="30">
        <f t="shared" ref="B77:G77" si="56">SUM(B73:B76)</f>
        <v>4104.9000000000005</v>
      </c>
      <c r="C77" s="30">
        <f t="shared" si="56"/>
        <v>4178.3</v>
      </c>
      <c r="D77" s="30">
        <f t="shared" si="56"/>
        <v>4703.9999999999991</v>
      </c>
      <c r="E77" s="30">
        <f t="shared" si="56"/>
        <v>5343.3</v>
      </c>
      <c r="F77" s="30">
        <f t="shared" si="56"/>
        <v>6798.5</v>
      </c>
      <c r="G77" s="30">
        <f t="shared" si="56"/>
        <v>7792.4000000000005</v>
      </c>
      <c r="H77" s="30">
        <f t="shared" ref="H77" si="57">SUM(H73:H76)</f>
        <v>9505.9999999999982</v>
      </c>
    </row>
    <row r="79" spans="1:8" ht="18" thickBot="1" x14ac:dyDescent="0.25">
      <c r="A79" s="66" t="s">
        <v>57</v>
      </c>
      <c r="B79" s="67">
        <f t="shared" ref="B79:G79" si="58">B71+B77</f>
        <v>7385.5</v>
      </c>
      <c r="C79" s="67">
        <f t="shared" si="58"/>
        <v>7348.3</v>
      </c>
      <c r="D79" s="67">
        <f t="shared" si="58"/>
        <v>8495.9</v>
      </c>
      <c r="E79" s="67">
        <f t="shared" si="58"/>
        <v>10037.400000000001</v>
      </c>
      <c r="F79" s="67">
        <f t="shared" si="58"/>
        <v>13402</v>
      </c>
      <c r="G79" s="67">
        <f t="shared" si="58"/>
        <v>20090.400000000001</v>
      </c>
      <c r="H79" s="67">
        <f t="shared" ref="H79" si="59">H71+H77</f>
        <v>27489.599999999999</v>
      </c>
    </row>
    <row r="80" spans="1:8" ht="17" thickTop="1" x14ac:dyDescent="0.2"/>
    <row r="81" spans="1:13" ht="17" x14ac:dyDescent="0.2">
      <c r="A81" s="17" t="s">
        <v>58</v>
      </c>
    </row>
    <row r="82" spans="1:13" ht="34" x14ac:dyDescent="0.2">
      <c r="A82" s="17" t="s">
        <v>59</v>
      </c>
    </row>
    <row r="83" spans="1:13" ht="16.75" customHeight="1" x14ac:dyDescent="0.2">
      <c r="A83" s="17" t="s">
        <v>60</v>
      </c>
    </row>
    <row r="84" spans="1:13" ht="16.75" customHeight="1" x14ac:dyDescent="0.2">
      <c r="A84" s="17" t="s">
        <v>61</v>
      </c>
      <c r="B84" s="21">
        <v>39.4</v>
      </c>
      <c r="C84" s="21">
        <v>38.799999999999997</v>
      </c>
      <c r="D84" s="21">
        <v>38.6</v>
      </c>
      <c r="E84" s="21">
        <v>38.200000000000003</v>
      </c>
      <c r="F84" s="21">
        <v>37.6</v>
      </c>
      <c r="G84" s="21">
        <v>36.5</v>
      </c>
      <c r="H84" s="21">
        <v>36.299999999999997</v>
      </c>
    </row>
    <row r="85" spans="1:13" ht="16.75" customHeight="1" x14ac:dyDescent="0.2">
      <c r="A85" s="17" t="s">
        <v>62</v>
      </c>
      <c r="B85" s="21">
        <v>3693.5</v>
      </c>
      <c r="C85" s="21">
        <v>3732.5</v>
      </c>
      <c r="D85" s="21">
        <v>3741.3</v>
      </c>
      <c r="E85" s="21">
        <v>3772</v>
      </c>
      <c r="F85" s="21">
        <v>3780.1</v>
      </c>
      <c r="G85" s="21">
        <v>3876.1</v>
      </c>
      <c r="H85" s="21">
        <v>3940.8</v>
      </c>
    </row>
    <row r="86" spans="1:13" ht="16.75" customHeight="1" x14ac:dyDescent="0.2">
      <c r="A86" s="17" t="s">
        <v>63</v>
      </c>
      <c r="B86" s="21">
        <v>-796.2</v>
      </c>
      <c r="C86" s="21">
        <v>-557.9</v>
      </c>
      <c r="D86" s="21">
        <v>-1621.8</v>
      </c>
      <c r="E86" s="21">
        <v>-1019.6</v>
      </c>
      <c r="F86" s="21">
        <v>-863.2</v>
      </c>
      <c r="G86" s="21">
        <v>-2422.8000000000002</v>
      </c>
      <c r="H86" s="21">
        <v>-4641.3</v>
      </c>
    </row>
    <row r="87" spans="1:13" ht="16.75" customHeight="1" x14ac:dyDescent="0.2">
      <c r="A87" s="17" t="s">
        <v>64</v>
      </c>
      <c r="B87" s="21">
        <v>6282.5</v>
      </c>
      <c r="C87" s="21">
        <v>7211.3</v>
      </c>
      <c r="D87" s="21">
        <v>9197.9</v>
      </c>
      <c r="E87" s="21">
        <v>9523.7999999999993</v>
      </c>
      <c r="F87" s="21">
        <v>10731.5</v>
      </c>
      <c r="G87" s="21">
        <v>8317.2999999999993</v>
      </c>
      <c r="H87" s="21">
        <v>9046.7000000000007</v>
      </c>
    </row>
    <row r="88" spans="1:13" ht="16.75" customHeight="1" x14ac:dyDescent="0.2">
      <c r="A88" s="64" t="s">
        <v>65</v>
      </c>
      <c r="B88" s="32">
        <v>601.20000000000005</v>
      </c>
      <c r="C88" s="32">
        <v>251.5</v>
      </c>
      <c r="D88" s="32">
        <v>285</v>
      </c>
      <c r="E88" s="32">
        <v>277.8</v>
      </c>
      <c r="F88" s="32">
        <v>179.4</v>
      </c>
      <c r="G88" s="32">
        <v>333.5</v>
      </c>
      <c r="H88" s="32">
        <v>428.3</v>
      </c>
    </row>
    <row r="89" spans="1:13" ht="16.75" customHeight="1" x14ac:dyDescent="0.2">
      <c r="A89" s="65" t="s">
        <v>66</v>
      </c>
      <c r="B89" s="30">
        <f t="shared" ref="B89:G89" si="60">SUM(B84:B88)</f>
        <v>9820.4000000000015</v>
      </c>
      <c r="C89" s="30">
        <f t="shared" si="60"/>
        <v>10676.2</v>
      </c>
      <c r="D89" s="30">
        <f t="shared" si="60"/>
        <v>11641</v>
      </c>
      <c r="E89" s="30">
        <f t="shared" si="60"/>
        <v>12592.199999999999</v>
      </c>
      <c r="F89" s="30">
        <f t="shared" si="60"/>
        <v>13865.4</v>
      </c>
      <c r="G89" s="30">
        <f t="shared" si="60"/>
        <v>10140.599999999999</v>
      </c>
      <c r="H89" s="30">
        <f t="shared" ref="H89" si="61">SUM(H84:H88)</f>
        <v>8810.7999999999993</v>
      </c>
    </row>
    <row r="90" spans="1:13" ht="16.75" customHeight="1" x14ac:dyDescent="0.2"/>
    <row r="91" spans="1:13" ht="16.75" customHeight="1" thickBot="1" x14ac:dyDescent="0.25">
      <c r="A91" s="66" t="s">
        <v>67</v>
      </c>
      <c r="B91" s="34">
        <f t="shared" ref="B91:G91" si="62">B79+B89</f>
        <v>17205.900000000001</v>
      </c>
      <c r="C91" s="34">
        <f t="shared" si="62"/>
        <v>18024.5</v>
      </c>
      <c r="D91" s="34">
        <f t="shared" si="62"/>
        <v>20136.900000000001</v>
      </c>
      <c r="E91" s="34">
        <f t="shared" si="62"/>
        <v>22629.599999999999</v>
      </c>
      <c r="F91" s="34">
        <f t="shared" si="62"/>
        <v>27267.4</v>
      </c>
      <c r="G91" s="34">
        <f t="shared" si="62"/>
        <v>30231</v>
      </c>
      <c r="H91" s="34">
        <f t="shared" ref="H91" si="63">H79+H89</f>
        <v>36300.399999999994</v>
      </c>
    </row>
    <row r="92" spans="1:13" ht="16.75" customHeight="1" thickTop="1" x14ac:dyDescent="0.2"/>
    <row r="93" spans="1:13" ht="16.75" customHeight="1" x14ac:dyDescent="0.2"/>
    <row r="94" spans="1:13" ht="16.75" customHeight="1" x14ac:dyDescent="0.2"/>
    <row r="95" spans="1:13" ht="20" customHeight="1" x14ac:dyDescent="0.2">
      <c r="A95" s="553" t="s">
        <v>297</v>
      </c>
      <c r="B95" s="553"/>
      <c r="C95" s="553"/>
      <c r="D95" s="553"/>
      <c r="E95" s="553"/>
      <c r="F95" s="553"/>
      <c r="G95" s="553"/>
      <c r="H95" s="553"/>
      <c r="I95" s="553"/>
      <c r="J95" s="553"/>
      <c r="K95" s="553"/>
      <c r="L95" s="553"/>
      <c r="M95" s="553"/>
    </row>
    <row r="96" spans="1:13" ht="36" customHeight="1" x14ac:dyDescent="0.2">
      <c r="A96" s="118">
        <v>1</v>
      </c>
      <c r="B96" s="118"/>
      <c r="C96" s="118"/>
      <c r="D96" s="554" t="s">
        <v>313</v>
      </c>
      <c r="E96" s="554"/>
      <c r="F96" s="554"/>
      <c r="G96" s="554"/>
      <c r="H96" s="554"/>
      <c r="I96" s="554"/>
      <c r="J96" s="554"/>
      <c r="K96" s="554"/>
      <c r="L96" s="554"/>
      <c r="M96" s="554"/>
    </row>
    <row r="97" spans="1:13" ht="20" customHeight="1" x14ac:dyDescent="0.2">
      <c r="A97" s="119">
        <v>2</v>
      </c>
      <c r="B97" s="119"/>
      <c r="C97" s="119"/>
      <c r="D97" s="555" t="s">
        <v>314</v>
      </c>
      <c r="E97" s="555"/>
      <c r="F97" s="555"/>
      <c r="G97" s="555"/>
      <c r="H97" s="555"/>
      <c r="I97" s="555"/>
      <c r="J97" s="555"/>
      <c r="K97" s="555"/>
      <c r="L97" s="555"/>
      <c r="M97" s="555"/>
    </row>
    <row r="98" spans="1:13" ht="20" customHeight="1" x14ac:dyDescent="0.2"/>
    <row r="99" spans="1:13" ht="20" customHeight="1" x14ac:dyDescent="0.2"/>
    <row r="100" spans="1:13" ht="16.75" customHeight="1" x14ac:dyDescent="0.2"/>
    <row r="101" spans="1:13" ht="16.75" customHeight="1" x14ac:dyDescent="0.2"/>
  </sheetData>
  <mergeCells count="10">
    <mergeCell ref="A95:M95"/>
    <mergeCell ref="D96:M96"/>
    <mergeCell ref="D97:M97"/>
    <mergeCell ref="S5:W5"/>
    <mergeCell ref="A1:M1"/>
    <mergeCell ref="A2:M2"/>
    <mergeCell ref="A3:M3"/>
    <mergeCell ref="A5:H5"/>
    <mergeCell ref="J4:P4"/>
    <mergeCell ref="M5:Q5"/>
  </mergeCells>
  <phoneticPr fontId="6"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86E9A-91CD-F442-9C64-4955A5599901}">
  <sheetPr codeName="Sheet1">
    <pageSetUpPr fitToPage="1"/>
  </sheetPr>
  <dimension ref="A1:IA101"/>
  <sheetViews>
    <sheetView topLeftCell="A83" zoomScale="125" zoomScaleNormal="115" workbookViewId="0">
      <selection activeCell="A99" sqref="A1:XFD99"/>
    </sheetView>
  </sheetViews>
  <sheetFormatPr baseColWidth="10" defaultColWidth="8.83203125" defaultRowHeight="13" x14ac:dyDescent="0.15"/>
  <cols>
    <col min="1" max="1" width="34.83203125" style="249" customWidth="1"/>
    <col min="2" max="2" width="13.1640625" style="249" customWidth="1"/>
    <col min="3" max="3" width="13" style="249" customWidth="1"/>
    <col min="4" max="4" width="11.83203125" style="249" customWidth="1"/>
    <col min="5" max="5" width="11.1640625" style="249" bestFit="1" customWidth="1"/>
    <col min="6" max="16384" width="8.83203125" style="249"/>
  </cols>
  <sheetData>
    <row r="1" spans="1:5" ht="18" x14ac:dyDescent="0.2">
      <c r="A1" s="384" t="s">
        <v>567</v>
      </c>
    </row>
    <row r="2" spans="1:5" ht="18" x14ac:dyDescent="0.2">
      <c r="A2" s="384" t="s">
        <v>566</v>
      </c>
    </row>
    <row r="4" spans="1:5" x14ac:dyDescent="0.15">
      <c r="A4" s="356" t="s">
        <v>565</v>
      </c>
    </row>
    <row r="5" spans="1:5" x14ac:dyDescent="0.15">
      <c r="A5" s="249" t="s">
        <v>564</v>
      </c>
      <c r="B5" s="383">
        <v>2022</v>
      </c>
    </row>
    <row r="6" spans="1:5" x14ac:dyDescent="0.15">
      <c r="A6" s="249" t="s">
        <v>563</v>
      </c>
      <c r="B6" s="382" t="s">
        <v>562</v>
      </c>
    </row>
    <row r="7" spans="1:5" x14ac:dyDescent="0.15">
      <c r="A7" s="249" t="s">
        <v>561</v>
      </c>
      <c r="B7" s="373">
        <v>25</v>
      </c>
      <c r="D7" s="381"/>
    </row>
    <row r="8" spans="1:5" x14ac:dyDescent="0.15">
      <c r="A8" s="249" t="s">
        <v>560</v>
      </c>
      <c r="B8" s="380">
        <v>1000</v>
      </c>
    </row>
    <row r="9" spans="1:5" hidden="1" x14ac:dyDescent="0.15">
      <c r="A9" s="249" t="s">
        <v>551</v>
      </c>
      <c r="B9" s="373">
        <v>0</v>
      </c>
    </row>
    <row r="10" spans="1:5" ht="14" thickBot="1" x14ac:dyDescent="0.2">
      <c r="A10" s="249" t="s">
        <v>559</v>
      </c>
    </row>
    <row r="11" spans="1:5" ht="17" thickBot="1" x14ac:dyDescent="0.25">
      <c r="A11" s="337" t="str">
        <f>+"  "&amp;year1</f>
        <v xml:space="preserve">  2022</v>
      </c>
      <c r="B11" s="378">
        <v>1</v>
      </c>
      <c r="E11" s="379"/>
    </row>
    <row r="12" spans="1:5" ht="17" thickBot="1" x14ac:dyDescent="0.25">
      <c r="A12" s="295" t="str">
        <f>+"  "&amp;A11+1</f>
        <v xml:space="preserve">  2023</v>
      </c>
      <c r="B12" s="378">
        <v>1.25</v>
      </c>
    </row>
    <row r="13" spans="1:5" ht="17" thickBot="1" x14ac:dyDescent="0.25">
      <c r="A13" s="295" t="str">
        <f>+"  "&amp;A12+1</f>
        <v xml:space="preserve">  2024</v>
      </c>
      <c r="B13" s="377">
        <f>(B12*(1+B16))</f>
        <v>1.3375000000000001</v>
      </c>
    </row>
    <row r="14" spans="1:5" hidden="1" x14ac:dyDescent="0.15">
      <c r="A14" s="295" t="str">
        <f>+"  "&amp;A13+1</f>
        <v xml:space="preserve">  2025</v>
      </c>
      <c r="B14" s="373">
        <v>0</v>
      </c>
    </row>
    <row r="15" spans="1:5" hidden="1" x14ac:dyDescent="0.15">
      <c r="A15" s="295" t="str">
        <f>+"  "&amp;A14+1</f>
        <v xml:space="preserve">  2026</v>
      </c>
      <c r="B15" s="373">
        <v>0</v>
      </c>
    </row>
    <row r="16" spans="1:5" x14ac:dyDescent="0.15">
      <c r="A16" s="249" t="s">
        <v>558</v>
      </c>
      <c r="B16" s="349">
        <v>7.0000000000000007E-2</v>
      </c>
      <c r="C16" s="371"/>
    </row>
    <row r="18" spans="1:4" x14ac:dyDescent="0.15">
      <c r="A18" s="356" t="s">
        <v>557</v>
      </c>
    </row>
    <row r="19" spans="1:4" x14ac:dyDescent="0.15">
      <c r="A19" s="249" t="s">
        <v>556</v>
      </c>
      <c r="B19" s="376" t="s">
        <v>555</v>
      </c>
    </row>
    <row r="20" spans="1:4" x14ac:dyDescent="0.15">
      <c r="A20" s="249" t="s">
        <v>554</v>
      </c>
      <c r="B20" s="373">
        <v>12.5</v>
      </c>
      <c r="C20" s="371"/>
      <c r="D20" s="336"/>
    </row>
    <row r="21" spans="1:4" x14ac:dyDescent="0.15">
      <c r="A21" s="249" t="s">
        <v>553</v>
      </c>
      <c r="B21" s="375">
        <v>1000</v>
      </c>
      <c r="C21" s="371"/>
    </row>
    <row r="22" spans="1:4" x14ac:dyDescent="0.15">
      <c r="A22" s="249" t="s">
        <v>552</v>
      </c>
      <c r="B22" s="358">
        <f>targcoprice*targcoshares</f>
        <v>12500</v>
      </c>
    </row>
    <row r="23" spans="1:4" x14ac:dyDescent="0.15">
      <c r="A23" s="249" t="s">
        <v>551</v>
      </c>
      <c r="B23" s="373">
        <v>0</v>
      </c>
    </row>
    <row r="24" spans="1:4" x14ac:dyDescent="0.15">
      <c r="A24" s="249" t="s">
        <v>550</v>
      </c>
      <c r="B24" s="349">
        <v>7.0000000000000007E-2</v>
      </c>
    </row>
    <row r="25" spans="1:4" x14ac:dyDescent="0.15">
      <c r="A25" s="249" t="s">
        <v>549</v>
      </c>
      <c r="B25" s="349">
        <v>0</v>
      </c>
    </row>
    <row r="26" spans="1:4" x14ac:dyDescent="0.15">
      <c r="A26" s="338" t="s">
        <v>548</v>
      </c>
      <c r="B26" s="350"/>
      <c r="C26" s="374"/>
      <c r="D26" s="374"/>
    </row>
    <row r="27" spans="1:4" x14ac:dyDescent="0.15">
      <c r="A27" s="337" t="str">
        <f>+"  "&amp;year1</f>
        <v xml:space="preserve">  2022</v>
      </c>
      <c r="B27" s="373">
        <v>0.6</v>
      </c>
      <c r="C27" s="339"/>
      <c r="D27" s="339"/>
    </row>
    <row r="28" spans="1:4" x14ac:dyDescent="0.15">
      <c r="A28" s="295" t="str">
        <f>+"  "&amp;A27+1</f>
        <v xml:space="preserve">  2023</v>
      </c>
      <c r="B28" s="373">
        <v>0.75</v>
      </c>
      <c r="C28" s="339"/>
      <c r="D28" s="339"/>
    </row>
    <row r="29" spans="1:4" x14ac:dyDescent="0.15">
      <c r="A29" s="295" t="str">
        <f>+"  "&amp;A28+1</f>
        <v xml:space="preserve">  2024</v>
      </c>
      <c r="B29" s="336">
        <f>(B28*(1+targgrowth))</f>
        <v>0.80249999999999999</v>
      </c>
      <c r="C29" s="339"/>
      <c r="D29" s="339"/>
    </row>
    <row r="30" spans="1:4" hidden="1" x14ac:dyDescent="0.15">
      <c r="A30" s="295" t="str">
        <f>+"  "&amp;A29+1</f>
        <v xml:space="preserve">  2025</v>
      </c>
      <c r="B30" s="373">
        <v>0</v>
      </c>
      <c r="C30" s="339"/>
      <c r="D30" s="339"/>
    </row>
    <row r="31" spans="1:4" hidden="1" x14ac:dyDescent="0.15">
      <c r="A31" s="295" t="str">
        <f>+"  "&amp;A30+1</f>
        <v xml:space="preserve">  2026</v>
      </c>
      <c r="B31" s="373">
        <v>0</v>
      </c>
      <c r="C31" s="339"/>
      <c r="D31" s="339"/>
    </row>
    <row r="32" spans="1:4" x14ac:dyDescent="0.15">
      <c r="B32" s="348"/>
    </row>
    <row r="33" spans="1:3" x14ac:dyDescent="0.15">
      <c r="B33" s="350"/>
    </row>
    <row r="34" spans="1:3" x14ac:dyDescent="0.15">
      <c r="A34" s="356" t="s">
        <v>547</v>
      </c>
    </row>
    <row r="35" spans="1:3" x14ac:dyDescent="0.15">
      <c r="A35" s="249" t="s">
        <v>546</v>
      </c>
      <c r="B35" s="342">
        <v>2000</v>
      </c>
    </row>
    <row r="36" spans="1:3" x14ac:dyDescent="0.15">
      <c r="A36" s="249" t="s">
        <v>545</v>
      </c>
      <c r="B36" s="372">
        <v>735.3</v>
      </c>
    </row>
    <row r="37" spans="1:3" x14ac:dyDescent="0.15">
      <c r="A37" s="249" t="s">
        <v>544</v>
      </c>
      <c r="B37" s="349">
        <v>0.2</v>
      </c>
    </row>
    <row r="38" spans="1:3" hidden="1" x14ac:dyDescent="0.15">
      <c r="A38" s="249" t="s">
        <v>543</v>
      </c>
      <c r="B38" s="354">
        <v>0</v>
      </c>
      <c r="C38" s="371"/>
    </row>
    <row r="39" spans="1:3" hidden="1" x14ac:dyDescent="0.15">
      <c r="A39" s="249" t="s">
        <v>542</v>
      </c>
      <c r="B39" s="354">
        <v>0</v>
      </c>
    </row>
    <row r="40" spans="1:3" hidden="1" x14ac:dyDescent="0.15">
      <c r="A40" s="249" t="s">
        <v>541</v>
      </c>
      <c r="B40" s="354">
        <v>0</v>
      </c>
    </row>
    <row r="41" spans="1:3" x14ac:dyDescent="0.15">
      <c r="A41" s="249" t="s">
        <v>540</v>
      </c>
      <c r="B41" s="349">
        <v>0.25</v>
      </c>
    </row>
    <row r="42" spans="1:3" x14ac:dyDescent="0.15">
      <c r="A42" s="249" t="s">
        <v>539</v>
      </c>
      <c r="B42" s="358">
        <f>(1+B37)*targcoprice</f>
        <v>15</v>
      </c>
    </row>
    <row r="43" spans="1:3" x14ac:dyDescent="0.15">
      <c r="A43" s="249" t="s">
        <v>538</v>
      </c>
      <c r="B43" s="358">
        <f>ROUND(B22*(1+B37),2)</f>
        <v>15000</v>
      </c>
      <c r="C43" s="360"/>
    </row>
    <row r="44" spans="1:3" ht="16" hidden="1" x14ac:dyDescent="0.2">
      <c r="A44" s="249" t="s">
        <v>537</v>
      </c>
      <c r="B44" s="349">
        <v>0</v>
      </c>
      <c r="C44" s="370"/>
    </row>
    <row r="45" spans="1:3" hidden="1" x14ac:dyDescent="0.15">
      <c r="A45" s="356" t="s">
        <v>536</v>
      </c>
      <c r="B45" s="358"/>
      <c r="C45" s="360"/>
    </row>
    <row r="46" spans="1:3" hidden="1" x14ac:dyDescent="0.15">
      <c r="A46" s="369" t="s">
        <v>535</v>
      </c>
      <c r="B46" s="368"/>
      <c r="C46" s="360"/>
    </row>
    <row r="47" spans="1:3" hidden="1" x14ac:dyDescent="0.15">
      <c r="A47" s="364" t="s">
        <v>534</v>
      </c>
      <c r="B47" s="367">
        <v>0</v>
      </c>
      <c r="C47" s="360"/>
    </row>
    <row r="48" spans="1:3" hidden="1" x14ac:dyDescent="0.15">
      <c r="A48" s="364" t="s">
        <v>533</v>
      </c>
      <c r="B48" s="367">
        <v>0</v>
      </c>
      <c r="C48" s="360"/>
    </row>
    <row r="49" spans="1:3" hidden="1" x14ac:dyDescent="0.15">
      <c r="A49" s="364" t="s">
        <v>532</v>
      </c>
      <c r="B49" s="367">
        <v>0</v>
      </c>
      <c r="C49" s="360"/>
    </row>
    <row r="50" spans="1:3" hidden="1" x14ac:dyDescent="0.15">
      <c r="A50" s="364"/>
      <c r="B50" s="366"/>
      <c r="C50" s="360"/>
    </row>
    <row r="51" spans="1:3" hidden="1" x14ac:dyDescent="0.15">
      <c r="A51" s="364" t="s">
        <v>531</v>
      </c>
      <c r="B51" s="365">
        <v>0</v>
      </c>
      <c r="C51" s="360"/>
    </row>
    <row r="52" spans="1:3" hidden="1" x14ac:dyDescent="0.15">
      <c r="A52" s="364" t="s">
        <v>530</v>
      </c>
      <c r="B52" s="365">
        <v>0</v>
      </c>
      <c r="C52" s="360"/>
    </row>
    <row r="53" spans="1:3" hidden="1" x14ac:dyDescent="0.15">
      <c r="A53" s="364" t="s">
        <v>529</v>
      </c>
      <c r="B53" s="365">
        <v>0</v>
      </c>
      <c r="C53" s="360"/>
    </row>
    <row r="54" spans="1:3" hidden="1" x14ac:dyDescent="0.15">
      <c r="A54" s="364"/>
      <c r="B54" s="363"/>
      <c r="C54" s="360"/>
    </row>
    <row r="55" spans="1:3" hidden="1" x14ac:dyDescent="0.15">
      <c r="A55" s="362" t="s">
        <v>528</v>
      </c>
      <c r="B55" s="361"/>
      <c r="C55" s="360"/>
    </row>
    <row r="56" spans="1:3" hidden="1" x14ac:dyDescent="0.15">
      <c r="B56" s="358"/>
      <c r="C56" s="336"/>
    </row>
    <row r="57" spans="1:3" hidden="1" x14ac:dyDescent="0.15">
      <c r="A57" s="249" t="s">
        <v>527</v>
      </c>
      <c r="B57" s="354">
        <v>0</v>
      </c>
      <c r="C57" s="336"/>
    </row>
    <row r="58" spans="1:3" hidden="1" x14ac:dyDescent="0.15">
      <c r="A58" s="249" t="s">
        <v>526</v>
      </c>
      <c r="B58" s="354">
        <v>0</v>
      </c>
      <c r="C58" s="336"/>
    </row>
    <row r="59" spans="1:3" hidden="1" x14ac:dyDescent="0.15">
      <c r="B59" s="358"/>
      <c r="C59" s="336"/>
    </row>
    <row r="60" spans="1:3" hidden="1" x14ac:dyDescent="0.15">
      <c r="A60" s="249" t="s">
        <v>525</v>
      </c>
      <c r="B60" s="358">
        <f>B43-B55</f>
        <v>15000</v>
      </c>
      <c r="C60" s="336"/>
    </row>
    <row r="61" spans="1:3" hidden="1" x14ac:dyDescent="0.15">
      <c r="A61" s="249" t="s">
        <v>524</v>
      </c>
      <c r="B61" s="359">
        <v>40</v>
      </c>
      <c r="C61" s="336"/>
    </row>
    <row r="62" spans="1:3" hidden="1" x14ac:dyDescent="0.15">
      <c r="A62" s="249" t="s">
        <v>523</v>
      </c>
      <c r="B62" s="336">
        <f>ROUND(B60/B61,2)</f>
        <v>375</v>
      </c>
      <c r="C62" s="336"/>
    </row>
    <row r="63" spans="1:3" hidden="1" x14ac:dyDescent="0.15">
      <c r="B63" s="358"/>
      <c r="C63" s="336"/>
    </row>
    <row r="64" spans="1:3" x14ac:dyDescent="0.15">
      <c r="A64" s="356"/>
      <c r="C64" s="357"/>
    </row>
    <row r="65" spans="1:3" x14ac:dyDescent="0.15">
      <c r="A65" s="356" t="s">
        <v>522</v>
      </c>
      <c r="C65" s="355"/>
    </row>
    <row r="66" spans="1:3" ht="14" thickBot="1" x14ac:dyDescent="0.2">
      <c r="A66" s="249" t="s">
        <v>521</v>
      </c>
      <c r="B66" s="354">
        <v>0</v>
      </c>
      <c r="C66" s="350"/>
    </row>
    <row r="67" spans="1:3" x14ac:dyDescent="0.15">
      <c r="A67" s="249" t="s">
        <v>520</v>
      </c>
      <c r="B67" s="353">
        <v>0</v>
      </c>
      <c r="C67" s="350"/>
    </row>
    <row r="68" spans="1:3" x14ac:dyDescent="0.15">
      <c r="A68" s="249" t="s">
        <v>519</v>
      </c>
      <c r="B68" s="352">
        <f>cashused/purchaseprice</f>
        <v>0</v>
      </c>
      <c r="C68" s="350"/>
    </row>
    <row r="69" spans="1:3" ht="14" thickBot="1" x14ac:dyDescent="0.2">
      <c r="A69" s="249" t="s">
        <v>518</v>
      </c>
      <c r="B69" s="351">
        <f>1-B67-B68</f>
        <v>1</v>
      </c>
      <c r="C69" s="350"/>
    </row>
    <row r="70" spans="1:3" hidden="1" x14ac:dyDescent="0.15">
      <c r="A70" s="249" t="s">
        <v>517</v>
      </c>
      <c r="B70" s="349">
        <f>B79</f>
        <v>0.05</v>
      </c>
    </row>
    <row r="72" spans="1:3" x14ac:dyDescent="0.15">
      <c r="A72" s="249" t="s">
        <v>516</v>
      </c>
      <c r="B72" s="336">
        <f>B43-B66-B76</f>
        <v>15000</v>
      </c>
    </row>
    <row r="73" spans="1:3" x14ac:dyDescent="0.15">
      <c r="A73" s="249" t="s">
        <v>515</v>
      </c>
      <c r="B73" s="348">
        <f>B42/B7</f>
        <v>0.6</v>
      </c>
    </row>
    <row r="74" spans="1:3" ht="16" x14ac:dyDescent="0.2">
      <c r="A74" s="249" t="s">
        <v>514</v>
      </c>
      <c r="B74" s="340">
        <f>ROUNDUP(B73*targcoshares*B69,0)</f>
        <v>600</v>
      </c>
    </row>
    <row r="76" spans="1:3" x14ac:dyDescent="0.15">
      <c r="A76" s="249" t="s">
        <v>513</v>
      </c>
      <c r="B76" s="336">
        <f>ROUND(B43*B67,2)</f>
        <v>0</v>
      </c>
    </row>
    <row r="77" spans="1:3" x14ac:dyDescent="0.15">
      <c r="A77" s="249" t="s">
        <v>512</v>
      </c>
      <c r="B77" s="336">
        <f>B70*newLTD</f>
        <v>0</v>
      </c>
    </row>
    <row r="79" spans="1:3" x14ac:dyDescent="0.15">
      <c r="A79" s="249" t="s">
        <v>511</v>
      </c>
      <c r="B79" s="287">
        <v>0.05</v>
      </c>
      <c r="C79" s="348"/>
    </row>
    <row r="84" spans="1:235" x14ac:dyDescent="0.15">
      <c r="A84" s="347" t="s">
        <v>510</v>
      </c>
      <c r="B84" s="346" t="s">
        <v>509</v>
      </c>
      <c r="C84" s="346"/>
      <c r="D84" s="346"/>
    </row>
    <row r="85" spans="1:235" x14ac:dyDescent="0.15">
      <c r="B85" s="345" t="s">
        <v>508</v>
      </c>
      <c r="C85" s="338"/>
      <c r="D85" s="338"/>
    </row>
    <row r="86" spans="1:235" x14ac:dyDescent="0.15">
      <c r="A86" s="249" t="s">
        <v>507</v>
      </c>
      <c r="B86" s="344">
        <v>5000</v>
      </c>
      <c r="C86" s="260"/>
      <c r="D86" s="260"/>
    </row>
    <row r="87" spans="1:235" ht="16" x14ac:dyDescent="0.2">
      <c r="A87" s="249" t="s">
        <v>506</v>
      </c>
      <c r="B87" s="344">
        <v>1000</v>
      </c>
      <c r="C87" s="260"/>
      <c r="D87" s="260"/>
      <c r="IA87" s="259"/>
    </row>
    <row r="88" spans="1:235" ht="16" x14ac:dyDescent="0.2">
      <c r="A88" s="249" t="s">
        <v>505</v>
      </c>
      <c r="B88" s="259">
        <v>0</v>
      </c>
      <c r="C88" s="259"/>
      <c r="D88" s="259"/>
    </row>
    <row r="89" spans="1:235" ht="16" x14ac:dyDescent="0.2">
      <c r="A89" s="249" t="s">
        <v>504</v>
      </c>
      <c r="B89" s="259">
        <f>SUM(B86:B88)</f>
        <v>6000</v>
      </c>
      <c r="C89" s="259"/>
      <c r="D89" s="259"/>
    </row>
    <row r="90" spans="1:235" ht="16" x14ac:dyDescent="0.2">
      <c r="B90" s="259"/>
    </row>
    <row r="91" spans="1:235" ht="16" x14ac:dyDescent="0.2">
      <c r="A91" s="249" t="s">
        <v>503</v>
      </c>
      <c r="B91" s="344">
        <v>50000</v>
      </c>
      <c r="C91" s="260"/>
      <c r="D91" s="259"/>
    </row>
    <row r="92" spans="1:235" x14ac:dyDescent="0.15">
      <c r="A92" s="249" t="s">
        <v>502</v>
      </c>
      <c r="B92" s="260">
        <f>targcoprice*(1+B37)*targcoshares-newLTD-cashused</f>
        <v>15000</v>
      </c>
      <c r="C92" s="341"/>
      <c r="D92" s="341" t="s">
        <v>501</v>
      </c>
      <c r="E92" s="249">
        <f>'[1]MixedFinancing (2)'!C9*'[1]MixedFinancing (2)'!H10*'[1]MixedFinancing (2)'!B32</f>
        <v>13750.000000000002</v>
      </c>
    </row>
    <row r="93" spans="1:235" ht="16" x14ac:dyDescent="0.2">
      <c r="A93" s="249" t="s">
        <v>500</v>
      </c>
      <c r="B93" s="259">
        <f>SUM(B91:B92)</f>
        <v>65000</v>
      </c>
      <c r="C93" s="259"/>
      <c r="D93" s="259"/>
      <c r="E93" s="343">
        <f>B91+E92</f>
        <v>63750</v>
      </c>
    </row>
    <row r="94" spans="1:235" ht="16" x14ac:dyDescent="0.2">
      <c r="B94" s="259"/>
    </row>
    <row r="95" spans="1:235" ht="16" x14ac:dyDescent="0.2">
      <c r="A95" s="249" t="s">
        <v>120</v>
      </c>
      <c r="B95" s="284">
        <f>(B89+newLTD)/(B93+B89+newLTD)</f>
        <v>8.4507042253521125E-2</v>
      </c>
      <c r="C95" s="284"/>
      <c r="D95" s="284"/>
    </row>
    <row r="96" spans="1:235" ht="16" x14ac:dyDescent="0.2">
      <c r="B96" s="259"/>
    </row>
    <row r="97" spans="1:4" ht="16" x14ac:dyDescent="0.2">
      <c r="A97" s="337" t="s">
        <v>499</v>
      </c>
      <c r="B97" s="284">
        <f>B86/(B86+B91)</f>
        <v>9.0909090909090912E-2</v>
      </c>
      <c r="C97" s="323"/>
      <c r="D97" s="323"/>
    </row>
    <row r="98" spans="1:4" ht="16" x14ac:dyDescent="0.2">
      <c r="B98" s="259"/>
    </row>
    <row r="99" spans="1:4" ht="16" x14ac:dyDescent="0.2">
      <c r="A99" s="249" t="s">
        <v>498</v>
      </c>
      <c r="B99" s="342">
        <v>2000</v>
      </c>
      <c r="C99" s="259"/>
      <c r="D99" s="259"/>
    </row>
    <row r="100" spans="1:4" x14ac:dyDescent="0.15">
      <c r="B100" s="341"/>
      <c r="C100" s="341"/>
      <c r="D100" s="341"/>
    </row>
    <row r="101" spans="1:4" x14ac:dyDescent="0.15">
      <c r="B101" s="341"/>
      <c r="C101" s="341"/>
      <c r="D101" s="341"/>
    </row>
  </sheetData>
  <pageMargins left="0.75" right="0.75" top="1" bottom="1" header="0.5" footer="0.5"/>
  <pageSetup orientation="portrait"/>
  <headerFooter alignWithMargins="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3CC1D-1522-3C46-A66C-743043549E1B}">
  <sheetPr codeName="Sheet3">
    <pageSetUpPr fitToPage="1"/>
  </sheetPr>
  <dimension ref="A1:IA149"/>
  <sheetViews>
    <sheetView showGridLines="0" topLeftCell="E1" zoomScale="75" zoomScaleNormal="100" workbookViewId="0">
      <selection activeCell="J34" sqref="J34"/>
    </sheetView>
  </sheetViews>
  <sheetFormatPr baseColWidth="10" defaultColWidth="8.83203125" defaultRowHeight="13" x14ac:dyDescent="0.15"/>
  <cols>
    <col min="1" max="1" width="39.83203125" style="390" bestFit="1" customWidth="1"/>
    <col min="2" max="2" width="12.1640625" style="390" bestFit="1" customWidth="1"/>
    <col min="3" max="3" width="15" style="390" customWidth="1"/>
    <col min="4" max="4" width="43.83203125" style="390" bestFit="1" customWidth="1"/>
    <col min="5" max="5" width="11.1640625" style="390" bestFit="1" customWidth="1"/>
    <col min="6" max="6" width="10.1640625" style="390" bestFit="1" customWidth="1"/>
    <col min="7" max="7" width="2.6640625" style="390" customWidth="1"/>
    <col min="8" max="8" width="10.1640625" style="390" bestFit="1" customWidth="1"/>
    <col min="9" max="9" width="5.6640625" style="390" customWidth="1"/>
    <col min="10" max="10" width="10.6640625" style="390" customWidth="1"/>
    <col min="11" max="11" width="10.6640625" style="390" bestFit="1" customWidth="1"/>
    <col min="12" max="12" width="8.83203125" style="390" bestFit="1" customWidth="1"/>
    <col min="13" max="13" width="11.1640625" style="390" bestFit="1" customWidth="1"/>
    <col min="14" max="14" width="8.83203125" style="390" customWidth="1"/>
    <col min="15" max="15" width="11.1640625" style="390" bestFit="1" customWidth="1"/>
    <col min="16" max="17" width="8.83203125" style="390" customWidth="1"/>
    <col min="18" max="18" width="10.6640625" style="390" bestFit="1" customWidth="1"/>
    <col min="19" max="19" width="8.83203125" style="390" customWidth="1"/>
    <col min="20" max="20" width="15.83203125" style="390" bestFit="1" customWidth="1"/>
    <col min="21" max="21" width="8.83203125" style="390"/>
    <col min="22" max="22" width="12" style="390" bestFit="1" customWidth="1"/>
    <col min="23" max="16384" width="8.83203125" style="390"/>
  </cols>
  <sheetData>
    <row r="1" spans="1:23" ht="18" x14ac:dyDescent="0.2">
      <c r="A1" s="389" t="s">
        <v>567</v>
      </c>
      <c r="C1" s="596"/>
    </row>
    <row r="2" spans="1:23" ht="18" x14ac:dyDescent="0.2">
      <c r="A2" s="389" t="s">
        <v>610</v>
      </c>
      <c r="C2" s="390" t="s">
        <v>569</v>
      </c>
      <c r="D2" s="391">
        <v>45291</v>
      </c>
    </row>
    <row r="3" spans="1:23" x14ac:dyDescent="0.15">
      <c r="C3" s="390" t="s">
        <v>641</v>
      </c>
      <c r="D3" s="392">
        <f>'Financial Statement Ratios'!G15</f>
        <v>0.95099999999999996</v>
      </c>
    </row>
    <row r="4" spans="1:23" ht="16" x14ac:dyDescent="0.2">
      <c r="A4" s="393" t="s">
        <v>565</v>
      </c>
      <c r="D4" s="573" t="s">
        <v>497</v>
      </c>
      <c r="E4" s="573"/>
      <c r="F4" s="573"/>
      <c r="G4" s="573"/>
      <c r="H4" s="573"/>
      <c r="I4" s="573"/>
      <c r="J4" s="573"/>
      <c r="K4" s="573"/>
      <c r="L4" s="573"/>
      <c r="M4" s="573"/>
      <c r="N4" s="573"/>
      <c r="O4" s="573"/>
      <c r="P4" s="573"/>
      <c r="Q4" s="495"/>
    </row>
    <row r="5" spans="1:23" ht="16" x14ac:dyDescent="0.2">
      <c r="A5" s="390" t="s">
        <v>564</v>
      </c>
      <c r="B5" s="394">
        <v>2023</v>
      </c>
      <c r="D5" s="395"/>
      <c r="E5" s="396"/>
      <c r="F5" s="396"/>
      <c r="G5" s="396"/>
      <c r="H5" s="396"/>
      <c r="I5" s="396"/>
      <c r="J5" s="396"/>
      <c r="K5" s="396"/>
      <c r="L5" s="396"/>
      <c r="M5" s="396"/>
      <c r="N5" s="396"/>
      <c r="O5" s="396"/>
      <c r="P5" s="396"/>
      <c r="Q5" s="396"/>
    </row>
    <row r="6" spans="1:23" ht="18" x14ac:dyDescent="0.2">
      <c r="A6" s="390" t="s">
        <v>563</v>
      </c>
      <c r="B6" s="397" t="s">
        <v>568</v>
      </c>
      <c r="D6" s="398"/>
      <c r="J6" s="399"/>
      <c r="K6" s="569" t="s">
        <v>496</v>
      </c>
      <c r="L6" s="570"/>
      <c r="M6" s="570"/>
      <c r="N6" s="570"/>
      <c r="O6" s="570"/>
      <c r="P6" s="396"/>
      <c r="Q6" s="396"/>
    </row>
    <row r="7" spans="1:23" x14ac:dyDescent="0.15">
      <c r="A7" s="390" t="s">
        <v>561</v>
      </c>
      <c r="B7" s="400">
        <v>146.13999999999999</v>
      </c>
      <c r="J7" s="399"/>
      <c r="K7" s="571" t="str">
        <f>H9&amp;" Acquires"&amp;" "&amp;F9</f>
        <v>NVDA Acquires ASML</v>
      </c>
      <c r="L7" s="572"/>
      <c r="M7" s="572"/>
      <c r="N7" s="572"/>
      <c r="O7" s="572"/>
      <c r="P7" s="396"/>
      <c r="Q7" s="396"/>
      <c r="T7" s="390" t="s">
        <v>609</v>
      </c>
    </row>
    <row r="8" spans="1:23" x14ac:dyDescent="0.15">
      <c r="A8" s="390" t="s">
        <v>560</v>
      </c>
      <c r="B8" s="401">
        <v>2507</v>
      </c>
      <c r="J8" s="399"/>
      <c r="K8" s="402" t="str">
        <f>"Assumed Premium Paid for "&amp;F9</f>
        <v>Assumed Premium Paid for ASML</v>
      </c>
      <c r="L8" s="396"/>
      <c r="M8" s="396"/>
      <c r="N8" s="396"/>
      <c r="O8" s="396"/>
      <c r="P8" s="396"/>
      <c r="Q8" s="396"/>
      <c r="T8" s="390" t="s">
        <v>600</v>
      </c>
      <c r="V8" s="390" t="s">
        <v>601</v>
      </c>
    </row>
    <row r="9" spans="1:23" x14ac:dyDescent="0.15">
      <c r="A9" s="390" t="s">
        <v>551</v>
      </c>
      <c r="B9" s="400">
        <v>0.16</v>
      </c>
      <c r="F9" s="403" t="str">
        <f>B19</f>
        <v>ASML</v>
      </c>
      <c r="G9" s="404"/>
      <c r="H9" s="405" t="str">
        <f>B6</f>
        <v>NVDA</v>
      </c>
      <c r="J9" s="399"/>
      <c r="K9" s="406">
        <f>B37</f>
        <v>-0.16417681905289261</v>
      </c>
      <c r="L9" s="407"/>
      <c r="M9" s="406">
        <v>0</v>
      </c>
      <c r="N9" s="407"/>
      <c r="O9" s="406">
        <v>-0.17750519462921555</v>
      </c>
      <c r="P9" s="407"/>
      <c r="Q9" s="407"/>
      <c r="R9" s="406">
        <f>-(1-(R12/B20))</f>
        <v>5.1393483465651757E-2</v>
      </c>
      <c r="S9" s="407"/>
      <c r="T9" s="406">
        <f>-(1-(T12/B20))</f>
        <v>-0.14542861009092489</v>
      </c>
      <c r="U9" s="407"/>
      <c r="V9" s="406">
        <f>-(1-(V12/B20))</f>
        <v>0.21617010627394917</v>
      </c>
      <c r="W9" s="407"/>
    </row>
    <row r="10" spans="1:23" ht="17" thickBot="1" x14ac:dyDescent="0.25">
      <c r="A10" s="390" t="s">
        <v>559</v>
      </c>
      <c r="H10" s="408"/>
      <c r="J10" s="399"/>
      <c r="K10" s="390" t="s">
        <v>635</v>
      </c>
      <c r="M10" s="390" t="s">
        <v>636</v>
      </c>
      <c r="O10" s="390" t="s">
        <v>637</v>
      </c>
      <c r="R10" s="390" t="s">
        <v>638</v>
      </c>
      <c r="T10" s="390" t="s">
        <v>639</v>
      </c>
      <c r="V10" s="390" t="s">
        <v>640</v>
      </c>
    </row>
    <row r="11" spans="1:23" ht="17" thickBot="1" x14ac:dyDescent="0.25">
      <c r="A11" s="409">
        <v>2023</v>
      </c>
      <c r="B11" s="544">
        <v>4.5199999999999996</v>
      </c>
      <c r="D11" s="410" t="s">
        <v>495</v>
      </c>
      <c r="E11" s="410"/>
      <c r="F11" s="411">
        <f>B21</f>
        <v>398</v>
      </c>
      <c r="G11" s="412"/>
      <c r="H11" s="411">
        <f>B8</f>
        <v>2507</v>
      </c>
      <c r="I11" s="410"/>
      <c r="J11" s="413"/>
      <c r="K11" s="411">
        <f>$H$11+(K15*$F$11*(1-$E$48-$E$33))</f>
        <v>3397.5545574559387</v>
      </c>
      <c r="L11" s="411"/>
      <c r="M11" s="411">
        <f>$H$11+(M15*$F$11*(1-$E$48-$E$33))</f>
        <v>3572.4820035582316</v>
      </c>
      <c r="N11" s="411"/>
      <c r="O11" s="411">
        <f>$H$11+(O15*$F$11*(1-$E$48-$E$33))</f>
        <v>3383.3534131427014</v>
      </c>
      <c r="P11" s="410"/>
      <c r="Q11" s="410"/>
      <c r="R11" s="411">
        <f>$H$11+(R15*$F$11*(1-$E$48-$E$33))</f>
        <v>3627.2408352910511</v>
      </c>
      <c r="S11" s="410"/>
      <c r="T11" s="411">
        <f>$H$11+(T15*$F$11*(1-$E$48-$E$33))</f>
        <v>3417.5304367038643</v>
      </c>
      <c r="U11" s="410"/>
      <c r="V11" s="411">
        <f>$H$11+(V15*$F$11*(1-$E$48-$E$33))</f>
        <v>3802.807361500395</v>
      </c>
      <c r="W11" s="410"/>
    </row>
    <row r="12" spans="1:23" ht="17" thickBot="1" x14ac:dyDescent="0.25">
      <c r="A12" s="414" t="str">
        <f>+"  "&amp;A11+1</f>
        <v xml:space="preserve">  2024</v>
      </c>
      <c r="B12" s="544">
        <v>5.85</v>
      </c>
      <c r="D12" s="415" t="s">
        <v>494</v>
      </c>
      <c r="E12" s="415"/>
      <c r="F12" s="416">
        <f>B20</f>
        <v>652.04999999999995</v>
      </c>
      <c r="G12" s="416"/>
      <c r="H12" s="416">
        <f>B7</f>
        <v>146.13999999999999</v>
      </c>
      <c r="I12" s="415"/>
      <c r="J12" s="417"/>
      <c r="K12" s="416">
        <f>$F$12*(1+K9)</f>
        <v>544.99850513656133</v>
      </c>
      <c r="L12" s="416"/>
      <c r="M12" s="416">
        <f>$F$12*(1+M9)</f>
        <v>652.04999999999995</v>
      </c>
      <c r="N12" s="416"/>
      <c r="O12" s="416">
        <f>$F$12*(1+O9)</f>
        <v>536.30773784201995</v>
      </c>
      <c r="P12" s="415"/>
      <c r="Q12" s="415"/>
      <c r="R12" s="416">
        <f>'Valuation Conclusion (USD)'!D24</f>
        <v>685.56112089377825</v>
      </c>
      <c r="S12" s="415"/>
      <c r="T12" s="416">
        <f>'Valuation Conclusion (USD)'!E24</f>
        <v>557.22327479021237</v>
      </c>
      <c r="U12" s="415"/>
      <c r="V12" s="416">
        <f>'Valuation Conclusion (USD)'!F24</f>
        <v>793.00371779592854</v>
      </c>
      <c r="W12" s="415"/>
    </row>
    <row r="13" spans="1:23" ht="17" thickBot="1" x14ac:dyDescent="0.25">
      <c r="A13" s="414" t="str">
        <f>+"  "&amp;A12+1</f>
        <v xml:space="preserve">  2025</v>
      </c>
      <c r="B13" s="377">
        <f>(B12*(1+B16))</f>
        <v>8.0299999999999994</v>
      </c>
      <c r="D13" s="415" t="s">
        <v>493</v>
      </c>
      <c r="E13" s="415"/>
      <c r="F13" s="418">
        <f>ROUND(F12*F11,3)</f>
        <v>259515.9</v>
      </c>
      <c r="G13" s="418"/>
      <c r="H13" s="418">
        <f>ROUND(H12*H11,3)</f>
        <v>366372.98</v>
      </c>
      <c r="I13" s="415"/>
      <c r="J13" s="417"/>
      <c r="K13" s="547">
        <f>F11*K12</f>
        <v>216909.40504435141</v>
      </c>
      <c r="L13" s="547"/>
      <c r="M13" s="547">
        <f>F11*M12</f>
        <v>259515.9</v>
      </c>
      <c r="N13" s="547"/>
      <c r="O13" s="547">
        <f>F11*O12</f>
        <v>213450.47966112394</v>
      </c>
      <c r="P13" s="415"/>
      <c r="Q13" s="415"/>
      <c r="R13" s="547">
        <f>F11*R12</f>
        <v>272853.32611572376</v>
      </c>
      <c r="S13" s="415"/>
      <c r="T13" s="547">
        <f>$F$11*T12</f>
        <v>221774.86336650452</v>
      </c>
      <c r="U13" s="415"/>
      <c r="V13" s="547">
        <f>V11*V12</f>
        <v>3015640.375731539</v>
      </c>
      <c r="W13" s="415"/>
    </row>
    <row r="14" spans="1:23" x14ac:dyDescent="0.15">
      <c r="A14" s="414"/>
      <c r="B14" s="400"/>
      <c r="D14" s="415" t="s">
        <v>492</v>
      </c>
      <c r="E14" s="415"/>
      <c r="F14" s="419">
        <f>F12/F20</f>
        <v>30.522633705988003</v>
      </c>
      <c r="G14" s="419"/>
      <c r="H14" s="419">
        <f>H12/H20</f>
        <v>24.981196581196581</v>
      </c>
      <c r="I14" s="415"/>
      <c r="J14" s="417"/>
      <c r="K14" s="419">
        <f>K12/$F$20</f>
        <v>25.511524795022289</v>
      </c>
      <c r="L14" s="419"/>
      <c r="M14" s="419">
        <f>M12/$F$20</f>
        <v>30.522633705988003</v>
      </c>
      <c r="N14" s="419"/>
      <c r="O14" s="419">
        <f>O12/$F$20</f>
        <v>25.104707669410349</v>
      </c>
      <c r="P14" s="415"/>
      <c r="Q14" s="415"/>
      <c r="R14" s="419">
        <f>R12/$F$20</f>
        <v>32.091298176684845</v>
      </c>
      <c r="S14" s="415"/>
      <c r="T14" s="419">
        <f>T12/$F$20</f>
        <v>26.083769509811752</v>
      </c>
      <c r="U14" s="415"/>
      <c r="V14" s="419">
        <f>V12/$F$20</f>
        <v>37.120714677972252</v>
      </c>
      <c r="W14" s="415"/>
    </row>
    <row r="15" spans="1:23" x14ac:dyDescent="0.15">
      <c r="A15" s="414"/>
      <c r="B15" s="400"/>
      <c r="D15" s="415" t="s">
        <v>491</v>
      </c>
      <c r="E15" s="415"/>
      <c r="F15" s="415"/>
      <c r="G15" s="415"/>
      <c r="H15" s="415"/>
      <c r="I15" s="415"/>
      <c r="J15" s="417"/>
      <c r="K15" s="420">
        <f>($F$12*(1+K9))/$H$12</f>
        <v>3.729290441607783</v>
      </c>
      <c r="L15" s="420"/>
      <c r="M15" s="420">
        <f>($F$12*(1+M9))/$H$12</f>
        <v>4.4618174353359796</v>
      </c>
      <c r="N15" s="420"/>
      <c r="O15" s="420">
        <f>($F$12*(1+O9))/$H$12</f>
        <v>3.6698216630766387</v>
      </c>
      <c r="P15" s="415"/>
      <c r="Q15" s="415"/>
      <c r="R15" s="420">
        <f>($F$12*(1+R9))/$H$12</f>
        <v>4.6911257759256753</v>
      </c>
      <c r="S15" s="415"/>
      <c r="T15" s="420">
        <f>($F$12*(1+T9))/$H$12</f>
        <v>3.8129415272356124</v>
      </c>
      <c r="U15" s="415"/>
      <c r="V15" s="420">
        <f>($F$12*(1+V9))/$H$12</f>
        <v>5.4263289845075171</v>
      </c>
      <c r="W15" s="415"/>
    </row>
    <row r="16" spans="1:23" ht="16" x14ac:dyDescent="0.2">
      <c r="A16" s="390" t="s">
        <v>558</v>
      </c>
      <c r="B16" s="597">
        <f>8.03/B12-1</f>
        <v>0.37264957264957266</v>
      </c>
      <c r="C16" s="422"/>
      <c r="D16" s="415" t="s">
        <v>490</v>
      </c>
      <c r="E16" s="415"/>
      <c r="F16" s="423"/>
      <c r="G16" s="416"/>
      <c r="H16" s="423"/>
      <c r="I16" s="415"/>
      <c r="J16" s="417"/>
      <c r="K16" s="424">
        <f>$H$11/K11</f>
        <v>0.73788366238251701</v>
      </c>
      <c r="L16" s="420"/>
      <c r="M16" s="424">
        <f>$H$11/M11</f>
        <v>0.70175301023294179</v>
      </c>
      <c r="N16" s="420"/>
      <c r="O16" s="424">
        <f>$H$11/O11</f>
        <v>0.74098082401368726</v>
      </c>
      <c r="P16" s="415"/>
      <c r="Q16" s="415"/>
      <c r="R16" s="424">
        <f>$H$11/R11</f>
        <v>0.69115895906559988</v>
      </c>
      <c r="S16" s="415"/>
      <c r="T16" s="424">
        <f>$H$11/T11</f>
        <v>0.73357064302196773</v>
      </c>
      <c r="U16" s="415"/>
      <c r="V16" s="424">
        <f>$H$11/V11</f>
        <v>0.6592498019702121</v>
      </c>
      <c r="W16" s="415"/>
    </row>
    <row r="17" spans="1:23" x14ac:dyDescent="0.15">
      <c r="F17" s="425"/>
      <c r="G17" s="425"/>
      <c r="H17" s="425"/>
      <c r="J17" s="399"/>
      <c r="K17" s="392"/>
      <c r="L17" s="392"/>
      <c r="M17" s="392"/>
      <c r="N17" s="392"/>
      <c r="O17" s="392"/>
      <c r="R17" s="392"/>
      <c r="T17" s="392"/>
      <c r="V17" s="392"/>
    </row>
    <row r="18" spans="1:23" ht="16" x14ac:dyDescent="0.2">
      <c r="A18" s="393" t="s">
        <v>557</v>
      </c>
      <c r="D18" s="426" t="s">
        <v>489</v>
      </c>
      <c r="F18" s="425"/>
      <c r="J18" s="399"/>
      <c r="K18" s="427"/>
      <c r="L18" s="428" t="s">
        <v>488</v>
      </c>
      <c r="N18" s="428" t="s">
        <v>488</v>
      </c>
      <c r="P18" s="428" t="s">
        <v>488</v>
      </c>
      <c r="Q18" s="428"/>
      <c r="S18" s="428" t="s">
        <v>488</v>
      </c>
      <c r="U18" s="428" t="s">
        <v>488</v>
      </c>
      <c r="W18" s="428" t="s">
        <v>488</v>
      </c>
    </row>
    <row r="19" spans="1:23" x14ac:dyDescent="0.15">
      <c r="A19" s="390" t="s">
        <v>556</v>
      </c>
      <c r="B19" s="429" t="s">
        <v>298</v>
      </c>
      <c r="D19" s="409">
        <f>A11</f>
        <v>2023</v>
      </c>
      <c r="E19" s="430"/>
      <c r="F19" s="430">
        <f>B27</f>
        <v>18.040490538093881</v>
      </c>
      <c r="G19" s="430"/>
      <c r="H19" s="430">
        <f>B11</f>
        <v>4.5199999999999996</v>
      </c>
      <c r="J19" s="399"/>
      <c r="K19" s="430">
        <f>(($F19*$F$11+$H19*$H$11)-(K52*$E$49*(1-B41)))/K$11</f>
        <v>4.4891231140598533</v>
      </c>
      <c r="L19" s="431">
        <f>K19/$H19-1</f>
        <v>-6.831169455784547E-3</v>
      </c>
      <c r="M19" s="430">
        <f>(($F19*$F$11+$H19*$H$11)-(M52*$E$49*(1-B41)))/M$11</f>
        <v>4.0900836657561603</v>
      </c>
      <c r="N19" s="431">
        <f>M19/$H19-1</f>
        <v>-9.5114233239787405E-2</v>
      </c>
      <c r="O19" s="430">
        <f>(($F19*$F$11+$H19*$H$11)-(O52*$E$49*(1-B41)))/O$11</f>
        <v>4.523329240854717</v>
      </c>
      <c r="P19" s="431">
        <f>O19/$H19-1</f>
        <v>7.3655771122060898E-4</v>
      </c>
      <c r="Q19" s="431"/>
      <c r="R19" s="430">
        <f>(($F19*$F$11+$H19*$H$11)-(R52*$E$49*(1-B41)))/R$11</f>
        <v>3.9730792918628732</v>
      </c>
      <c r="S19" s="431">
        <f>R19/$H19-1</f>
        <v>-0.12100015666750585</v>
      </c>
      <c r="T19" s="430">
        <f>(($F19*$F$11+$H19*$H$11)-(T52*$E$49*(1-$B$41)))/T$11</f>
        <v>4.4414886329817982</v>
      </c>
      <c r="U19" s="431">
        <f>T19/$H19-1</f>
        <v>-1.736977146420382E-2</v>
      </c>
      <c r="V19" s="430">
        <f>(($F19*$F$11+$H19*$H$11)-(V52*$E$49*(1-$B$41)))/V$11</f>
        <v>3.6206634984676493</v>
      </c>
      <c r="W19" s="431">
        <f>V19/$H19-1</f>
        <v>-0.19896825255140493</v>
      </c>
    </row>
    <row r="20" spans="1:23" x14ac:dyDescent="0.15">
      <c r="A20" s="390" t="s">
        <v>554</v>
      </c>
      <c r="B20" s="400">
        <v>652.04999999999995</v>
      </c>
      <c r="C20" s="422"/>
      <c r="D20" s="414" t="str">
        <f>+"  "&amp;D19+1</f>
        <v xml:space="preserve">  2024</v>
      </c>
      <c r="E20" s="430"/>
      <c r="F20" s="430">
        <f>B28</f>
        <v>21.362835405388992</v>
      </c>
      <c r="G20" s="430"/>
      <c r="H20" s="430">
        <f>B12</f>
        <v>5.85</v>
      </c>
      <c r="J20" s="399"/>
      <c r="K20" s="430">
        <f>(($F20*$F$11+$H20*$H$11)-(K53*$E$49*(1-B41)))/K$11</f>
        <v>5.859698090395268</v>
      </c>
      <c r="L20" s="431">
        <f>K20/$H20-1</f>
        <v>1.6577932299604026E-3</v>
      </c>
      <c r="M20" s="430">
        <f>(($F20*$F$11+$H20*$H$11)-(M53*$E$49*(1-B41)))/M$11</f>
        <v>5.3935481065974091</v>
      </c>
      <c r="N20" s="431">
        <f>M20/$H20-1</f>
        <v>-7.802596468420353E-2</v>
      </c>
      <c r="O20" s="430">
        <f>(($F20*$F$11+$H20*$H$11)-(O53*$E$49*(1-B41)))/O$11</f>
        <v>5.8996570105446322</v>
      </c>
      <c r="P20" s="431">
        <f>O20/$H20-1</f>
        <v>8.4883778708773061E-3</v>
      </c>
      <c r="Q20" s="431"/>
      <c r="R20" s="430">
        <f>(($F20*$F$11+$H20*$H$11)-(R53*$E$49*(1-B41)))/R$11</f>
        <v>5.2568659133293272</v>
      </c>
      <c r="S20" s="431">
        <f>R20/$H20-1</f>
        <v>-0.10139044216592696</v>
      </c>
      <c r="T20" s="430">
        <f>(($F20*$F$11+$H20*$H$11)-(T53*$E$49*(1-$B$41)))/T$11</f>
        <v>5.8040524326109386</v>
      </c>
      <c r="U20" s="431">
        <f>T20/$H20-1</f>
        <v>-7.8542850237711681E-3</v>
      </c>
      <c r="V20" s="430">
        <f>(($F20*$F$11+$H20*$H$11)-(V53*$E$49*(1-$B$41)))/V$11</f>
        <v>4.8451807601956256</v>
      </c>
      <c r="W20" s="431">
        <f>V20/$H20-1</f>
        <v>-0.1717639726161323</v>
      </c>
    </row>
    <row r="21" spans="1:23" x14ac:dyDescent="0.15">
      <c r="A21" s="390" t="s">
        <v>553</v>
      </c>
      <c r="B21" s="432">
        <f>'Financial Statement Ratios'!G14</f>
        <v>398</v>
      </c>
      <c r="C21" s="422"/>
      <c r="D21" s="414" t="str">
        <f>+"  "&amp;D20+1</f>
        <v xml:space="preserve">  2025</v>
      </c>
      <c r="E21" s="430"/>
      <c r="F21" s="430">
        <f>B29</f>
        <v>22.63434345906207</v>
      </c>
      <c r="G21" s="430"/>
      <c r="H21" s="430">
        <f>B13</f>
        <v>8.0299999999999994</v>
      </c>
      <c r="J21" s="399"/>
      <c r="K21" s="430">
        <f>(($F21*$F$11+$H21*$H$11)-(K54*$E$49*(1-B41)))/K$11</f>
        <v>7.6172328420471036</v>
      </c>
      <c r="L21" s="433">
        <f>K21/$H21-1</f>
        <v>-5.1403132995379353E-2</v>
      </c>
      <c r="M21" s="430">
        <f>(($F21*$F$11+$H21*$H$11)-(M54*$E$49*(1-B41)))/M$11</f>
        <v>7.0650247436845603</v>
      </c>
      <c r="N21" s="433">
        <f>M21/$H21-1</f>
        <v>-0.12017126479644324</v>
      </c>
      <c r="O21" s="430">
        <f>(($F21*$F$11+$H21*$H$11)-(O54*$E$49*(1-B41)))/O$11</f>
        <v>7.6645687641220661</v>
      </c>
      <c r="P21" s="433">
        <f>O21/$H21-1</f>
        <v>-4.5508248552669106E-2</v>
      </c>
      <c r="Q21" s="433"/>
      <c r="R21" s="430">
        <f>(($F21*$F$11+$H21*$H$11)-(R54*$E$49*(1-$B$41)))/R$11</f>
        <v>6.9031090155970984</v>
      </c>
      <c r="S21" s="433">
        <f>R21/$H21-1</f>
        <v>-0.14033511636399765</v>
      </c>
      <c r="T21" s="430">
        <f>(($F21*$F$11+$H21*$H$11)-(T54*$E$49*(1-$B$41)))/T$11</f>
        <v>7.551314180810933</v>
      </c>
      <c r="U21" s="433">
        <f>T21/$H21-1</f>
        <v>-5.9612181717193846E-2</v>
      </c>
      <c r="V21" s="430">
        <f>(($F21*$F$11+$H21*$H$11)-(V54*$E$49*(1-$B$41)))/V$11</f>
        <v>6.4154207533689602</v>
      </c>
      <c r="W21" s="433">
        <f>V21/$H21-1</f>
        <v>-0.2010683993313872</v>
      </c>
    </row>
    <row r="22" spans="1:23" ht="16" x14ac:dyDescent="0.2">
      <c r="A22" s="390" t="s">
        <v>552</v>
      </c>
      <c r="B22" s="434">
        <f>B21*B20</f>
        <v>259515.9</v>
      </c>
      <c r="D22" s="414"/>
      <c r="F22" s="435"/>
      <c r="G22" s="430"/>
      <c r="H22" s="436"/>
      <c r="I22" s="430"/>
      <c r="J22" s="399"/>
      <c r="K22" s="430"/>
      <c r="L22" s="437"/>
      <c r="M22" s="430"/>
      <c r="N22" s="437"/>
      <c r="O22" s="430"/>
      <c r="P22" s="437"/>
      <c r="Q22" s="437"/>
      <c r="R22" s="430"/>
      <c r="S22" s="437"/>
      <c r="T22" s="430"/>
      <c r="U22" s="437"/>
      <c r="V22" s="430"/>
      <c r="W22" s="437"/>
    </row>
    <row r="23" spans="1:23" x14ac:dyDescent="0.15">
      <c r="A23" s="390" t="s">
        <v>551</v>
      </c>
      <c r="B23" s="400">
        <f>'Income Approach wo Synergies'!F66/D3</f>
        <v>6.7630476250865277</v>
      </c>
      <c r="D23" s="426" t="s">
        <v>487</v>
      </c>
      <c r="F23" s="430"/>
      <c r="G23" s="430"/>
      <c r="H23" s="430"/>
      <c r="I23" s="430"/>
      <c r="J23" s="399"/>
      <c r="K23" s="430"/>
      <c r="L23" s="428" t="s">
        <v>486</v>
      </c>
      <c r="N23" s="428" t="s">
        <v>486</v>
      </c>
      <c r="P23" s="428" t="s">
        <v>486</v>
      </c>
      <c r="Q23" s="428"/>
      <c r="S23" s="428" t="s">
        <v>486</v>
      </c>
      <c r="U23" s="428" t="s">
        <v>486</v>
      </c>
      <c r="W23" s="428" t="s">
        <v>486</v>
      </c>
    </row>
    <row r="24" spans="1:23" x14ac:dyDescent="0.15">
      <c r="A24" s="390" t="s">
        <v>550</v>
      </c>
      <c r="B24" s="421">
        <f>'Terminal Growth'!G57</f>
        <v>5.951962974691663E-2</v>
      </c>
      <c r="D24" s="409">
        <f>A11</f>
        <v>2023</v>
      </c>
      <c r="F24" s="430"/>
      <c r="G24" s="430"/>
      <c r="H24" s="430"/>
      <c r="I24" s="430"/>
      <c r="J24" s="399"/>
      <c r="K24" s="438">
        <f>IF((($H19-K19)*K$11)/(1-B41)&lt;0,"n/a",(($H19-K19)*K$11)/(1-B41))</f>
        <v>123.4187112305778</v>
      </c>
      <c r="L24" s="439">
        <f>IF(K24="n/a","n/a",K24/B36)</f>
        <v>7.8555605136896318E-3</v>
      </c>
      <c r="M24" s="438">
        <f>IF((($H19-M19)*M$11)/(1-B41)&lt;0,"n/a",(($H19-M19)*M$11)/(1-B41))</f>
        <v>1806.9039613198131</v>
      </c>
      <c r="N24" s="439">
        <f>IF(M24="n/a","n/a",M24/B36)</f>
        <v>0.11500884484245516</v>
      </c>
      <c r="O24" s="438" t="str">
        <f>IF((($H19-O19)*O$11)/(1-B41)&lt;0,"n/a",(($H19-O19)*O$11)/(1-B41))</f>
        <v>n/a</v>
      </c>
      <c r="P24" s="439" t="str">
        <f>IF(O24="n/a","n/a",O24/B36)</f>
        <v>n/a</v>
      </c>
      <c r="Q24" s="439"/>
      <c r="R24" s="438">
        <f>IF((($H19-R19)*R$11)/(1-B41)&lt;0,"n/a",(($H19-R19)*R$11)/(1-B41))</f>
        <v>2333.897795554451</v>
      </c>
      <c r="S24" s="439">
        <f>IF(R24="n/a","n/a",R24/$B$36)</f>
        <v>0.14855182964511812</v>
      </c>
      <c r="T24" s="438">
        <f>IF((($H19-T19)*T$11)/(1-D41)&lt;0,"n/a",(($H19-T19)*T$11)/(1-D41))</f>
        <v>268.31498641193116</v>
      </c>
      <c r="U24" s="439">
        <f>IF(T24="n/a","n/a",T24/$B$36)</f>
        <v>1.7078160932590614E-2</v>
      </c>
      <c r="V24" s="438">
        <f>IF((($H19-V19)*V$11)/(1-$B$41)&lt;0,"n/a",(($H19-V19)*V$11)/(1-$B$41))</f>
        <v>4023.53349234498</v>
      </c>
      <c r="W24" s="439">
        <f>IF(V24="n/a","n/a",V24/$B$36)</f>
        <v>0.25609658789033035</v>
      </c>
    </row>
    <row r="25" spans="1:23" x14ac:dyDescent="0.15">
      <c r="A25" s="390" t="s">
        <v>549</v>
      </c>
      <c r="B25" s="421">
        <f>B24</f>
        <v>5.951962974691663E-2</v>
      </c>
      <c r="D25" s="414" t="str">
        <f>+"  "&amp;D24+1</f>
        <v xml:space="preserve">  2024</v>
      </c>
      <c r="F25" s="430"/>
      <c r="G25" s="430"/>
      <c r="H25" s="430"/>
      <c r="I25" s="430"/>
      <c r="J25" s="399"/>
      <c r="K25" s="438" t="str">
        <f>IF((($H20-K20)*K$11)/(1-B41)&lt;0,"n/a",(($H20-K20)*K$11)/(1-B41))</f>
        <v>n/a</v>
      </c>
      <c r="L25" s="439" t="str">
        <f>IF(K25="n/a","n/a",K25/B36)</f>
        <v>n/a</v>
      </c>
      <c r="M25" s="438">
        <f>IF((($H20-M20)*M$11)/(1-B41)&lt;0,"n/a",(($H20-M20)*M$11)/(1-B41))</f>
        <v>1918.430793730394</v>
      </c>
      <c r="N25" s="439">
        <f>IF(M25="n/a","n/a",M25/B36)</f>
        <v>0.12210749116736007</v>
      </c>
      <c r="O25" s="438" t="str">
        <f>IF((($H20-O20)*O$11)/(1-B41)&lt;0,"n/a",(($H20-O20)*O$11)/(1-B41))</f>
        <v>n/a</v>
      </c>
      <c r="P25" s="439" t="str">
        <f>IF(O25="n/a","n/a",O25/B36)</f>
        <v>n/a</v>
      </c>
      <c r="Q25" s="439"/>
      <c r="R25" s="438">
        <f>IF((($H20-R20)*R$11)/(1-B41)&lt;0,"n/a",(($H20-R20)*R$11)/(1-B41))</f>
        <v>2531.1060940881471</v>
      </c>
      <c r="S25" s="439">
        <f>IF(R25="n/a","n/a",R25/$B$36)</f>
        <v>0.16110407320273357</v>
      </c>
      <c r="T25" s="438">
        <f>IF((($H20-T20)*T$11)/(1-D41)&lt;0,"n/a",(($H20-T20)*T$11)/(1-D41))</f>
        <v>157.02721004461796</v>
      </c>
      <c r="U25" s="439">
        <f>IF(T25="n/a","n/a",T25/$B$36)</f>
        <v>9.9947304464781343E-3</v>
      </c>
      <c r="V25" s="438">
        <f>IF((($H20-V20)*V$11)/(1-$B$41)&lt;0,"n/a",(($H20-V20)*V$11)/(1-$B$41))</f>
        <v>4495.4517671827107</v>
      </c>
      <c r="W25" s="439">
        <f>IF(V25="n/a","n/a",V25/$B$36)</f>
        <v>0.28613403139091786</v>
      </c>
    </row>
    <row r="26" spans="1:23" x14ac:dyDescent="0.15">
      <c r="A26" s="426" t="s">
        <v>548</v>
      </c>
      <c r="B26" s="440"/>
      <c r="C26" s="441"/>
      <c r="D26" s="414" t="str">
        <f>+"  "&amp;D25+1</f>
        <v xml:space="preserve">  2025</v>
      </c>
      <c r="F26" s="430"/>
      <c r="G26" s="430"/>
      <c r="H26" s="430"/>
      <c r="I26" s="430"/>
      <c r="J26" s="399"/>
      <c r="K26" s="438">
        <f>IF((($H21-K21)*K$11)/(1-B41)&lt;0,"n/a",(($H21-K21)*K$11)/(1-B41))</f>
        <v>1649.8811043188193</v>
      </c>
      <c r="L26" s="439">
        <f>IF(K26="n/a","n/a",K26/B36)</f>
        <v>0.1050143914657768</v>
      </c>
      <c r="M26" s="438">
        <f>IF((($H21-M21)*M$11)/(1-B41)&lt;0,"n/a",(($H21-M21)*M$11)/(1-B41))</f>
        <v>4055.7138083128207</v>
      </c>
      <c r="N26" s="439">
        <f>IF(M26="n/a","n/a",M26/B36)</f>
        <v>0.25814485445311058</v>
      </c>
      <c r="O26" s="438">
        <f>IF((($H21-O21)*O$11)/(1-B41)&lt;0,"n/a",(($H21-O21)*O$11)/(1-B41))</f>
        <v>1454.5682578547776</v>
      </c>
      <c r="P26" s="439">
        <f>IF(O26="n/a","n/a",O26/B36)</f>
        <v>9.2582792811073622E-2</v>
      </c>
      <c r="Q26" s="439"/>
      <c r="R26" s="438">
        <f>IF((($H$21-R21)*R$11)/(1-$B$41)&lt;0,"n/a",(($H$21-R21)*R$11)/(1-$B$41))</f>
        <v>4808.82940652651</v>
      </c>
      <c r="S26" s="439">
        <f>IF(R26="n/a","n/a",R26/$B$36)</f>
        <v>0.30608041541127301</v>
      </c>
      <c r="T26" s="438">
        <f>IF((($H$21-T21)*T$11)/(1-$B$41)&lt;0,"n/a",(($H$21-T21)*T$11)/(1-$B$41))</f>
        <v>1924.6157137613613</v>
      </c>
      <c r="U26" s="439">
        <f>IF(T26="n/a","n/a",T26/$B$36)</f>
        <v>0.12250115929994025</v>
      </c>
      <c r="V26" s="438">
        <f>IF((($H$21-V21)*V$11)/(1-$B$41)&lt;0,"n/a",(($H$21-V21)*V$11)/(1-$B$41))</f>
        <v>7223.4515821344439</v>
      </c>
      <c r="W26" s="439">
        <f>IF(V26="n/a","n/a",V26/$B$36)</f>
        <v>0.45977032538568163</v>
      </c>
    </row>
    <row r="27" spans="1:23" x14ac:dyDescent="0.15">
      <c r="A27" s="409">
        <v>2023</v>
      </c>
      <c r="B27" s="400">
        <f>'Financial Statement Ratios'!H10/D3</f>
        <v>18.040490538093881</v>
      </c>
      <c r="C27" s="430"/>
      <c r="J27" s="399"/>
    </row>
    <row r="28" spans="1:23" ht="16" x14ac:dyDescent="0.2">
      <c r="A28" s="414" t="str">
        <f>+"  "&amp;A27+1</f>
        <v xml:space="preserve">  2024</v>
      </c>
      <c r="B28" s="400">
        <f>'Financial Statement Ratios'!I10/D3</f>
        <v>21.362835405388992</v>
      </c>
      <c r="C28" s="430"/>
      <c r="D28" s="390" t="s">
        <v>120</v>
      </c>
      <c r="F28" s="442">
        <f>B72/(B72+B84)</f>
        <v>0.32593793989840258</v>
      </c>
      <c r="H28" s="442">
        <f>B71/(B71+B76)</f>
        <v>0.3313668542385188</v>
      </c>
      <c r="J28" s="399"/>
      <c r="K28" s="443">
        <f>(B71+B72+K13*E32)/(B72+B71+E32*K13+B76+K13*E34)</f>
        <v>0.40113144400442685</v>
      </c>
      <c r="L28" s="546"/>
      <c r="M28" s="546">
        <f>(B71+B72+M13*E32)/(B72+B71+E32*M13+B76+M13*E34)</f>
        <v>0.40096903853818155</v>
      </c>
      <c r="N28" s="443"/>
      <c r="O28" s="546">
        <f>(B71+B72+O13*E32)/(B72+B71+E32*O13+B76+O13*E34)</f>
        <v>0.40114705057737238</v>
      </c>
      <c r="P28" s="437"/>
      <c r="Q28" s="437"/>
      <c r="R28" s="546">
        <f>($B$71+$B$72+R13*$E$32)/($B$72+$B$71+$E$32*R13+$B$76+R13*$E$34)</f>
        <v>0.40092736921278743</v>
      </c>
      <c r="S28" s="437"/>
      <c r="T28" s="546">
        <f>($B$71+$B$72+T13*$E$32)/($B$72+$B$71+$E$32*T13+$B$76+T13*$E$34)</f>
        <v>0.40111019652556235</v>
      </c>
      <c r="U28" s="437"/>
      <c r="V28" s="546">
        <f>($B$71+$B$72+V13*$E$32)/($B$72+$B$71+$E$32*V13+$B$76+V13*$E$34)</f>
        <v>0.40009421692135322</v>
      </c>
      <c r="W28" s="437"/>
    </row>
    <row r="29" spans="1:23" x14ac:dyDescent="0.15">
      <c r="A29" s="414" t="str">
        <f>+"  "&amp;A28+1</f>
        <v xml:space="preserve">  2025</v>
      </c>
      <c r="B29" s="425">
        <f>(B28*(1+B24))</f>
        <v>22.63434345906207</v>
      </c>
      <c r="C29" s="430"/>
      <c r="D29" s="390" t="s">
        <v>485</v>
      </c>
      <c r="F29" s="444" t="s">
        <v>626</v>
      </c>
      <c r="H29" s="444" t="s">
        <v>484</v>
      </c>
      <c r="J29" s="399"/>
      <c r="K29" s="445" t="s">
        <v>627</v>
      </c>
      <c r="L29" s="431"/>
      <c r="M29" s="445" t="s">
        <v>627</v>
      </c>
      <c r="N29" s="431"/>
      <c r="O29" s="445" t="s">
        <v>627</v>
      </c>
      <c r="P29" s="437"/>
      <c r="Q29" s="437"/>
      <c r="R29" s="445" t="s">
        <v>627</v>
      </c>
      <c r="S29" s="437"/>
      <c r="T29" s="445" t="s">
        <v>627</v>
      </c>
      <c r="U29" s="437"/>
      <c r="V29" s="445" t="s">
        <v>627</v>
      </c>
      <c r="W29" s="437"/>
    </row>
    <row r="30" spans="1:23" ht="14" thickBot="1" x14ac:dyDescent="0.2">
      <c r="A30" s="414"/>
      <c r="B30" s="400"/>
      <c r="C30" s="430"/>
      <c r="D30" s="414"/>
      <c r="H30" s="430"/>
      <c r="J30" s="399"/>
      <c r="K30" s="430"/>
      <c r="L30" s="437"/>
      <c r="M30" s="430"/>
      <c r="N30" s="437"/>
      <c r="O30" s="430"/>
      <c r="P30" s="437"/>
      <c r="Q30" s="437"/>
    </row>
    <row r="31" spans="1:23" x14ac:dyDescent="0.15">
      <c r="A31" s="414"/>
      <c r="B31" s="400"/>
      <c r="C31" s="430"/>
      <c r="D31" s="446" t="s">
        <v>483</v>
      </c>
      <c r="E31" s="447"/>
      <c r="F31" s="448"/>
    </row>
    <row r="32" spans="1:23" x14ac:dyDescent="0.15">
      <c r="B32" s="449"/>
      <c r="D32" s="450" t="s">
        <v>482</v>
      </c>
      <c r="E32" s="451">
        <f>B52</f>
        <v>0.4</v>
      </c>
      <c r="F32" s="452"/>
      <c r="J32" s="453"/>
      <c r="K32" s="430"/>
    </row>
    <row r="33" spans="1:20" x14ac:dyDescent="0.15">
      <c r="B33" s="440"/>
      <c r="D33" s="450" t="s">
        <v>481</v>
      </c>
      <c r="E33" s="451">
        <f>B53</f>
        <v>0</v>
      </c>
      <c r="F33" s="452"/>
      <c r="J33" s="453"/>
      <c r="K33" s="430"/>
      <c r="T33" s="548"/>
    </row>
    <row r="34" spans="1:20" ht="14" thickBot="1" x14ac:dyDescent="0.2">
      <c r="A34" s="393" t="s">
        <v>547</v>
      </c>
      <c r="D34" s="454" t="s">
        <v>480</v>
      </c>
      <c r="E34" s="455">
        <f>B54</f>
        <v>0.6</v>
      </c>
      <c r="F34" s="456"/>
    </row>
    <row r="35" spans="1:20" x14ac:dyDescent="0.15">
      <c r="A35" s="390" t="s">
        <v>546</v>
      </c>
      <c r="B35" s="457">
        <v>21397</v>
      </c>
      <c r="D35" s="458"/>
      <c r="E35" s="459"/>
      <c r="F35" s="460"/>
      <c r="K35" s="548"/>
    </row>
    <row r="36" spans="1:20" ht="16" x14ac:dyDescent="0.2">
      <c r="A36" s="390" t="s">
        <v>545</v>
      </c>
      <c r="B36" s="461">
        <v>15711</v>
      </c>
      <c r="D36" s="458"/>
      <c r="E36" s="462"/>
      <c r="F36" s="460"/>
      <c r="R36" s="548"/>
    </row>
    <row r="37" spans="1:20" x14ac:dyDescent="0.15">
      <c r="A37" s="463" t="s">
        <v>544</v>
      </c>
      <c r="B37" s="464">
        <f>-(1-(B42/B20))</f>
        <v>-0.16417681905289261</v>
      </c>
      <c r="D37" s="465"/>
      <c r="E37" s="466"/>
      <c r="F37" s="460"/>
    </row>
    <row r="38" spans="1:20" ht="16" x14ac:dyDescent="0.2">
      <c r="B38" s="467"/>
      <c r="C38" s="422"/>
      <c r="D38" s="458" t="s">
        <v>479</v>
      </c>
      <c r="E38" s="462">
        <f>B39+B40</f>
        <v>45415.925658718719</v>
      </c>
      <c r="F38" s="460"/>
    </row>
    <row r="39" spans="1:20" x14ac:dyDescent="0.15">
      <c r="A39" s="390" t="s">
        <v>542</v>
      </c>
      <c r="B39" s="467">
        <f>'Income Approach with Synergies'!T22+'Income Approach with Synergies'!T27</f>
        <v>45415.925658718719</v>
      </c>
      <c r="D39" s="458" t="s">
        <v>478</v>
      </c>
      <c r="E39" s="468" t="s">
        <v>477</v>
      </c>
      <c r="F39" s="460"/>
    </row>
    <row r="40" spans="1:20" ht="14" thickBot="1" x14ac:dyDescent="0.2">
      <c r="B40" s="467"/>
      <c r="D40" s="469" t="s">
        <v>476</v>
      </c>
      <c r="E40" s="470" t="s">
        <v>475</v>
      </c>
      <c r="F40" s="471"/>
    </row>
    <row r="41" spans="1:20" x14ac:dyDescent="0.15">
      <c r="A41" s="390" t="s">
        <v>540</v>
      </c>
      <c r="B41" s="421">
        <f>WACC!E7</f>
        <v>0.15</v>
      </c>
    </row>
    <row r="42" spans="1:20" x14ac:dyDescent="0.15">
      <c r="A42" s="390" t="s">
        <v>539</v>
      </c>
      <c r="B42" s="425">
        <f>'Valuation Conclusion (USD)'!D16</f>
        <v>544.99850513656133</v>
      </c>
    </row>
    <row r="43" spans="1:20" ht="14" thickBot="1" x14ac:dyDescent="0.2">
      <c r="A43" s="390" t="s">
        <v>538</v>
      </c>
      <c r="B43" s="425">
        <f>ROUND(B22*(1+B37),2)</f>
        <v>216909.41</v>
      </c>
      <c r="C43" s="473"/>
    </row>
    <row r="44" spans="1:20" ht="17" thickTop="1" x14ac:dyDescent="0.2">
      <c r="B44" s="421"/>
      <c r="C44" s="474"/>
      <c r="D44" s="475"/>
      <c r="E44" s="475"/>
      <c r="F44" s="475"/>
      <c r="G44" s="475"/>
      <c r="H44" s="475"/>
      <c r="I44" s="475"/>
      <c r="J44" s="475"/>
      <c r="K44" s="475"/>
      <c r="L44" s="475"/>
      <c r="M44" s="475"/>
      <c r="N44" s="475"/>
      <c r="O44" s="475"/>
      <c r="P44" s="475"/>
    </row>
    <row r="45" spans="1:20" x14ac:dyDescent="0.15">
      <c r="B45" s="472"/>
      <c r="C45" s="425"/>
    </row>
    <row r="46" spans="1:20" x14ac:dyDescent="0.15">
      <c r="B46" s="479"/>
      <c r="C46" s="425"/>
      <c r="D46" s="476" t="s">
        <v>474</v>
      </c>
    </row>
    <row r="47" spans="1:20" x14ac:dyDescent="0.15">
      <c r="B47" s="425"/>
      <c r="C47" s="425"/>
    </row>
    <row r="48" spans="1:20" ht="16" x14ac:dyDescent="0.2">
      <c r="B48" s="472"/>
      <c r="C48" s="425"/>
      <c r="D48" s="390" t="s">
        <v>473</v>
      </c>
      <c r="E48" s="477">
        <f>E32</f>
        <v>0.4</v>
      </c>
    </row>
    <row r="49" spans="1:22" ht="16" x14ac:dyDescent="0.2">
      <c r="A49" s="393"/>
      <c r="C49" s="480"/>
      <c r="D49" s="390" t="s">
        <v>472</v>
      </c>
      <c r="E49" s="477">
        <f>B55</f>
        <v>4.4200000000000003E-2</v>
      </c>
    </row>
    <row r="50" spans="1:22" ht="16" x14ac:dyDescent="0.2">
      <c r="A50" s="393" t="s">
        <v>522</v>
      </c>
      <c r="C50" s="481"/>
      <c r="E50" s="478"/>
      <c r="K50" s="425"/>
    </row>
    <row r="51" spans="1:22" ht="14" thickBot="1" x14ac:dyDescent="0.2">
      <c r="A51" s="390" t="s">
        <v>521</v>
      </c>
      <c r="B51" s="467">
        <v>0</v>
      </c>
      <c r="C51" s="440"/>
      <c r="D51" s="426" t="s">
        <v>471</v>
      </c>
    </row>
    <row r="52" spans="1:22" x14ac:dyDescent="0.15">
      <c r="A52" s="390" t="s">
        <v>520</v>
      </c>
      <c r="B52" s="482">
        <v>0.4</v>
      </c>
      <c r="C52" s="440"/>
      <c r="D52" s="409" t="str">
        <f>+"  "&amp;year1</f>
        <v xml:space="preserve">  2022</v>
      </c>
      <c r="K52" s="425">
        <f>K$12*$F$11*$E$48</f>
        <v>86763.762017740577</v>
      </c>
      <c r="M52" s="425">
        <f>M$12*$F$11*$E$48</f>
        <v>103806.36</v>
      </c>
      <c r="O52" s="425">
        <f>O$12*$F$11*$E$48</f>
        <v>85380.191864449589</v>
      </c>
      <c r="P52" s="425"/>
      <c r="Q52" s="425"/>
      <c r="R52" s="425">
        <f t="shared" ref="R52:V54" si="0">R$12*$F$11*$E$48</f>
        <v>109141.3304462895</v>
      </c>
      <c r="S52" s="425"/>
      <c r="T52" s="425">
        <f>T$12*$F$11*$E$48</f>
        <v>88709.945346601817</v>
      </c>
      <c r="U52" s="425"/>
      <c r="V52" s="425">
        <f t="shared" si="0"/>
        <v>126246.19187311183</v>
      </c>
    </row>
    <row r="53" spans="1:22" x14ac:dyDescent="0.15">
      <c r="A53" s="390" t="s">
        <v>519</v>
      </c>
      <c r="B53" s="483">
        <f>B51/B43</f>
        <v>0</v>
      </c>
      <c r="C53" s="440"/>
      <c r="D53" s="414" t="str">
        <f>+"  "&amp;D52+1</f>
        <v xml:space="preserve">  2023</v>
      </c>
      <c r="K53" s="425">
        <f>K$12*$F$11*$E$48</f>
        <v>86763.762017740577</v>
      </c>
      <c r="M53" s="425">
        <f>M$12*$F$11*$E$48</f>
        <v>103806.36</v>
      </c>
      <c r="O53" s="425">
        <f>O$12*$F$11*$E$48</f>
        <v>85380.191864449589</v>
      </c>
      <c r="P53" s="425"/>
      <c r="Q53" s="425"/>
      <c r="R53" s="425">
        <f t="shared" si="0"/>
        <v>109141.3304462895</v>
      </c>
      <c r="S53" s="425"/>
      <c r="T53" s="425">
        <f t="shared" si="0"/>
        <v>88709.945346601817</v>
      </c>
      <c r="U53" s="425"/>
      <c r="V53" s="425">
        <f>V$12*$F$11*$E$48</f>
        <v>126246.19187311183</v>
      </c>
    </row>
    <row r="54" spans="1:22" ht="14" thickBot="1" x14ac:dyDescent="0.2">
      <c r="A54" s="390" t="s">
        <v>518</v>
      </c>
      <c r="B54" s="484">
        <f>1-B52-B53</f>
        <v>0.6</v>
      </c>
      <c r="C54" s="440"/>
      <c r="D54" s="414" t="str">
        <f>+"  "&amp;D53+1</f>
        <v xml:space="preserve">  2024</v>
      </c>
      <c r="K54" s="425">
        <f>K$12*$F$11*$E$48</f>
        <v>86763.762017740577</v>
      </c>
      <c r="M54" s="425">
        <f>M$12*$F$11*$E$48</f>
        <v>103806.36</v>
      </c>
      <c r="O54" s="425">
        <f>O$12*$F$11*$E$48</f>
        <v>85380.191864449589</v>
      </c>
      <c r="P54" s="425"/>
      <c r="Q54" s="425"/>
      <c r="R54" s="425">
        <f t="shared" si="0"/>
        <v>109141.3304462895</v>
      </c>
      <c r="S54" s="425"/>
      <c r="T54" s="425">
        <f t="shared" si="0"/>
        <v>88709.945346601817</v>
      </c>
      <c r="U54" s="425"/>
      <c r="V54" s="425">
        <f t="shared" si="0"/>
        <v>126246.19187311183</v>
      </c>
    </row>
    <row r="55" spans="1:22" x14ac:dyDescent="0.15">
      <c r="A55" s="390" t="s">
        <v>517</v>
      </c>
      <c r="B55" s="421">
        <f>B64</f>
        <v>4.4200000000000003E-2</v>
      </c>
    </row>
    <row r="57" spans="1:22" x14ac:dyDescent="0.15">
      <c r="A57" s="390" t="s">
        <v>516</v>
      </c>
      <c r="B57" s="425">
        <f>B43-B51-B61</f>
        <v>130145.65000000001</v>
      </c>
    </row>
    <row r="58" spans="1:22" x14ac:dyDescent="0.15">
      <c r="A58" s="390" t="s">
        <v>515</v>
      </c>
      <c r="B58" s="449">
        <f>B42/B7</f>
        <v>3.729290441607783</v>
      </c>
    </row>
    <row r="59" spans="1:22" ht="16" x14ac:dyDescent="0.2">
      <c r="A59" s="390" t="s">
        <v>514</v>
      </c>
      <c r="B59" s="485">
        <f>ROUNDUP(B58*B21*B54,0)</f>
        <v>891</v>
      </c>
    </row>
    <row r="60" spans="1:22" x14ac:dyDescent="0.15">
      <c r="F60" s="425">
        <f>K12</f>
        <v>544.99850513656133</v>
      </c>
    </row>
    <row r="61" spans="1:22" x14ac:dyDescent="0.15">
      <c r="A61" s="390" t="s">
        <v>513</v>
      </c>
      <c r="B61" s="425">
        <f>ROUND(B43*B52,2)</f>
        <v>86763.76</v>
      </c>
      <c r="F61" s="425">
        <f>M12</f>
        <v>652.04999999999995</v>
      </c>
    </row>
    <row r="62" spans="1:22" x14ac:dyDescent="0.15">
      <c r="A62" s="390" t="s">
        <v>512</v>
      </c>
      <c r="B62" s="425">
        <f>B55*B61</f>
        <v>3834.9581920000001</v>
      </c>
      <c r="F62" s="425">
        <f>O12</f>
        <v>536.30773784201995</v>
      </c>
    </row>
    <row r="63" spans="1:22" x14ac:dyDescent="0.15">
      <c r="F63" s="425">
        <f>R12</f>
        <v>685.56112089377825</v>
      </c>
    </row>
    <row r="64" spans="1:22" x14ac:dyDescent="0.15">
      <c r="A64" s="390" t="s">
        <v>511</v>
      </c>
      <c r="B64" s="545">
        <v>4.4200000000000003E-2</v>
      </c>
      <c r="C64" s="449" t="s">
        <v>622</v>
      </c>
      <c r="F64" s="425">
        <f>T12</f>
        <v>557.22327479021237</v>
      </c>
    </row>
    <row r="65" spans="1:6" x14ac:dyDescent="0.15">
      <c r="F65" s="425">
        <f>V12</f>
        <v>793.00371779592854</v>
      </c>
    </row>
    <row r="69" spans="1:6" x14ac:dyDescent="0.15">
      <c r="A69" s="486" t="s">
        <v>510</v>
      </c>
      <c r="B69" s="487" t="s">
        <v>509</v>
      </c>
      <c r="C69" s="487"/>
    </row>
    <row r="70" spans="1:6" x14ac:dyDescent="0.15">
      <c r="B70" s="488" t="s">
        <v>508</v>
      </c>
      <c r="C70" s="426"/>
    </row>
    <row r="71" spans="1:6" x14ac:dyDescent="0.15">
      <c r="A71" s="390" t="s">
        <v>507</v>
      </c>
      <c r="B71" s="489">
        <f>9703+1250</f>
        <v>10953</v>
      </c>
      <c r="C71" s="490"/>
    </row>
    <row r="72" spans="1:6" x14ac:dyDescent="0.15">
      <c r="A72" s="390" t="s">
        <v>506</v>
      </c>
      <c r="B72" s="489">
        <f>'Proforma Statements'!H69+'Proforma Statements'!H73</f>
        <v>4260.3999999999996</v>
      </c>
      <c r="C72" s="490"/>
    </row>
    <row r="73" spans="1:6" ht="16" x14ac:dyDescent="0.2">
      <c r="A73" s="390" t="s">
        <v>505</v>
      </c>
      <c r="B73" s="485">
        <f>B43*B52</f>
        <v>86763.76400000001</v>
      </c>
      <c r="C73" s="485"/>
    </row>
    <row r="74" spans="1:6" ht="16" x14ac:dyDescent="0.2">
      <c r="A74" s="390" t="s">
        <v>504</v>
      </c>
      <c r="B74" s="485">
        <f>SUM(B71:B73)</f>
        <v>101977.164</v>
      </c>
      <c r="C74" s="485"/>
    </row>
    <row r="75" spans="1:6" ht="16" x14ac:dyDescent="0.2">
      <c r="B75" s="485"/>
    </row>
    <row r="76" spans="1:6" x14ac:dyDescent="0.15">
      <c r="A76" s="390" t="s">
        <v>503</v>
      </c>
      <c r="B76" s="489">
        <v>22101</v>
      </c>
      <c r="C76" s="490"/>
    </row>
    <row r="77" spans="1:6" x14ac:dyDescent="0.15">
      <c r="A77" s="390" t="s">
        <v>502</v>
      </c>
      <c r="B77" s="490">
        <f>B43*B54</f>
        <v>130145.64599999999</v>
      </c>
      <c r="C77" s="491"/>
    </row>
    <row r="78" spans="1:6" ht="16" x14ac:dyDescent="0.2">
      <c r="A78" s="390" t="s">
        <v>500</v>
      </c>
      <c r="B78" s="485">
        <f>SUM(B76:B77)</f>
        <v>152246.64600000001</v>
      </c>
      <c r="C78" s="485"/>
    </row>
    <row r="79" spans="1:6" ht="16" x14ac:dyDescent="0.2">
      <c r="B79" s="485"/>
    </row>
    <row r="80" spans="1:6" ht="16" x14ac:dyDescent="0.2">
      <c r="A80" s="390" t="s">
        <v>120</v>
      </c>
      <c r="B80" s="442">
        <f>(B74)/(B78+B74)</f>
        <v>0.40113144398237133</v>
      </c>
      <c r="C80" s="442"/>
    </row>
    <row r="81" spans="1:235" ht="16" x14ac:dyDescent="0.2">
      <c r="B81" s="485"/>
    </row>
    <row r="82" spans="1:235" ht="16" x14ac:dyDescent="0.2">
      <c r="A82" s="409" t="s">
        <v>499</v>
      </c>
      <c r="B82" s="442">
        <f>B71/(B71+B76)</f>
        <v>0.3313668542385188</v>
      </c>
      <c r="C82" s="493"/>
    </row>
    <row r="83" spans="1:235" ht="16" x14ac:dyDescent="0.2">
      <c r="B83" s="485"/>
    </row>
    <row r="84" spans="1:235" ht="16" x14ac:dyDescent="0.2">
      <c r="A84" s="390" t="s">
        <v>498</v>
      </c>
      <c r="B84" s="457">
        <f>'Proforma Statements'!H89</f>
        <v>8810.7999999999993</v>
      </c>
      <c r="C84" s="485"/>
      <c r="D84" s="487"/>
      <c r="J84" s="425"/>
    </row>
    <row r="85" spans="1:235" x14ac:dyDescent="0.15">
      <c r="D85" s="426"/>
    </row>
    <row r="86" spans="1:235" x14ac:dyDescent="0.15">
      <c r="D86" s="490"/>
    </row>
    <row r="87" spans="1:235" ht="16" x14ac:dyDescent="0.2">
      <c r="D87" s="490"/>
      <c r="IA87" s="485"/>
    </row>
    <row r="88" spans="1:235" ht="16" x14ac:dyDescent="0.2">
      <c r="D88" s="485"/>
    </row>
    <row r="89" spans="1:235" ht="16" x14ac:dyDescent="0.2">
      <c r="A89" s="390" t="s">
        <v>632</v>
      </c>
      <c r="D89" s="485"/>
    </row>
    <row r="90" spans="1:235" x14ac:dyDescent="0.15">
      <c r="A90" s="390" t="s">
        <v>628</v>
      </c>
      <c r="B90" s="390" t="s">
        <v>629</v>
      </c>
      <c r="C90" s="390" t="s">
        <v>630</v>
      </c>
      <c r="D90" s="390" t="s">
        <v>631</v>
      </c>
    </row>
    <row r="91" spans="1:235" x14ac:dyDescent="0.15">
      <c r="A91" s="390">
        <v>3389</v>
      </c>
      <c r="B91" s="390">
        <v>9907</v>
      </c>
      <c r="C91" s="390">
        <f>B91+A91</f>
        <v>13296</v>
      </c>
      <c r="D91" s="548">
        <f>O13</f>
        <v>213450.47966112394</v>
      </c>
    </row>
    <row r="92" spans="1:235" x14ac:dyDescent="0.15">
      <c r="D92" s="491"/>
      <c r="K92" s="552">
        <f>K28</f>
        <v>0.40113144400442685</v>
      </c>
    </row>
    <row r="93" spans="1:235" ht="16" x14ac:dyDescent="0.2">
      <c r="D93" s="485"/>
      <c r="E93" s="492"/>
      <c r="J93" s="390">
        <f>0</f>
        <v>0</v>
      </c>
      <c r="K93" s="552">
        <f t="dataTable" ref="K93:K103" dt2D="0" dtr="0" r1="B52" ca="1"/>
        <v>5.9842546992583553E-2</v>
      </c>
    </row>
    <row r="94" spans="1:235" x14ac:dyDescent="0.15">
      <c r="J94" s="551">
        <v>0.1</v>
      </c>
      <c r="K94" s="552">
        <v>0.14516477124554436</v>
      </c>
    </row>
    <row r="95" spans="1:235" ht="16" x14ac:dyDescent="0.2">
      <c r="D95" s="442"/>
      <c r="J95" s="551">
        <v>0.2</v>
      </c>
      <c r="K95" s="552">
        <v>0.23048699549850518</v>
      </c>
    </row>
    <row r="96" spans="1:235" x14ac:dyDescent="0.15">
      <c r="J96" s="551">
        <v>0.3</v>
      </c>
      <c r="K96" s="552">
        <v>0.31580921975146597</v>
      </c>
    </row>
    <row r="97" spans="1:11" ht="16" x14ac:dyDescent="0.2">
      <c r="D97" s="493"/>
      <c r="J97" s="551">
        <v>0.4</v>
      </c>
      <c r="K97" s="552">
        <v>0.40113144400442685</v>
      </c>
    </row>
    <row r="98" spans="1:11" x14ac:dyDescent="0.15">
      <c r="J98" s="551">
        <v>0.5</v>
      </c>
      <c r="K98" s="552">
        <v>0.48645366825738762</v>
      </c>
    </row>
    <row r="99" spans="1:11" ht="16" x14ac:dyDescent="0.2">
      <c r="D99" s="485"/>
      <c r="J99" s="551">
        <v>0.6</v>
      </c>
      <c r="K99" s="552">
        <v>0.57177589251034833</v>
      </c>
    </row>
    <row r="100" spans="1:11" ht="18" x14ac:dyDescent="0.2">
      <c r="A100" s="494"/>
      <c r="B100" s="396"/>
      <c r="C100" s="396"/>
      <c r="D100" s="396"/>
      <c r="E100" s="396"/>
      <c r="J100" s="551">
        <v>0.7</v>
      </c>
      <c r="K100" s="552">
        <v>0.6570981167633092</v>
      </c>
    </row>
    <row r="101" spans="1:11" x14ac:dyDescent="0.15">
      <c r="J101" s="551">
        <v>0.8</v>
      </c>
      <c r="K101" s="552">
        <v>0.74242034101627008</v>
      </c>
    </row>
    <row r="102" spans="1:11" ht="10.5" customHeight="1" x14ac:dyDescent="0.15">
      <c r="J102" s="551">
        <v>0.9</v>
      </c>
      <c r="K102" s="552">
        <v>0.82774256526923096</v>
      </c>
    </row>
    <row r="103" spans="1:11" x14ac:dyDescent="0.15">
      <c r="J103" s="551">
        <v>1</v>
      </c>
      <c r="K103" s="552">
        <v>0.91306478952219172</v>
      </c>
    </row>
    <row r="104" spans="1:11" x14ac:dyDescent="0.15">
      <c r="J104" s="551"/>
      <c r="K104" s="552"/>
    </row>
    <row r="106" spans="1:11" x14ac:dyDescent="0.15">
      <c r="J106" s="551"/>
    </row>
    <row r="107" spans="1:11" x14ac:dyDescent="0.15">
      <c r="J107" s="551"/>
    </row>
    <row r="108" spans="1:11" s="410" customFormat="1" x14ac:dyDescent="0.15"/>
    <row r="109" spans="1:11" s="415" customFormat="1" x14ac:dyDescent="0.15"/>
    <row r="110" spans="1:11" s="415" customFormat="1" x14ac:dyDescent="0.15"/>
    <row r="111" spans="1:11" s="415" customFormat="1" x14ac:dyDescent="0.15"/>
    <row r="112" spans="1:11" s="415" customFormat="1" x14ac:dyDescent="0.15"/>
    <row r="113" s="415" customFormat="1" x14ac:dyDescent="0.15"/>
    <row r="127" s="390" customFormat="1" ht="15.75" customHeight="1" x14ac:dyDescent="0.15"/>
    <row r="131" s="390" customFormat="1" x14ac:dyDescent="0.15"/>
    <row r="132" s="390" customFormat="1" hidden="1" x14ac:dyDescent="0.15"/>
    <row r="133" s="390" customFormat="1" hidden="1" x14ac:dyDescent="0.15"/>
    <row r="134" s="390" customFormat="1" hidden="1" x14ac:dyDescent="0.15"/>
    <row r="135" s="390" customFormat="1" hidden="1" x14ac:dyDescent="0.15"/>
    <row r="136" s="390" customFormat="1" hidden="1" x14ac:dyDescent="0.15"/>
    <row r="137" s="390" customFormat="1" hidden="1" x14ac:dyDescent="0.15"/>
    <row r="138" s="390" customFormat="1" x14ac:dyDescent="0.15"/>
    <row r="139" s="390" customFormat="1" x14ac:dyDescent="0.15"/>
    <row r="143" s="390" customFormat="1" x14ac:dyDescent="0.15"/>
    <row r="144" s="390" customFormat="1" hidden="1" x14ac:dyDescent="0.15"/>
    <row r="145" s="390" customFormat="1" hidden="1" x14ac:dyDescent="0.15"/>
    <row r="146" s="390" customFormat="1" x14ac:dyDescent="0.15"/>
    <row r="147" s="390" customFormat="1" hidden="1" x14ac:dyDescent="0.15"/>
    <row r="148" s="390" customFormat="1" ht="16.5" customHeight="1" x14ac:dyDescent="0.15"/>
    <row r="149" s="390" customFormat="1" x14ac:dyDescent="0.15"/>
  </sheetData>
  <mergeCells count="3">
    <mergeCell ref="K6:O6"/>
    <mergeCell ref="K7:O7"/>
    <mergeCell ref="D4:P4"/>
  </mergeCells>
  <conditionalFormatting sqref="L19:L21">
    <cfRule type="cellIs" dxfId="17" priority="12" stopIfTrue="1" operator="lessThan">
      <formula>0</formula>
    </cfRule>
    <cfRule type="cellIs" dxfId="16" priority="11" stopIfTrue="1" operator="greaterThanOrEqual">
      <formula>0</formula>
    </cfRule>
  </conditionalFormatting>
  <conditionalFormatting sqref="N19:N21">
    <cfRule type="cellIs" dxfId="15" priority="10" stopIfTrue="1" operator="lessThan">
      <formula>0</formula>
    </cfRule>
    <cfRule type="cellIs" dxfId="14" priority="9" stopIfTrue="1" operator="greaterThanOrEqual">
      <formula>0</formula>
    </cfRule>
  </conditionalFormatting>
  <conditionalFormatting sqref="P19:Q21">
    <cfRule type="cellIs" dxfId="13" priority="7" stopIfTrue="1" operator="greaterThanOrEqual">
      <formula>0</formula>
    </cfRule>
    <cfRule type="cellIs" dxfId="12" priority="8" stopIfTrue="1" operator="lessThan">
      <formula>0</formula>
    </cfRule>
  </conditionalFormatting>
  <conditionalFormatting sqref="S19:S21">
    <cfRule type="cellIs" dxfId="11" priority="6" stopIfTrue="1" operator="lessThan">
      <formula>0</formula>
    </cfRule>
    <cfRule type="cellIs" dxfId="10" priority="5" stopIfTrue="1" operator="greaterThanOrEqual">
      <formula>0</formula>
    </cfRule>
  </conditionalFormatting>
  <conditionalFormatting sqref="U19:U21">
    <cfRule type="cellIs" dxfId="9" priority="4" stopIfTrue="1" operator="lessThan">
      <formula>0</formula>
    </cfRule>
    <cfRule type="cellIs" dxfId="8" priority="3" stopIfTrue="1" operator="greaterThanOrEqual">
      <formula>0</formula>
    </cfRule>
  </conditionalFormatting>
  <conditionalFormatting sqref="W19:W21">
    <cfRule type="cellIs" dxfId="7" priority="2" stopIfTrue="1" operator="lessThan">
      <formula>0</formula>
    </cfRule>
    <cfRule type="cellIs" dxfId="6" priority="1" stopIfTrue="1" operator="greaterThanOrEqual">
      <formula>0</formula>
    </cfRule>
  </conditionalFormatting>
  <printOptions horizontalCentered="1"/>
  <pageMargins left="0.25" right="0.25" top="0.5" bottom="0.25" header="0.5" footer="0.5"/>
  <pageSetup orientation="landscape"/>
  <headerFooter alignWithMargins="0"/>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7EF3B-7356-9849-894E-D375C8C35C44}">
  <sheetPr>
    <tabColor theme="4" tint="0.79998168889431442"/>
  </sheetPr>
  <dimension ref="A1:T90"/>
  <sheetViews>
    <sheetView zoomScale="84" zoomScaleNormal="110" workbookViewId="0">
      <selection activeCell="I59" sqref="I59"/>
    </sheetView>
  </sheetViews>
  <sheetFormatPr baseColWidth="10" defaultColWidth="11" defaultRowHeight="16" x14ac:dyDescent="0.2"/>
  <cols>
    <col min="1" max="1" width="29.83203125" style="3" bestFit="1" customWidth="1"/>
    <col min="2" max="7" width="12.83203125" style="3" customWidth="1"/>
    <col min="8" max="8" width="11" style="3"/>
    <col min="9" max="9" width="36.6640625" style="3" customWidth="1"/>
    <col min="10" max="10" width="13.1640625" style="501" customWidth="1"/>
    <col min="11" max="11" width="19" style="501" bestFit="1" customWidth="1"/>
    <col min="12" max="19" width="13.1640625" style="501" customWidth="1"/>
    <col min="20" max="20" width="13.1640625" style="3" customWidth="1"/>
    <col min="21" max="16384" width="11" style="3"/>
  </cols>
  <sheetData>
    <row r="1" spans="1:20" ht="17" x14ac:dyDescent="0.2">
      <c r="A1" s="575" t="s">
        <v>298</v>
      </c>
      <c r="B1" s="575"/>
      <c r="C1" s="575"/>
      <c r="D1" s="575"/>
      <c r="E1" s="575"/>
      <c r="F1" s="575"/>
      <c r="G1" s="575"/>
      <c r="H1" s="575"/>
      <c r="I1" s="575"/>
      <c r="J1" s="575"/>
      <c r="K1" s="575"/>
      <c r="L1" s="575"/>
      <c r="M1" s="575"/>
      <c r="N1" s="575"/>
      <c r="O1" s="575"/>
      <c r="P1" s="575"/>
      <c r="Q1" s="575"/>
      <c r="R1" s="575"/>
      <c r="S1" s="575"/>
      <c r="T1" s="575"/>
    </row>
    <row r="2" spans="1:20" ht="17" x14ac:dyDescent="0.2">
      <c r="A2" s="575" t="s">
        <v>342</v>
      </c>
      <c r="B2" s="575"/>
      <c r="C2" s="575"/>
      <c r="D2" s="575"/>
      <c r="E2" s="575"/>
      <c r="F2" s="575"/>
      <c r="G2" s="575"/>
      <c r="H2" s="575"/>
      <c r="I2" s="575"/>
      <c r="J2" s="575"/>
      <c r="K2" s="575"/>
      <c r="L2" s="575"/>
      <c r="M2" s="575"/>
      <c r="N2" s="575"/>
      <c r="O2" s="575"/>
      <c r="P2" s="575"/>
      <c r="Q2" s="575"/>
      <c r="R2" s="575"/>
      <c r="S2" s="575"/>
      <c r="T2" s="575"/>
    </row>
    <row r="3" spans="1:20" x14ac:dyDescent="0.2">
      <c r="A3" s="576" t="s">
        <v>384</v>
      </c>
      <c r="B3" s="576"/>
      <c r="C3" s="576"/>
      <c r="D3" s="576"/>
      <c r="E3" s="576"/>
      <c r="F3" s="576"/>
      <c r="G3" s="576"/>
      <c r="H3" s="576"/>
      <c r="I3" s="576"/>
      <c r="J3" s="576"/>
      <c r="K3" s="576"/>
      <c r="L3" s="576"/>
      <c r="M3" s="576"/>
      <c r="N3" s="576"/>
      <c r="O3" s="576"/>
      <c r="P3" s="576"/>
      <c r="Q3" s="576"/>
      <c r="R3" s="576"/>
      <c r="S3" s="576"/>
      <c r="T3" s="576"/>
    </row>
    <row r="4" spans="1:20" x14ac:dyDescent="0.2">
      <c r="A4" s="38"/>
      <c r="B4" s="38"/>
      <c r="C4" s="38"/>
      <c r="D4" s="38"/>
      <c r="E4" s="38"/>
      <c r="F4" s="38"/>
      <c r="G4" s="38"/>
      <c r="H4" s="38"/>
    </row>
    <row r="5" spans="1:20" x14ac:dyDescent="0.2">
      <c r="A5" s="579" t="s">
        <v>343</v>
      </c>
      <c r="B5" s="579"/>
      <c r="C5" s="579"/>
      <c r="D5" s="579"/>
      <c r="E5" s="579"/>
      <c r="F5" s="579"/>
      <c r="G5" s="579"/>
      <c r="H5" s="13"/>
    </row>
    <row r="6" spans="1:20" x14ac:dyDescent="0.2">
      <c r="A6" s="579" t="s">
        <v>218</v>
      </c>
      <c r="B6" s="579"/>
      <c r="C6" s="579"/>
      <c r="D6" s="579"/>
      <c r="E6" s="579"/>
      <c r="F6" s="579"/>
      <c r="G6" s="130"/>
      <c r="H6" s="38"/>
      <c r="I6" s="130" t="s">
        <v>256</v>
      </c>
      <c r="J6" s="334">
        <v>2018</v>
      </c>
      <c r="K6" s="334">
        <v>2019</v>
      </c>
      <c r="L6" s="334">
        <v>2020</v>
      </c>
      <c r="M6" s="334">
        <v>2021</v>
      </c>
      <c r="N6" s="334">
        <v>2022</v>
      </c>
      <c r="O6" s="508" t="s">
        <v>315</v>
      </c>
      <c r="P6" s="334" t="s">
        <v>248</v>
      </c>
      <c r="Q6" s="334" t="s">
        <v>249</v>
      </c>
      <c r="R6" s="334" t="s">
        <v>250</v>
      </c>
      <c r="S6" s="334" t="s">
        <v>251</v>
      </c>
      <c r="T6" s="334" t="s">
        <v>252</v>
      </c>
    </row>
    <row r="7" spans="1:20" ht="17" x14ac:dyDescent="0.2">
      <c r="A7" s="39" t="s">
        <v>219</v>
      </c>
      <c r="B7" s="504">
        <v>45291</v>
      </c>
      <c r="C7" s="504">
        <v>45657</v>
      </c>
      <c r="D7" s="504">
        <v>46022</v>
      </c>
      <c r="E7" s="504">
        <v>46387</v>
      </c>
      <c r="F7" s="504">
        <v>46752</v>
      </c>
      <c r="G7" s="38"/>
      <c r="H7" s="38"/>
      <c r="I7" s="17" t="s">
        <v>44</v>
      </c>
      <c r="J7" s="509">
        <f>'Balance Sheets (Original)'!B27</f>
        <v>1589.5</v>
      </c>
      <c r="K7" s="509">
        <f>'Balance Sheets (Original)'!C27</f>
        <v>1999.3</v>
      </c>
      <c r="L7" s="509">
        <f>'Balance Sheets (Original)'!D27</f>
        <v>2470.3000000000002</v>
      </c>
      <c r="M7" s="509">
        <f>'Balance Sheets (Original)'!E27</f>
        <v>2982.7</v>
      </c>
      <c r="N7" s="509">
        <f>'Balance Sheets (Original)'!F27</f>
        <v>3944.2</v>
      </c>
      <c r="O7" s="510"/>
      <c r="P7" s="509">
        <f>N7*(1+$O$8)</f>
        <v>4953.1091173811328</v>
      </c>
      <c r="Q7" s="509">
        <f>P7*(1+$O$8)</f>
        <v>6220.0927764018315</v>
      </c>
      <c r="R7" s="509">
        <f>Q7*(1+$O$8)</f>
        <v>7811.1653166047445</v>
      </c>
      <c r="S7" s="509">
        <f>R7*(1+$O$8)</f>
        <v>9809.2272569966644</v>
      </c>
      <c r="T7" s="125">
        <f>S7*(1+$O$8)</f>
        <v>12318.38470693517</v>
      </c>
    </row>
    <row r="8" spans="1:20" x14ac:dyDescent="0.2">
      <c r="A8" s="38" t="s">
        <v>220</v>
      </c>
      <c r="B8" s="40">
        <f>'Proforma Statements'!S20</f>
        <v>7764.569809201942</v>
      </c>
      <c r="C8" s="40">
        <f>'Proforma Statements'!T20</f>
        <v>9194.4811726992593</v>
      </c>
      <c r="D8" s="40">
        <f>'Proforma Statements'!U20</f>
        <v>10890.557960213893</v>
      </c>
      <c r="E8" s="40">
        <f>'Proforma Statements'!V20</f>
        <v>12902.91570420445</v>
      </c>
      <c r="F8" s="40">
        <f>'Proforma Statements'!W20</f>
        <v>15291.219895888486</v>
      </c>
      <c r="G8" s="38"/>
      <c r="H8" s="38"/>
      <c r="I8" s="149" t="s">
        <v>348</v>
      </c>
      <c r="K8" s="511">
        <f>(K7-J7)/J7</f>
        <v>0.25781692356086816</v>
      </c>
      <c r="L8" s="511">
        <f t="shared" ref="L8:N8" si="0">(L7-K7)/K7</f>
        <v>0.23558245385885071</v>
      </c>
      <c r="M8" s="511">
        <f t="shared" si="0"/>
        <v>0.20742419948994034</v>
      </c>
      <c r="N8" s="511">
        <f t="shared" si="0"/>
        <v>0.32235893653401282</v>
      </c>
      <c r="O8" s="512">
        <f>AVERAGE(K8:N8)</f>
        <v>0.25579562836091796</v>
      </c>
    </row>
    <row r="9" spans="1:20" x14ac:dyDescent="0.2">
      <c r="A9" s="147" t="s">
        <v>221</v>
      </c>
      <c r="B9" s="40">
        <f>'Proforma Statements'!S25</f>
        <v>-976.75349785049491</v>
      </c>
      <c r="C9" s="40">
        <f>'Proforma Statements'!T25</f>
        <v>-1156.6309360386292</v>
      </c>
      <c r="D9" s="40">
        <f>'Proforma Statements'!U25</f>
        <v>-1369.9909772948263</v>
      </c>
      <c r="E9" s="40">
        <f>'Proforma Statements'!V25</f>
        <v>-1623.1379659457448</v>
      </c>
      <c r="F9" s="40">
        <f>'Proforma Statements'!W25</f>
        <v>-1923.5775949891661</v>
      </c>
      <c r="G9" s="38"/>
      <c r="H9" s="38"/>
      <c r="I9" s="3" t="s">
        <v>255</v>
      </c>
      <c r="J9" s="513">
        <f>'Cash Flow (Original)'!B8</f>
        <v>422.7</v>
      </c>
      <c r="K9" s="513">
        <f>'Cash Flow (Original)'!C8</f>
        <v>448.5</v>
      </c>
      <c r="L9" s="513">
        <f>'Cash Flow (Original)'!D8</f>
        <v>490.8</v>
      </c>
      <c r="M9" s="513">
        <f>'Cash Flow (Original)'!E8</f>
        <v>471</v>
      </c>
      <c r="N9" s="513">
        <f>'Cash Flow (Original)'!F8</f>
        <v>583.6</v>
      </c>
      <c r="O9" s="514"/>
      <c r="P9" s="513">
        <f>P7*$O$10</f>
        <v>757.51542497302808</v>
      </c>
      <c r="Q9" s="513">
        <f>Q7*$O$10</f>
        <v>951.28455909709169</v>
      </c>
      <c r="R9" s="513">
        <f>R7*$O$10</f>
        <v>1194.6189906413711</v>
      </c>
      <c r="S9" s="513">
        <f>S7*$O$10</f>
        <v>1500.1973060043661</v>
      </c>
      <c r="T9" s="11">
        <f>T7*$O$10</f>
        <v>1883.9412185591093</v>
      </c>
    </row>
    <row r="10" spans="1:20" x14ac:dyDescent="0.2">
      <c r="A10" s="38" t="s">
        <v>222</v>
      </c>
      <c r="B10" s="40">
        <f>B8+B9</f>
        <v>6787.8163113514474</v>
      </c>
      <c r="C10" s="40">
        <f>C8+C9</f>
        <v>8037.8502366606299</v>
      </c>
      <c r="D10" s="40">
        <f t="shared" ref="D10:F10" si="1">D8+D9</f>
        <v>9520.5669829190665</v>
      </c>
      <c r="E10" s="40">
        <f t="shared" si="1"/>
        <v>11279.777738258705</v>
      </c>
      <c r="F10" s="40">
        <f t="shared" si="1"/>
        <v>13367.642300899319</v>
      </c>
      <c r="G10" s="38"/>
      <c r="H10" s="38"/>
      <c r="I10" s="149" t="s">
        <v>316</v>
      </c>
      <c r="J10" s="511">
        <f>J9/J7</f>
        <v>0.26593268323372127</v>
      </c>
      <c r="K10" s="511">
        <f>K9/K7</f>
        <v>0.22432851498024309</v>
      </c>
      <c r="L10" s="511">
        <f>L9/L7</f>
        <v>0.19868032222806944</v>
      </c>
      <c r="M10" s="511">
        <f>M9/M7</f>
        <v>0.15791061789653671</v>
      </c>
      <c r="N10" s="511">
        <f>N9/N7</f>
        <v>0.14796409918361139</v>
      </c>
      <c r="O10" s="512">
        <f>AVERAGE(M10:N10)</f>
        <v>0.15293735854007406</v>
      </c>
    </row>
    <row r="11" spans="1:20" x14ac:dyDescent="0.2">
      <c r="A11" s="147" t="s">
        <v>223</v>
      </c>
      <c r="B11" s="11">
        <f>P9</f>
        <v>757.51542497302808</v>
      </c>
      <c r="C11" s="11">
        <f>Q9</f>
        <v>951.28455909709169</v>
      </c>
      <c r="D11" s="11">
        <f>R9</f>
        <v>1194.6189906413711</v>
      </c>
      <c r="E11" s="11">
        <f>S9</f>
        <v>1500.1973060043661</v>
      </c>
      <c r="F11" s="11">
        <f>T9</f>
        <v>1883.9412185591093</v>
      </c>
      <c r="G11" s="38"/>
      <c r="H11" s="38"/>
      <c r="I11" s="3" t="s">
        <v>257</v>
      </c>
      <c r="J11" s="515">
        <f>'Cash Flow (Original)'!B27</f>
        <v>-574</v>
      </c>
      <c r="K11" s="515">
        <f>'Cash Flow (Original)'!C27</f>
        <v>-766.6</v>
      </c>
      <c r="L11" s="515">
        <f>'Cash Flow (Original)'!D27</f>
        <v>-962</v>
      </c>
      <c r="M11" s="515">
        <f>'Cash Flow (Original)'!E27</f>
        <v>-900.7</v>
      </c>
      <c r="N11" s="515">
        <f>'Cash Flow (Original)'!F27</f>
        <v>-1281.8</v>
      </c>
      <c r="O11" s="510"/>
      <c r="P11" s="515">
        <f>-$O$12*'Proforma Statements'!S30</f>
        <v>-1596.3386248888812</v>
      </c>
      <c r="Q11" s="515">
        <f>-$O$12*'Proforma Statements'!T30</f>
        <v>-1890.3210654253833</v>
      </c>
      <c r="R11" s="515">
        <f>-$O$12*'Proforma Statements'!U30</f>
        <v>-2239.0263858499179</v>
      </c>
      <c r="S11" s="515">
        <f>-$O$12*'Proforma Statements'!V30</f>
        <v>-2652.7583283528861</v>
      </c>
      <c r="T11" s="12">
        <f>-$O$12*'Proforma Statements'!W30</f>
        <v>-3143.7841294041527</v>
      </c>
    </row>
    <row r="12" spans="1:20" x14ac:dyDescent="0.2">
      <c r="A12" s="147" t="s">
        <v>224</v>
      </c>
      <c r="B12" s="40">
        <f>P11</f>
        <v>-1596.3386248888812</v>
      </c>
      <c r="C12" s="40">
        <f>Q11</f>
        <v>-1890.3210654253833</v>
      </c>
      <c r="D12" s="40">
        <f>R11</f>
        <v>-2239.0263858499179</v>
      </c>
      <c r="E12" s="40">
        <f>S11</f>
        <v>-2652.7583283528861</v>
      </c>
      <c r="F12" s="40">
        <f>T11</f>
        <v>-3143.7841294041527</v>
      </c>
      <c r="G12" s="38"/>
      <c r="H12" s="38"/>
      <c r="I12" s="149" t="s">
        <v>317</v>
      </c>
      <c r="J12" s="511">
        <f>-J11/'Proforma Statements'!D30</f>
        <v>0.22148479703657969</v>
      </c>
      <c r="K12" s="511">
        <f>-K11/'Proforma Statements'!E30</f>
        <v>0.29572194576245031</v>
      </c>
      <c r="L12" s="511">
        <f>-L11/'Proforma Statements'!F30</f>
        <v>0.27070377353181196</v>
      </c>
      <c r="M12" s="511">
        <f>-M11/'Proforma Statements'!G30</f>
        <v>0.15309695403861845</v>
      </c>
      <c r="N12" s="511">
        <f>-N11/'Proforma Statements'!H30</f>
        <v>0.22790796913338776</v>
      </c>
      <c r="O12" s="516">
        <f>AVERAGE(J12:N12)</f>
        <v>0.23378308790056965</v>
      </c>
    </row>
    <row r="13" spans="1:20" x14ac:dyDescent="0.2">
      <c r="A13" s="147" t="s">
        <v>225</v>
      </c>
      <c r="B13" s="40">
        <f>-P15</f>
        <v>1461.4538981272144</v>
      </c>
      <c r="C13" s="40">
        <f>-Q15</f>
        <v>-1523.2541243710384</v>
      </c>
      <c r="D13" s="40">
        <f t="shared" ref="D13:F13" si="2">-R15</f>
        <v>-1807.0573384088275</v>
      </c>
      <c r="E13" s="40">
        <f t="shared" si="2"/>
        <v>-2144.3494467199944</v>
      </c>
      <c r="F13" s="40">
        <f t="shared" si="2"/>
        <v>-2545.3335558582967</v>
      </c>
      <c r="G13" s="38"/>
      <c r="H13" s="38"/>
      <c r="I13" s="3" t="s">
        <v>126</v>
      </c>
      <c r="J13" s="515">
        <f>'Balance Sheets (Original)'!B12+'Balance Sheets (Original)'!B16+'Balance Sheets (Original)'!B17-'Balance Sheets (Original)'!B35-'Balance Sheets (Original)'!B36</f>
        <v>3834.9</v>
      </c>
      <c r="K13" s="515">
        <f>'Balance Sheets (Original)'!C12+'Balance Sheets (Original)'!C16+'Balance Sheets (Original)'!C17-'Balance Sheets (Original)'!C35-'Balance Sheets (Original)'!C36</f>
        <v>4336.7000000000007</v>
      </c>
      <c r="L13" s="515">
        <f>'Balance Sheets (Original)'!D12+'Balance Sheets (Original)'!D16+'Balance Sheets (Original)'!D17-'Balance Sheets (Original)'!D35-'Balance Sheets (Original)'!D36</f>
        <v>4157.5</v>
      </c>
      <c r="M13" s="515">
        <f>'Balance Sheets (Original)'!E12+'Balance Sheets (Original)'!E16+'Balance Sheets (Original)'!E17-'Balance Sheets (Original)'!E35-'Balance Sheets (Original)'!E36</f>
        <v>5655.9000000000005</v>
      </c>
      <c r="N13" s="515">
        <f>'Balance Sheets (Original)'!F12+'Balance Sheets (Original)'!F16+'Balance Sheets (Original)'!F17-'Balance Sheets (Original)'!F35-'Balance Sheets (Original)'!F36</f>
        <v>9725.8000000000011</v>
      </c>
      <c r="O13" s="517"/>
      <c r="P13" s="515">
        <f>$O$14*'Proforma Statements'!S9</f>
        <v>8264.3461018727867</v>
      </c>
      <c r="Q13" s="515">
        <f>$O$14*'Proforma Statements'!T9</f>
        <v>9787.6002262438251</v>
      </c>
      <c r="R13" s="515">
        <f>$O$14*'Proforma Statements'!U9</f>
        <v>11594.657564652653</v>
      </c>
      <c r="S13" s="515">
        <f>$O$14*'Proforma Statements'!V9</f>
        <v>13739.007011372647</v>
      </c>
      <c r="T13" s="12">
        <f>$O$14*'Proforma Statements'!W9</f>
        <v>16284.340567230944</v>
      </c>
    </row>
    <row r="14" spans="1:20" x14ac:dyDescent="0.2">
      <c r="A14" s="148" t="s">
        <v>308</v>
      </c>
      <c r="B14" s="40">
        <v>753.8</v>
      </c>
      <c r="C14" s="40">
        <v>2</v>
      </c>
      <c r="D14" s="40">
        <v>2</v>
      </c>
      <c r="E14" s="40">
        <v>1002</v>
      </c>
      <c r="F14" s="40">
        <v>752</v>
      </c>
      <c r="G14" s="38"/>
      <c r="H14" s="38"/>
      <c r="I14" s="149" t="s">
        <v>318</v>
      </c>
      <c r="J14" s="511">
        <f>J13/'Proforma Statements'!D9</f>
        <v>0.35041118421052631</v>
      </c>
      <c r="K14" s="511">
        <f>K13/'Proforma Statements'!E9</f>
        <v>0.36689509306260581</v>
      </c>
      <c r="L14" s="511">
        <f>L13/'Proforma Statements'!F9</f>
        <v>0.29742103945344639</v>
      </c>
      <c r="M14" s="511">
        <f>M13/'Proforma Statements'!G9</f>
        <v>0.30390091881145564</v>
      </c>
      <c r="N14" s="511">
        <f>N13/'Proforma Statements'!H9</f>
        <v>0.45934049326041165</v>
      </c>
      <c r="O14" s="518">
        <f>AVERAGE(J14:M14)</f>
        <v>0.32965705888450852</v>
      </c>
    </row>
    <row r="15" spans="1:20" x14ac:dyDescent="0.2">
      <c r="A15" s="147" t="s">
        <v>226</v>
      </c>
      <c r="B15" s="40">
        <v>0</v>
      </c>
      <c r="C15" s="40">
        <v>0</v>
      </c>
      <c r="D15" s="40">
        <v>0</v>
      </c>
      <c r="E15" s="40">
        <v>0</v>
      </c>
      <c r="F15" s="40">
        <v>0</v>
      </c>
      <c r="G15" s="38"/>
      <c r="H15" s="38"/>
      <c r="I15" s="14" t="s">
        <v>319</v>
      </c>
      <c r="J15" s="519"/>
      <c r="K15" s="519">
        <f>K13-J13</f>
        <v>501.80000000000064</v>
      </c>
      <c r="L15" s="519">
        <f t="shared" ref="L15:T15" si="3">L13-K13</f>
        <v>-179.20000000000073</v>
      </c>
      <c r="M15" s="519">
        <f t="shared" si="3"/>
        <v>1498.4000000000005</v>
      </c>
      <c r="N15" s="519">
        <f t="shared" si="3"/>
        <v>4069.9000000000005</v>
      </c>
      <c r="O15" s="520"/>
      <c r="P15" s="519">
        <f>P13-N13</f>
        <v>-1461.4538981272144</v>
      </c>
      <c r="Q15" s="519">
        <f t="shared" si="3"/>
        <v>1523.2541243710384</v>
      </c>
      <c r="R15" s="519">
        <f t="shared" si="3"/>
        <v>1807.0573384088275</v>
      </c>
      <c r="S15" s="519">
        <f t="shared" si="3"/>
        <v>2144.3494467199944</v>
      </c>
      <c r="T15" s="129">
        <f t="shared" si="3"/>
        <v>2545.3335558582967</v>
      </c>
    </row>
    <row r="16" spans="1:20" ht="17" thickBot="1" x14ac:dyDescent="0.25">
      <c r="A16" s="41" t="s">
        <v>246</v>
      </c>
      <c r="B16" s="42">
        <f>B10+B11+B12+B13+B14+B15</f>
        <v>8164.2470095628087</v>
      </c>
      <c r="C16" s="42">
        <f t="shared" ref="C16:F16" si="4">C10+C11+C12+C13+C14+C15</f>
        <v>5577.5596059612999</v>
      </c>
      <c r="D16" s="42">
        <f t="shared" si="4"/>
        <v>6671.1022493016917</v>
      </c>
      <c r="E16" s="42">
        <f t="shared" si="4"/>
        <v>8984.8672691901902</v>
      </c>
      <c r="F16" s="42">
        <f t="shared" si="4"/>
        <v>10314.465834195978</v>
      </c>
      <c r="G16" s="38"/>
      <c r="H16" s="38"/>
      <c r="I16" s="3" t="s">
        <v>577</v>
      </c>
      <c r="J16" s="501" t="s">
        <v>625</v>
      </c>
      <c r="K16" s="164" t="s">
        <v>588</v>
      </c>
      <c r="L16" s="501" t="s">
        <v>601</v>
      </c>
      <c r="M16" s="501" t="s">
        <v>600</v>
      </c>
    </row>
    <row r="17" spans="1:20" ht="17" thickTop="1" x14ac:dyDescent="0.2">
      <c r="A17" s="43"/>
      <c r="B17" s="43"/>
      <c r="C17" s="43"/>
      <c r="D17" s="43"/>
      <c r="E17" s="43"/>
      <c r="F17" s="43"/>
      <c r="G17" s="38"/>
      <c r="H17" s="38"/>
      <c r="I17" s="3" t="s">
        <v>284</v>
      </c>
      <c r="J17" s="521">
        <f>WACC!G9</f>
        <v>9.8217333383607719E-2</v>
      </c>
      <c r="K17" s="522">
        <f>J17/27</f>
        <v>3.6376790142076932E-3</v>
      </c>
      <c r="L17" s="521">
        <f>S27</f>
        <v>8.490482356174002E-2</v>
      </c>
      <c r="M17" s="521">
        <f>K27</f>
        <v>0.11443693610495388</v>
      </c>
    </row>
    <row r="18" spans="1:20" x14ac:dyDescent="0.2">
      <c r="A18" s="577" t="s">
        <v>227</v>
      </c>
      <c r="B18" s="577"/>
      <c r="C18" s="577"/>
      <c r="D18" s="577"/>
      <c r="E18" s="577"/>
      <c r="F18" s="577"/>
      <c r="G18" s="38"/>
      <c r="H18" s="38"/>
      <c r="I18" s="3" t="s">
        <v>293</v>
      </c>
      <c r="J18" s="521">
        <f>'Cost of Equity'!B32</f>
        <v>9.9670879833346951E-2</v>
      </c>
      <c r="K18" s="522">
        <f>J18/27</f>
        <v>3.6915140679017388E-3</v>
      </c>
      <c r="L18" s="521">
        <f>S39</f>
        <v>8.3666617326776938E-2</v>
      </c>
      <c r="M18" s="521">
        <f>K39</f>
        <v>0.1127680494404385</v>
      </c>
    </row>
    <row r="19" spans="1:20" x14ac:dyDescent="0.2">
      <c r="A19" s="38" t="s">
        <v>228</v>
      </c>
      <c r="B19" s="38"/>
      <c r="C19" s="38"/>
      <c r="D19" s="38"/>
      <c r="E19" s="38"/>
      <c r="F19" s="38"/>
      <c r="G19" s="38"/>
      <c r="H19" s="38"/>
      <c r="I19" s="3" t="s">
        <v>578</v>
      </c>
      <c r="J19" s="523">
        <f>'Terminal Growth'!G57</f>
        <v>5.951962974691663E-2</v>
      </c>
      <c r="K19" s="522">
        <f>J19/27</f>
        <v>2.2044307313672826E-3</v>
      </c>
      <c r="L19" s="521">
        <f>J36</f>
        <v>6.8337352672385748E-2</v>
      </c>
      <c r="M19" s="521">
        <f>J28</f>
        <v>5.0701906821447512E-2</v>
      </c>
    </row>
    <row r="20" spans="1:20" x14ac:dyDescent="0.2">
      <c r="A20" s="38" t="s">
        <v>122</v>
      </c>
      <c r="B20" s="40">
        <f>'Proforma Statements'!S20</f>
        <v>7764.569809201942</v>
      </c>
      <c r="C20" s="40">
        <f>'Proforma Statements'!T20</f>
        <v>9194.4811726992593</v>
      </c>
      <c r="D20" s="40">
        <f>'Proforma Statements'!U20</f>
        <v>10890.557960213893</v>
      </c>
      <c r="E20" s="40">
        <f>'Proforma Statements'!V20</f>
        <v>12902.91570420445</v>
      </c>
      <c r="F20" s="40">
        <f>'Proforma Statements'!W20</f>
        <v>15291.219895888486</v>
      </c>
      <c r="G20" s="38"/>
      <c r="H20" s="38"/>
    </row>
    <row r="21" spans="1:20" x14ac:dyDescent="0.2">
      <c r="A21" s="147" t="s">
        <v>223</v>
      </c>
      <c r="B21" s="44">
        <f>P9</f>
        <v>757.51542497302808</v>
      </c>
      <c r="C21" s="44">
        <f>Q9</f>
        <v>951.28455909709169</v>
      </c>
      <c r="D21" s="44">
        <f>R9</f>
        <v>1194.6189906413711</v>
      </c>
      <c r="E21" s="44">
        <f>S9</f>
        <v>1500.1973060043661</v>
      </c>
      <c r="F21" s="44">
        <f>T9</f>
        <v>1883.9412185591093</v>
      </c>
      <c r="G21" s="38"/>
      <c r="H21" s="38"/>
    </row>
    <row r="22" spans="1:20" x14ac:dyDescent="0.2">
      <c r="A22" s="38" t="s">
        <v>123</v>
      </c>
      <c r="B22" s="44">
        <f>B20+B21</f>
        <v>8522.0852341749705</v>
      </c>
      <c r="C22" s="44">
        <f t="shared" ref="C22:F22" si="5">C20+C21</f>
        <v>10145.765731796351</v>
      </c>
      <c r="D22" s="44">
        <f t="shared" si="5"/>
        <v>12085.176950855264</v>
      </c>
      <c r="E22" s="44">
        <f t="shared" si="5"/>
        <v>14403.113010208815</v>
      </c>
      <c r="F22" s="44">
        <f t="shared" si="5"/>
        <v>17175.161114447594</v>
      </c>
      <c r="G22" s="38"/>
      <c r="H22" s="38"/>
    </row>
    <row r="23" spans="1:20" x14ac:dyDescent="0.2">
      <c r="A23" s="147" t="s">
        <v>229</v>
      </c>
      <c r="B23" s="40">
        <f>B9</f>
        <v>-976.75349785049491</v>
      </c>
      <c r="C23" s="40">
        <f t="shared" ref="C23:F23" si="6">C9</f>
        <v>-1156.6309360386292</v>
      </c>
      <c r="D23" s="40">
        <f t="shared" si="6"/>
        <v>-1369.9909772948263</v>
      </c>
      <c r="E23" s="40">
        <f t="shared" si="6"/>
        <v>-1623.1379659457448</v>
      </c>
      <c r="F23" s="40">
        <f t="shared" si="6"/>
        <v>-1923.5775949891661</v>
      </c>
      <c r="G23" s="38"/>
      <c r="H23" s="38"/>
    </row>
    <row r="24" spans="1:20" x14ac:dyDescent="0.2">
      <c r="A24" s="147" t="s">
        <v>224</v>
      </c>
      <c r="B24" s="40">
        <f>P11</f>
        <v>-1596.3386248888812</v>
      </c>
      <c r="C24" s="40">
        <f>Q11</f>
        <v>-1890.3210654253833</v>
      </c>
      <c r="D24" s="40">
        <f>R11</f>
        <v>-2239.0263858499179</v>
      </c>
      <c r="E24" s="40">
        <f>S11</f>
        <v>-2652.7583283528861</v>
      </c>
      <c r="F24" s="40">
        <f>T11</f>
        <v>-3143.7841294041527</v>
      </c>
      <c r="G24" s="38"/>
      <c r="H24" s="38"/>
    </row>
    <row r="25" spans="1:20" x14ac:dyDescent="0.2">
      <c r="A25" s="147" t="s">
        <v>225</v>
      </c>
      <c r="B25" s="40">
        <f>-P15</f>
        <v>1461.4538981272144</v>
      </c>
      <c r="C25" s="40">
        <f t="shared" ref="C25:F25" si="7">-Q15</f>
        <v>-1523.2541243710384</v>
      </c>
      <c r="D25" s="40">
        <f t="shared" si="7"/>
        <v>-1807.0573384088275</v>
      </c>
      <c r="E25" s="40">
        <f t="shared" si="7"/>
        <v>-2144.3494467199944</v>
      </c>
      <c r="F25" s="40">
        <f t="shared" si="7"/>
        <v>-2545.3335558582967</v>
      </c>
      <c r="G25" s="38"/>
      <c r="H25" s="38"/>
      <c r="I25" s="3" t="s">
        <v>587</v>
      </c>
    </row>
    <row r="26" spans="1:20" ht="17" thickBot="1" x14ac:dyDescent="0.25">
      <c r="A26" s="41" t="s">
        <v>247</v>
      </c>
      <c r="B26" s="45">
        <f>B22+B23+B24+B25</f>
        <v>7410.4470095628094</v>
      </c>
      <c r="C26" s="45">
        <f t="shared" ref="C26:F26" si="8">C22+C23+C24+C25</f>
        <v>5575.5596059612999</v>
      </c>
      <c r="D26" s="45">
        <f t="shared" si="8"/>
        <v>6669.1022493016917</v>
      </c>
      <c r="E26" s="45">
        <f t="shared" si="8"/>
        <v>7982.8672691901902</v>
      </c>
      <c r="F26" s="45">
        <f t="shared" si="8"/>
        <v>9562.4658341959785</v>
      </c>
      <c r="G26" s="38"/>
      <c r="H26" s="38"/>
      <c r="K26" s="576" t="s">
        <v>593</v>
      </c>
      <c r="L26" s="576"/>
      <c r="M26" s="576"/>
      <c r="N26" s="576"/>
      <c r="O26" s="576"/>
      <c r="P26" s="576"/>
      <c r="Q26" s="576"/>
      <c r="R26" s="576"/>
      <c r="S26" s="576"/>
    </row>
    <row r="27" spans="1:20" ht="17" thickTop="1" x14ac:dyDescent="0.2">
      <c r="A27" s="38"/>
      <c r="B27" s="38"/>
      <c r="C27" s="38"/>
      <c r="D27" s="38"/>
      <c r="E27" s="38"/>
      <c r="F27" s="38"/>
      <c r="G27" s="38"/>
      <c r="H27" s="38"/>
      <c r="I27" s="3" t="s">
        <v>231</v>
      </c>
      <c r="J27" s="513">
        <f>B54</f>
        <v>567.59228490778275</v>
      </c>
      <c r="K27" s="521">
        <f t="shared" ref="K27:M27" si="9">L27+$K$18</f>
        <v>0.11443693610495388</v>
      </c>
      <c r="L27" s="521">
        <f t="shared" si="9"/>
        <v>0.11074542203705215</v>
      </c>
      <c r="M27" s="521">
        <f t="shared" si="9"/>
        <v>0.10705390796915042</v>
      </c>
      <c r="N27" s="521">
        <f>O27+$K$18</f>
        <v>0.10336239390124868</v>
      </c>
      <c r="O27" s="521">
        <v>9.9670879833346951E-2</v>
      </c>
      <c r="P27" s="521">
        <f>O27-$K$18</f>
        <v>9.5979365765445218E-2</v>
      </c>
      <c r="Q27" s="521">
        <f t="shared" ref="Q27:S27" si="10">P27-$K$18</f>
        <v>9.2287851697543485E-2</v>
      </c>
      <c r="R27" s="521">
        <f t="shared" si="10"/>
        <v>8.8596337629641753E-2</v>
      </c>
      <c r="S27" s="521">
        <f t="shared" si="10"/>
        <v>8.490482356174002E-2</v>
      </c>
      <c r="T27" s="126"/>
    </row>
    <row r="28" spans="1:20" x14ac:dyDescent="0.2">
      <c r="A28" s="46"/>
      <c r="B28" s="46"/>
      <c r="C28" s="46"/>
      <c r="D28" s="46"/>
      <c r="E28" s="46"/>
      <c r="F28" s="46"/>
      <c r="G28" s="38"/>
      <c r="H28" s="38"/>
      <c r="I28" s="580" t="s">
        <v>594</v>
      </c>
      <c r="J28" s="521">
        <f t="shared" ref="J28:J30" si="11">J29-$K$19</f>
        <v>5.0701906821447512E-2</v>
      </c>
      <c r="K28" s="11">
        <f t="dataTable" ref="K28:S36" dt2D="1" dtr="1" r1="J18" r2="J19" ca="1"/>
        <v>374.83446933529342</v>
      </c>
      <c r="L28" s="11">
        <v>386.44548924464789</v>
      </c>
      <c r="M28" s="11">
        <v>414.10548701305322</v>
      </c>
      <c r="N28" s="11">
        <v>445.85149467319815</v>
      </c>
      <c r="O28" s="11">
        <v>480.21494328488518</v>
      </c>
      <c r="P28" s="11">
        <v>517.32938534291975</v>
      </c>
      <c r="Q28" s="11">
        <v>557.54310495171717</v>
      </c>
      <c r="R28" s="11">
        <v>601.27463595640938</v>
      </c>
      <c r="S28" s="11">
        <v>649.01880369319292</v>
      </c>
    </row>
    <row r="29" spans="1:20" x14ac:dyDescent="0.2">
      <c r="A29" s="38" t="s">
        <v>230</v>
      </c>
      <c r="B29" s="38"/>
      <c r="C29" s="38"/>
      <c r="D29" s="38"/>
      <c r="E29" s="38"/>
      <c r="F29" s="38"/>
      <c r="G29" s="38"/>
      <c r="H29" s="38"/>
      <c r="I29" s="580"/>
      <c r="J29" s="521">
        <f t="shared" si="11"/>
        <v>5.2906337552814792E-2</v>
      </c>
      <c r="K29" s="11">
        <v>402.48122007558447</v>
      </c>
      <c r="L29" s="11">
        <v>404.4651909925048</v>
      </c>
      <c r="M29" s="11">
        <v>433.79054746762404</v>
      </c>
      <c r="N29" s="11">
        <v>469.1275214130502</v>
      </c>
      <c r="O29" s="11">
        <v>507.8854730319278</v>
      </c>
      <c r="P29" s="11">
        <v>550.2107597503217</v>
      </c>
      <c r="Q29" s="11">
        <v>596.61752968764313</v>
      </c>
      <c r="R29" s="11">
        <v>647.74186882937033</v>
      </c>
      <c r="S29" s="11">
        <v>704.35615857038499</v>
      </c>
    </row>
    <row r="30" spans="1:20" x14ac:dyDescent="0.2">
      <c r="A30" s="38" t="s">
        <v>122</v>
      </c>
      <c r="B30" s="40">
        <f>B20</f>
        <v>7764.569809201942</v>
      </c>
      <c r="C30" s="40">
        <f t="shared" ref="C30:F30" si="12">C20</f>
        <v>9194.4811726992593</v>
      </c>
      <c r="D30" s="40">
        <f t="shared" si="12"/>
        <v>10890.557960213893</v>
      </c>
      <c r="E30" s="40">
        <f t="shared" si="12"/>
        <v>12902.91570420445</v>
      </c>
      <c r="F30" s="40">
        <f t="shared" si="12"/>
        <v>15291.219895888486</v>
      </c>
      <c r="G30" s="38"/>
      <c r="H30" s="38"/>
      <c r="I30" s="580"/>
      <c r="J30" s="521">
        <f t="shared" si="11"/>
        <v>5.5110768284182071E-2</v>
      </c>
      <c r="K30" s="11">
        <v>411.74199779408519</v>
      </c>
      <c r="L30" s="11">
        <v>413.83296422685584</v>
      </c>
      <c r="M30" s="11">
        <v>444.81383763089258</v>
      </c>
      <c r="N30" s="11">
        <v>482.33081888619779</v>
      </c>
      <c r="O30" s="11">
        <v>523.71434381362667</v>
      </c>
      <c r="P30" s="11">
        <v>569.18965837831558</v>
      </c>
      <c r="Q30" s="11">
        <v>619.39289578526495</v>
      </c>
      <c r="R30" s="11">
        <v>675.11911711798155</v>
      </c>
      <c r="S30" s="11">
        <v>737.34879118257459</v>
      </c>
    </row>
    <row r="31" spans="1:20" x14ac:dyDescent="0.2">
      <c r="A31" s="147" t="s">
        <v>221</v>
      </c>
      <c r="B31" s="40">
        <f>B9</f>
        <v>-976.75349785049491</v>
      </c>
      <c r="C31" s="40">
        <f t="shared" ref="C31:F31" si="13">C9</f>
        <v>-1156.6309360386292</v>
      </c>
      <c r="D31" s="40">
        <f t="shared" si="13"/>
        <v>-1369.9909772948263</v>
      </c>
      <c r="E31" s="40">
        <f t="shared" si="13"/>
        <v>-1623.1379659457448</v>
      </c>
      <c r="F31" s="40">
        <f t="shared" si="13"/>
        <v>-1923.5775949891661</v>
      </c>
      <c r="G31" s="38"/>
      <c r="H31" s="38"/>
      <c r="I31" s="580"/>
      <c r="J31" s="521">
        <f>J32-$K$19</f>
        <v>5.7315199015549351E-2</v>
      </c>
      <c r="K31" s="11">
        <v>423.36478939445755</v>
      </c>
      <c r="L31" s="11">
        <v>425.5940691100177</v>
      </c>
      <c r="M31" s="11">
        <v>458.72384480186412</v>
      </c>
      <c r="N31" s="11">
        <v>499.09447202824964</v>
      </c>
      <c r="O31" s="11">
        <v>543.94839149076472</v>
      </c>
      <c r="P31" s="11">
        <v>593.63204530360269</v>
      </c>
      <c r="Q31" s="11">
        <v>648.96738128420441</v>
      </c>
      <c r="R31" s="11">
        <v>710.99629112872947</v>
      </c>
      <c r="S31" s="11">
        <v>781.02963716833142</v>
      </c>
    </row>
    <row r="32" spans="1:20" x14ac:dyDescent="0.2">
      <c r="A32" s="147" t="s">
        <v>223</v>
      </c>
      <c r="B32" s="40">
        <f>B21</f>
        <v>757.51542497302808</v>
      </c>
      <c r="C32" s="40">
        <f t="shared" ref="C32:F32" si="14">C21</f>
        <v>951.28455909709169</v>
      </c>
      <c r="D32" s="40">
        <f t="shared" si="14"/>
        <v>1194.6189906413711</v>
      </c>
      <c r="E32" s="40">
        <f t="shared" si="14"/>
        <v>1500.1973060043661</v>
      </c>
      <c r="F32" s="40">
        <f t="shared" si="14"/>
        <v>1883.9412185591093</v>
      </c>
      <c r="G32" s="38"/>
      <c r="H32" s="38"/>
      <c r="I32" s="580"/>
      <c r="J32" s="524">
        <v>5.951962974691663E-2</v>
      </c>
      <c r="K32" s="11">
        <v>436.64931405214196</v>
      </c>
      <c r="L32" s="11">
        <v>439.04217593107643</v>
      </c>
      <c r="M32" s="11">
        <v>474.72597022512116</v>
      </c>
      <c r="N32" s="11">
        <v>518.52269283595933</v>
      </c>
      <c r="O32" s="11">
        <v>567.59228490778275</v>
      </c>
      <c r="P32" s="11">
        <v>622.45495730931566</v>
      </c>
      <c r="Q32" s="11">
        <v>684.19815061709096</v>
      </c>
      <c r="R32" s="11">
        <v>754.22487545882825</v>
      </c>
      <c r="S32" s="11">
        <v>834.34292908405655</v>
      </c>
    </row>
    <row r="33" spans="1:19" x14ac:dyDescent="0.2">
      <c r="A33" s="147" t="s">
        <v>224</v>
      </c>
      <c r="B33" s="40">
        <f>B24</f>
        <v>-1596.3386248888812</v>
      </c>
      <c r="C33" s="40">
        <f t="shared" ref="C33:F33" si="15">C24</f>
        <v>-1890.3210654253833</v>
      </c>
      <c r="D33" s="40">
        <f t="shared" si="15"/>
        <v>-2239.0263858499179</v>
      </c>
      <c r="E33" s="40">
        <f t="shared" si="15"/>
        <v>-2652.7583283528861</v>
      </c>
      <c r="F33" s="40">
        <f t="shared" si="15"/>
        <v>-3143.7841294041527</v>
      </c>
      <c r="G33" s="38"/>
      <c r="H33" s="38"/>
      <c r="I33" s="580"/>
      <c r="J33" s="521">
        <f>J32+$K$19</f>
        <v>6.172406047828391E-2</v>
      </c>
      <c r="K33" s="11">
        <v>452.08431596143612</v>
      </c>
      <c r="L33" s="11">
        <v>454.67460561167672</v>
      </c>
      <c r="M33" s="11">
        <v>493.45845419148696</v>
      </c>
      <c r="N33" s="11">
        <v>541.46293986108765</v>
      </c>
      <c r="O33" s="11">
        <v>595.78159534607835</v>
      </c>
      <c r="P33" s="11">
        <v>657.19277915013208</v>
      </c>
      <c r="Q33" s="11">
        <v>727.17949042135228</v>
      </c>
      <c r="R33" s="11">
        <v>807.69838155213574</v>
      </c>
      <c r="S33" s="11">
        <v>901.34508079773138</v>
      </c>
    </row>
    <row r="34" spans="1:19" x14ac:dyDescent="0.2">
      <c r="A34" s="147" t="s">
        <v>225</v>
      </c>
      <c r="B34" s="40">
        <f>B25</f>
        <v>1461.4538981272144</v>
      </c>
      <c r="C34" s="40">
        <f t="shared" ref="C34:F34" si="16">C25</f>
        <v>-1523.2541243710384</v>
      </c>
      <c r="D34" s="40">
        <f t="shared" si="16"/>
        <v>-1807.0573384088275</v>
      </c>
      <c r="E34" s="40">
        <f t="shared" si="16"/>
        <v>-2144.3494467199944</v>
      </c>
      <c r="F34" s="40">
        <f t="shared" si="16"/>
        <v>-2545.3335558582967</v>
      </c>
      <c r="G34" s="38"/>
      <c r="H34" s="38"/>
      <c r="I34" s="580"/>
      <c r="J34" s="521">
        <f t="shared" ref="J34:J36" si="17">J33+$K$19</f>
        <v>6.3928491209651189E-2</v>
      </c>
      <c r="K34" s="11">
        <v>470.22927984500706</v>
      </c>
      <c r="L34" s="11">
        <v>473.06179158096813</v>
      </c>
      <c r="M34" s="11">
        <v>515.67460086040785</v>
      </c>
      <c r="N34" s="11">
        <v>568.94886120021386</v>
      </c>
      <c r="O34" s="11">
        <v>629.94985276844534</v>
      </c>
      <c r="P34" s="11">
        <v>699.8535530612769</v>
      </c>
      <c r="Q34" s="11">
        <v>780.75867167016929</v>
      </c>
      <c r="R34" s="11">
        <v>875.51456149706723</v>
      </c>
      <c r="S34" s="11">
        <v>988.04110978525227</v>
      </c>
    </row>
    <row r="35" spans="1:19" ht="17" thickBot="1" x14ac:dyDescent="0.25">
      <c r="A35" s="41" t="s">
        <v>247</v>
      </c>
      <c r="B35" s="42">
        <f>B30+B31+B32+B33+B34</f>
        <v>7410.4470095628085</v>
      </c>
      <c r="C35" s="42">
        <f t="shared" ref="C35:F35" si="18">C30+C31+C32+C33+C34</f>
        <v>5575.5596059612999</v>
      </c>
      <c r="D35" s="42">
        <f t="shared" si="18"/>
        <v>6669.1022493016917</v>
      </c>
      <c r="E35" s="42">
        <f t="shared" si="18"/>
        <v>7982.8672691901902</v>
      </c>
      <c r="F35" s="42">
        <f t="shared" si="18"/>
        <v>9562.4658341959785</v>
      </c>
      <c r="G35" s="38"/>
      <c r="H35" s="38"/>
      <c r="I35" s="580"/>
      <c r="J35" s="521">
        <f t="shared" si="17"/>
        <v>6.6132921941018469E-2</v>
      </c>
      <c r="K35" s="11">
        <v>491.86032872496014</v>
      </c>
      <c r="L35" s="11">
        <v>494.99591870928691</v>
      </c>
      <c r="M35" s="11">
        <v>542.43803621651364</v>
      </c>
      <c r="N35" s="11">
        <v>602.47033971008159</v>
      </c>
      <c r="O35" s="11">
        <v>672.21245416635384</v>
      </c>
      <c r="P35" s="11">
        <v>753.48080732882534</v>
      </c>
      <c r="Q35" s="11">
        <v>849.3858810795964</v>
      </c>
      <c r="R35" s="11">
        <v>964.31061541715621</v>
      </c>
      <c r="S35" s="11">
        <v>1104.5738346856597</v>
      </c>
    </row>
    <row r="36" spans="1:19" ht="17" thickTop="1" x14ac:dyDescent="0.2">
      <c r="A36" s="38"/>
      <c r="B36" s="38"/>
      <c r="C36" s="38"/>
      <c r="D36" s="38"/>
      <c r="E36" s="38"/>
      <c r="F36" s="38"/>
      <c r="G36" s="38"/>
      <c r="H36" s="38"/>
      <c r="I36" s="580"/>
      <c r="J36" s="521">
        <f t="shared" si="17"/>
        <v>6.8337352672385748E-2</v>
      </c>
      <c r="K36" s="11">
        <v>518.08020945978967</v>
      </c>
      <c r="L36" s="11">
        <v>521.60407653677498</v>
      </c>
      <c r="M36" s="11">
        <v>575.29314367361519</v>
      </c>
      <c r="N36" s="11">
        <v>644.24655349663942</v>
      </c>
      <c r="O36" s="11">
        <v>725.8140006126971</v>
      </c>
      <c r="P36" s="11">
        <v>822.90303565833347</v>
      </c>
      <c r="Q36" s="11">
        <v>940.40468143887676</v>
      </c>
      <c r="R36" s="11">
        <v>1085.5608371447022</v>
      </c>
      <c r="S36" s="11">
        <v>1269.4876665240158</v>
      </c>
    </row>
    <row r="37" spans="1:19" x14ac:dyDescent="0.2">
      <c r="A37" s="46"/>
      <c r="B37" s="46"/>
      <c r="C37" s="46"/>
      <c r="D37" s="46"/>
      <c r="E37" s="46"/>
      <c r="F37" s="46"/>
      <c r="G37" s="46"/>
      <c r="H37" s="38"/>
    </row>
    <row r="38" spans="1:19" x14ac:dyDescent="0.2">
      <c r="A38" s="38"/>
      <c r="B38" s="77"/>
      <c r="C38" s="139"/>
      <c r="D38" s="139"/>
      <c r="E38" s="139"/>
      <c r="F38" s="139"/>
      <c r="H38" s="38"/>
      <c r="J38" s="521"/>
      <c r="K38" s="576" t="s">
        <v>595</v>
      </c>
      <c r="L38" s="576"/>
      <c r="M38" s="576"/>
      <c r="N38" s="576"/>
      <c r="O38" s="576"/>
      <c r="P38" s="576"/>
      <c r="Q38" s="576"/>
      <c r="R38" s="576"/>
      <c r="S38" s="576"/>
    </row>
    <row r="39" spans="1:19" x14ac:dyDescent="0.2">
      <c r="A39" s="38" t="s">
        <v>321</v>
      </c>
      <c r="B39" s="145"/>
      <c r="C39" s="145"/>
      <c r="D39" s="145"/>
      <c r="E39" s="145"/>
      <c r="F39" s="145">
        <f>(F16*(1+J19))/(J18-J19)</f>
        <v>272180.29322025878</v>
      </c>
      <c r="G39" s="38"/>
      <c r="H39" s="38"/>
      <c r="I39" s="3" t="s">
        <v>589</v>
      </c>
      <c r="J39" s="513">
        <f>C54</f>
        <v>536.58324696249099</v>
      </c>
      <c r="K39" s="521">
        <f t="shared" ref="K39:M39" si="19">L39+$K$17</f>
        <v>0.1127680494404385</v>
      </c>
      <c r="L39" s="521">
        <f t="shared" si="19"/>
        <v>0.1091303704262308</v>
      </c>
      <c r="M39" s="521">
        <f t="shared" si="19"/>
        <v>0.10549269141202311</v>
      </c>
      <c r="N39" s="521">
        <f>O39+$K$17</f>
        <v>0.10185501239781541</v>
      </c>
      <c r="O39" s="521">
        <v>9.8217333383607719E-2</v>
      </c>
      <c r="P39" s="521">
        <f>O39-$K$17</f>
        <v>9.4579654369400024E-2</v>
      </c>
      <c r="Q39" s="521">
        <f t="shared" ref="Q39:S39" si="20">P39-$K$17</f>
        <v>9.0941975355192328E-2</v>
      </c>
      <c r="R39" s="521">
        <f t="shared" si="20"/>
        <v>8.7304296340984633E-2</v>
      </c>
      <c r="S39" s="521">
        <f t="shared" si="20"/>
        <v>8.3666617326776938E-2</v>
      </c>
    </row>
    <row r="40" spans="1:19" x14ac:dyDescent="0.2">
      <c r="A40" s="38" t="s">
        <v>322</v>
      </c>
      <c r="B40" s="145"/>
      <c r="C40" s="145"/>
      <c r="D40" s="145"/>
      <c r="E40" s="145"/>
      <c r="F40" s="145">
        <f>(F26*(1+J19))/(J17-J19)</f>
        <v>261814.50856191383</v>
      </c>
      <c r="G40" s="38"/>
      <c r="H40" s="38"/>
      <c r="I40" s="580" t="s">
        <v>594</v>
      </c>
      <c r="J40" s="521">
        <f t="shared" ref="J40:J42" si="21">J41-$K$19</f>
        <v>5.0701906821447512E-2</v>
      </c>
      <c r="K40" s="11">
        <f t="dataTable" ref="K40:S48" dt2D="1" dtr="1" r1="J17" r2="J19" ca="1"/>
        <v>347.70390250157357</v>
      </c>
      <c r="L40" s="11">
        <v>358.89770044250054</v>
      </c>
      <c r="M40" s="11">
        <v>385.59879402861873</v>
      </c>
      <c r="N40" s="11">
        <v>416.3053563155957</v>
      </c>
      <c r="O40" s="11">
        <v>449.61772877534946</v>
      </c>
      <c r="P40" s="11">
        <v>485.68396370392344</v>
      </c>
      <c r="Q40" s="11">
        <v>524.86452892996851</v>
      </c>
      <c r="R40" s="11">
        <v>567.59432100634524</v>
      </c>
      <c r="S40" s="11">
        <v>614.39056427809305</v>
      </c>
    </row>
    <row r="41" spans="1:19" x14ac:dyDescent="0.2">
      <c r="A41" s="38" t="s">
        <v>323</v>
      </c>
      <c r="B41" s="145"/>
      <c r="C41" s="145"/>
      <c r="D41" s="145"/>
      <c r="E41" s="145"/>
      <c r="F41" s="145">
        <f>(F35*(1+J19))/(J17-J19)</f>
        <v>261814.50856191383</v>
      </c>
      <c r="G41" s="38"/>
      <c r="H41" s="38"/>
      <c r="I41" s="580"/>
      <c r="J41" s="521">
        <f t="shared" si="21"/>
        <v>5.2906337552814792E-2</v>
      </c>
      <c r="K41" s="11">
        <v>374.68974394078941</v>
      </c>
      <c r="L41" s="11">
        <v>376.60887204390281</v>
      </c>
      <c r="M41" s="11">
        <v>405.00780844291438</v>
      </c>
      <c r="N41" s="11">
        <v>439.30851798764849</v>
      </c>
      <c r="O41" s="11">
        <v>477.03114556380899</v>
      </c>
      <c r="P41" s="11">
        <v>518.34758772619932</v>
      </c>
      <c r="Q41" s="11">
        <v>563.79525518139451</v>
      </c>
      <c r="R41" s="11">
        <v>614.04216602868814</v>
      </c>
      <c r="S41" s="11">
        <v>669.90544749918945</v>
      </c>
    </row>
    <row r="42" spans="1:19" x14ac:dyDescent="0.2">
      <c r="A42" s="144" t="s">
        <v>320</v>
      </c>
      <c r="B42" s="146">
        <f>B16</f>
        <v>8164.2470095628087</v>
      </c>
      <c r="C42" s="146">
        <f t="shared" ref="C42:E42" si="22">C16</f>
        <v>5577.5596059612999</v>
      </c>
      <c r="D42" s="146">
        <f t="shared" si="22"/>
        <v>6671.1022493016917</v>
      </c>
      <c r="E42" s="146">
        <f t="shared" si="22"/>
        <v>8984.8672691901902</v>
      </c>
      <c r="F42" s="146">
        <f>F16+F39</f>
        <v>282494.75905445474</v>
      </c>
      <c r="G42" s="38"/>
      <c r="H42" s="38"/>
      <c r="I42" s="580"/>
      <c r="J42" s="521">
        <f t="shared" si="21"/>
        <v>5.5110768284182071E-2</v>
      </c>
      <c r="K42" s="11">
        <v>383.82498071414244</v>
      </c>
      <c r="L42" s="11">
        <v>385.85095845105053</v>
      </c>
      <c r="M42" s="11">
        <v>415.90608428905745</v>
      </c>
      <c r="N42" s="11">
        <v>452.3956344565857</v>
      </c>
      <c r="O42" s="11">
        <v>492.76555973799367</v>
      </c>
      <c r="P42" s="11">
        <v>537.2728309637198</v>
      </c>
      <c r="Q42" s="11">
        <v>586.58583236931247</v>
      </c>
      <c r="R42" s="11">
        <v>641.54469923250451</v>
      </c>
      <c r="S42" s="11">
        <v>703.19405745328299</v>
      </c>
    </row>
    <row r="43" spans="1:19" x14ac:dyDescent="0.2">
      <c r="A43" s="144" t="s">
        <v>324</v>
      </c>
      <c r="B43" s="146">
        <f>B26</f>
        <v>7410.4470095628094</v>
      </c>
      <c r="C43" s="146">
        <f t="shared" ref="C43:E43" si="23">C26</f>
        <v>5575.5596059612999</v>
      </c>
      <c r="D43" s="146">
        <f t="shared" si="23"/>
        <v>6669.1022493016917</v>
      </c>
      <c r="E43" s="146">
        <f t="shared" si="23"/>
        <v>7982.8672691901902</v>
      </c>
      <c r="F43" s="146">
        <f>F26+F40</f>
        <v>271376.97439610981</v>
      </c>
      <c r="G43" s="38"/>
      <c r="H43" s="38"/>
      <c r="I43" s="580"/>
      <c r="J43" s="521">
        <f>J44-$K$19</f>
        <v>5.7315199015549351E-2</v>
      </c>
      <c r="K43" s="11">
        <v>395.3117236361262</v>
      </c>
      <c r="L43" s="11">
        <v>397.47621594910493</v>
      </c>
      <c r="M43" s="11">
        <v>429.68759834853591</v>
      </c>
      <c r="N43" s="11">
        <v>469.05216132626327</v>
      </c>
      <c r="O43" s="11">
        <v>512.9349076993218</v>
      </c>
      <c r="P43" s="11">
        <v>561.72422260398355</v>
      </c>
      <c r="Q43" s="11">
        <v>616.28954725242545</v>
      </c>
      <c r="R43" s="11">
        <v>677.74065741355719</v>
      </c>
      <c r="S43" s="11">
        <v>747.48715517825701</v>
      </c>
    </row>
    <row r="44" spans="1:19" x14ac:dyDescent="0.2">
      <c r="A44" s="144" t="s">
        <v>325</v>
      </c>
      <c r="B44" s="146">
        <f>B35</f>
        <v>7410.4470095628085</v>
      </c>
      <c r="C44" s="146">
        <f t="shared" ref="C44:E44" si="24">C35</f>
        <v>5575.5596059612999</v>
      </c>
      <c r="D44" s="146">
        <f t="shared" si="24"/>
        <v>6669.1022493016917</v>
      </c>
      <c r="E44" s="146">
        <f t="shared" si="24"/>
        <v>7982.8672691901902</v>
      </c>
      <c r="F44" s="146">
        <f>F35+F41</f>
        <v>271376.97439610981</v>
      </c>
      <c r="G44" s="38"/>
      <c r="H44" s="38"/>
      <c r="I44" s="580"/>
      <c r="J44" s="524">
        <v>5.951962974691663E-2</v>
      </c>
      <c r="K44" s="11">
        <v>408.47016390911955</v>
      </c>
      <c r="L44" s="11">
        <v>410.79902865056823</v>
      </c>
      <c r="M44" s="11">
        <v>445.58242743360699</v>
      </c>
      <c r="N44" s="11">
        <v>488.41297983111906</v>
      </c>
      <c r="O44" s="11">
        <v>536.58324696249099</v>
      </c>
      <c r="P44" s="11">
        <v>590.67134167172082</v>
      </c>
      <c r="Q44" s="11">
        <v>651.83670819769395</v>
      </c>
      <c r="R44" s="11">
        <v>721.58799485417569</v>
      </c>
      <c r="S44" s="11">
        <v>801.89088732273342</v>
      </c>
    </row>
    <row r="45" spans="1:19" x14ac:dyDescent="0.2">
      <c r="A45" s="38"/>
      <c r="B45" s="38"/>
      <c r="C45" s="38"/>
      <c r="D45" s="38"/>
      <c r="E45" s="38"/>
      <c r="F45" s="38"/>
      <c r="G45" s="38"/>
      <c r="H45" s="38"/>
      <c r="I45" s="580"/>
      <c r="J45" s="521">
        <f>J44+$K$19</f>
        <v>6.172406047828391E-2</v>
      </c>
      <c r="K45" s="11">
        <v>423.79822248061436</v>
      </c>
      <c r="L45" s="11">
        <v>426.32624139652398</v>
      </c>
      <c r="M45" s="11">
        <v>464.24462160210766</v>
      </c>
      <c r="N45" s="11">
        <v>511.35246451831154</v>
      </c>
      <c r="O45" s="11">
        <v>564.89122925543086</v>
      </c>
      <c r="P45" s="11">
        <v>625.72328504442964</v>
      </c>
      <c r="Q45" s="11">
        <v>695.4450596484761</v>
      </c>
      <c r="R45" s="11">
        <v>776.18493028214868</v>
      </c>
      <c r="S45" s="11">
        <v>870.80422060384899</v>
      </c>
    </row>
    <row r="46" spans="1:19" x14ac:dyDescent="0.2">
      <c r="A46" s="574" t="s">
        <v>390</v>
      </c>
      <c r="B46" s="574"/>
      <c r="C46" s="574"/>
      <c r="D46" s="549"/>
      <c r="E46" s="549"/>
      <c r="F46" s="549"/>
      <c r="G46" s="549"/>
      <c r="H46" s="38"/>
      <c r="I46" s="580"/>
      <c r="J46" s="521">
        <f t="shared" ref="J46:J48" si="25">J45+$K$19</f>
        <v>6.3928491209651189E-2</v>
      </c>
      <c r="K46" s="11">
        <v>441.87206092155247</v>
      </c>
      <c r="L46" s="11">
        <v>444.64553535091517</v>
      </c>
      <c r="M46" s="11">
        <v>486.45512099961212</v>
      </c>
      <c r="N46" s="11">
        <v>538.95051778394566</v>
      </c>
      <c r="O46" s="11">
        <v>599.36975366226125</v>
      </c>
      <c r="P46" s="11">
        <v>669.01765655854115</v>
      </c>
      <c r="Q46" s="11">
        <v>750.18026647668853</v>
      </c>
      <c r="R46" s="11">
        <v>846.00181112044152</v>
      </c>
      <c r="S46" s="11">
        <v>960.87925642113646</v>
      </c>
    </row>
    <row r="47" spans="1:19" x14ac:dyDescent="0.2">
      <c r="A47" s="38"/>
      <c r="B47" s="507" t="s">
        <v>231</v>
      </c>
      <c r="C47" s="507" t="s">
        <v>326</v>
      </c>
      <c r="D47" s="507"/>
      <c r="F47" s="38"/>
      <c r="G47" s="38"/>
      <c r="H47" s="38"/>
      <c r="I47" s="580"/>
      <c r="J47" s="521">
        <f t="shared" si="25"/>
        <v>6.6132921941018469E-2</v>
      </c>
      <c r="K47" s="11">
        <v>463.4957961740127</v>
      </c>
      <c r="L47" s="11">
        <v>466.57805994563881</v>
      </c>
      <c r="M47" s="11">
        <v>513.32438719621564</v>
      </c>
      <c r="N47" s="11">
        <v>572.77669463418977</v>
      </c>
      <c r="O47" s="11">
        <v>642.27049127106295</v>
      </c>
      <c r="P47" s="11">
        <v>723.83274752170496</v>
      </c>
      <c r="Q47" s="11">
        <v>820.90230365962145</v>
      </c>
      <c r="R47" s="11">
        <v>938.40536622100558</v>
      </c>
      <c r="S47" s="11">
        <v>1083.5932578000065</v>
      </c>
    </row>
    <row r="48" spans="1:19" x14ac:dyDescent="0.2">
      <c r="A48" s="38" t="s">
        <v>232</v>
      </c>
      <c r="B48" s="145">
        <f>XNPV(J18,'Income Approach wo Synergies'!B42:F42,'Income Approach wo Synergies'!B7:F7)</f>
        <v>218633.42939329756</v>
      </c>
      <c r="C48" s="145">
        <f>XNPV(J17,'Income Approach wo Synergies'!B43:F43,'Income Approach wo Synergies'!B7:F7)</f>
        <v>210552.23229107141</v>
      </c>
      <c r="D48" s="145"/>
      <c r="F48" s="503"/>
      <c r="G48" s="38"/>
      <c r="H48" s="38"/>
      <c r="I48" s="580"/>
      <c r="J48" s="521">
        <f t="shared" si="25"/>
        <v>6.8337352672385748E-2</v>
      </c>
      <c r="K48" s="11">
        <v>489.82046531666725</v>
      </c>
      <c r="L48" s="11">
        <v>493.30091209094945</v>
      </c>
      <c r="M48" s="11">
        <v>546.47890588142911</v>
      </c>
      <c r="N48" s="11">
        <v>615.19314478748743</v>
      </c>
      <c r="O48" s="11">
        <v>697.090149727332</v>
      </c>
      <c r="P48" s="11">
        <v>795.4481678753948</v>
      </c>
      <c r="Q48" s="11">
        <v>915.77983425688637</v>
      </c>
      <c r="R48" s="11">
        <v>1066.4257150038443</v>
      </c>
      <c r="S48" s="11">
        <v>1260.5472453699215</v>
      </c>
    </row>
    <row r="49" spans="1:8" x14ac:dyDescent="0.2">
      <c r="A49" s="38" t="s">
        <v>233</v>
      </c>
      <c r="B49" s="145">
        <f>'Balance Sheets (Original)'!$F$10</f>
        <v>7268.3</v>
      </c>
      <c r="C49" s="145">
        <f>'Balance Sheets (Original)'!$F$10</f>
        <v>7268.3</v>
      </c>
      <c r="D49" s="145"/>
      <c r="F49" s="38"/>
      <c r="G49" s="38"/>
      <c r="H49" s="38"/>
    </row>
    <row r="50" spans="1:8" x14ac:dyDescent="0.2">
      <c r="A50" s="145" t="s">
        <v>234</v>
      </c>
      <c r="C50" s="145">
        <f>C48+C49</f>
        <v>217820.5322910714</v>
      </c>
      <c r="D50" s="145"/>
      <c r="F50" s="38"/>
      <c r="G50" s="38"/>
      <c r="H50" s="38"/>
    </row>
    <row r="51" spans="1:8" x14ac:dyDescent="0.2">
      <c r="A51" s="145" t="s">
        <v>236</v>
      </c>
      <c r="B51" s="145"/>
      <c r="C51" s="145">
        <f>'Balance Sheets (Original)'!$F$38+'Balance Sheets (Original)'!$F$42</f>
        <v>4260.3999999999996</v>
      </c>
      <c r="D51" s="145"/>
      <c r="F51" s="38"/>
      <c r="G51" s="38"/>
      <c r="H51" s="38"/>
    </row>
    <row r="52" spans="1:8" x14ac:dyDescent="0.2">
      <c r="A52" s="145" t="s">
        <v>217</v>
      </c>
      <c r="B52" s="145">
        <f>B48+B49</f>
        <v>225901.72939329754</v>
      </c>
      <c r="C52" s="145">
        <f>C50-C51</f>
        <v>213560.13229107141</v>
      </c>
      <c r="D52" s="145"/>
      <c r="F52" s="48"/>
      <c r="G52" s="48"/>
      <c r="H52" s="38"/>
    </row>
    <row r="53" spans="1:8" x14ac:dyDescent="0.2">
      <c r="A53" s="38" t="s">
        <v>235</v>
      </c>
      <c r="B53" s="38">
        <f>'Financial Statement Ratios'!G14</f>
        <v>398</v>
      </c>
      <c r="C53" s="38">
        <f>'Financial Statement Ratios'!G14</f>
        <v>398</v>
      </c>
      <c r="D53" s="38"/>
      <c r="F53" s="48"/>
      <c r="G53" s="48"/>
      <c r="H53" s="38"/>
    </row>
    <row r="54" spans="1:8" ht="17" thickBot="1" x14ac:dyDescent="0.25">
      <c r="A54" s="41" t="s">
        <v>590</v>
      </c>
      <c r="B54" s="45">
        <f>B52/B53</f>
        <v>567.59228490778275</v>
      </c>
      <c r="C54" s="45">
        <f>C52/C53</f>
        <v>536.58324696249099</v>
      </c>
      <c r="D54" s="45"/>
      <c r="E54" s="506"/>
      <c r="F54" s="41"/>
      <c r="G54" s="41"/>
      <c r="H54" s="38"/>
    </row>
    <row r="55" spans="1:8" ht="18" thickTop="1" thickBot="1" x14ac:dyDescent="0.25">
      <c r="A55" s="41" t="s">
        <v>592</v>
      </c>
      <c r="B55" s="497">
        <f>AVERAGEIF(K28:S36,"&lt;567.59")</f>
        <v>472.05152118865215</v>
      </c>
      <c r="C55" s="497">
        <f>AVERAGEIF(K40:S48,"&lt;536.58")</f>
        <v>442.90640930329511</v>
      </c>
      <c r="D55" s="497"/>
      <c r="F55" s="48"/>
      <c r="G55" s="48"/>
      <c r="H55" s="38"/>
    </row>
    <row r="56" spans="1:8" ht="18" thickTop="1" thickBot="1" x14ac:dyDescent="0.25">
      <c r="A56" s="41" t="s">
        <v>591</v>
      </c>
      <c r="B56" s="497">
        <f>AVERAGEIF(K28:S36,"&gt;567.59")</f>
        <v>743.80728094403548</v>
      </c>
      <c r="C56" s="497">
        <f>AVERAGEIF(K40:S48,"&gt;536.58")</f>
        <v>713.81735586516197</v>
      </c>
      <c r="D56" s="497"/>
      <c r="F56" s="48"/>
      <c r="G56" s="48"/>
      <c r="H56" s="38"/>
    </row>
    <row r="57" spans="1:8" ht="17" thickTop="1" x14ac:dyDescent="0.2">
      <c r="A57" s="38"/>
      <c r="B57" s="38"/>
      <c r="C57" s="38"/>
      <c r="D57" s="38"/>
      <c r="E57" s="38"/>
      <c r="F57" s="38"/>
      <c r="G57" s="38"/>
      <c r="H57" s="38"/>
    </row>
    <row r="58" spans="1:8" x14ac:dyDescent="0.2">
      <c r="A58" s="46"/>
      <c r="B58" s="46"/>
      <c r="C58" s="46"/>
      <c r="D58" s="46"/>
      <c r="E58" s="46"/>
      <c r="F58" s="46"/>
      <c r="G58" s="46"/>
      <c r="H58" s="143"/>
    </row>
    <row r="59" spans="1:8" x14ac:dyDescent="0.2">
      <c r="A59" s="579" t="s">
        <v>346</v>
      </c>
      <c r="B59" s="579"/>
      <c r="C59" s="579"/>
      <c r="D59" s="579"/>
      <c r="E59" s="579"/>
      <c r="F59" s="579"/>
      <c r="G59" s="579"/>
      <c r="H59" s="13"/>
    </row>
    <row r="60" spans="1:8" x14ac:dyDescent="0.2">
      <c r="A60" s="49"/>
      <c r="B60" s="49"/>
      <c r="C60" s="49"/>
      <c r="D60" s="49"/>
      <c r="E60" s="49"/>
      <c r="F60" s="49"/>
      <c r="G60" s="49"/>
      <c r="H60" s="38"/>
    </row>
    <row r="61" spans="1:8" x14ac:dyDescent="0.2">
      <c r="A61" s="577" t="s">
        <v>344</v>
      </c>
      <c r="B61" s="577"/>
      <c r="C61" s="577"/>
      <c r="D61" s="577"/>
      <c r="E61" s="577"/>
      <c r="F61" s="577"/>
      <c r="G61" s="577"/>
      <c r="H61" s="48"/>
    </row>
    <row r="62" spans="1:8" x14ac:dyDescent="0.2">
      <c r="A62" s="48"/>
      <c r="B62" s="48">
        <v>2018</v>
      </c>
      <c r="C62" s="48">
        <v>2019</v>
      </c>
      <c r="D62" s="48">
        <v>2020</v>
      </c>
      <c r="E62" s="48">
        <v>2021</v>
      </c>
      <c r="F62" s="48">
        <v>2022</v>
      </c>
      <c r="G62" s="335" t="s">
        <v>248</v>
      </c>
      <c r="H62" s="38"/>
    </row>
    <row r="63" spans="1:8" x14ac:dyDescent="0.2">
      <c r="A63" s="38" t="s">
        <v>237</v>
      </c>
      <c r="B63" s="145">
        <f>'Proforma Statements'!D30</f>
        <v>2591.6000000000004</v>
      </c>
      <c r="C63" s="145">
        <f>'Proforma Statements'!E30</f>
        <v>2592.3000000000002</v>
      </c>
      <c r="D63" s="145">
        <f>'Proforma Statements'!F30</f>
        <v>3553.6999999999994</v>
      </c>
      <c r="E63" s="145">
        <f>'Proforma Statements'!G30</f>
        <v>5883.2</v>
      </c>
      <c r="F63" s="145">
        <f>'Proforma Statements'!H30</f>
        <v>5624.2000000000025</v>
      </c>
      <c r="G63" s="145">
        <f>'Proforma Statements'!S30</f>
        <v>6828.2895876874572</v>
      </c>
      <c r="H63" s="38"/>
    </row>
    <row r="64" spans="1:8" x14ac:dyDescent="0.2">
      <c r="A64" s="38" t="s">
        <v>238</v>
      </c>
      <c r="B64" s="145">
        <f>'Cash Flow (Original)'!B37</f>
        <v>-597.1</v>
      </c>
      <c r="C64" s="145">
        <f>'Cash Flow (Original)'!C37</f>
        <v>-1325.7</v>
      </c>
      <c r="D64" s="145">
        <f>'Cash Flow (Original)'!D37</f>
        <v>-1066.4000000000001</v>
      </c>
      <c r="E64" s="145">
        <f>'Cash Flow (Original)'!E37</f>
        <v>-1368.3</v>
      </c>
      <c r="F64" s="145">
        <f>'Cash Flow (Original)'!F37</f>
        <v>-2559.8000000000002</v>
      </c>
      <c r="G64" s="145">
        <f>-G63*G65</f>
        <v>-2389.9013556906098</v>
      </c>
      <c r="H64" s="47"/>
    </row>
    <row r="65" spans="1:8" x14ac:dyDescent="0.2">
      <c r="A65" s="38" t="s">
        <v>239</v>
      </c>
      <c r="B65" s="138">
        <f>-B64/B63</f>
        <v>0.23039820960024693</v>
      </c>
      <c r="C65" s="138">
        <f t="shared" ref="C65:F65" si="26">-C64/C63</f>
        <v>0.51139914361763683</v>
      </c>
      <c r="D65" s="138">
        <f t="shared" si="26"/>
        <v>0.30008160508765519</v>
      </c>
      <c r="E65" s="138">
        <f t="shared" si="26"/>
        <v>0.23257750883872721</v>
      </c>
      <c r="F65" s="138">
        <f t="shared" si="26"/>
        <v>0.45514028661854111</v>
      </c>
      <c r="G65" s="47">
        <v>0.35</v>
      </c>
      <c r="H65" s="38"/>
    </row>
    <row r="66" spans="1:8" x14ac:dyDescent="0.2">
      <c r="A66" s="38" t="s">
        <v>240</v>
      </c>
      <c r="B66" s="44">
        <f t="shared" ref="B66:G66" si="27">-B64/$B$53</f>
        <v>1.500251256281407</v>
      </c>
      <c r="C66" s="44">
        <f t="shared" si="27"/>
        <v>3.3309045226130656</v>
      </c>
      <c r="D66" s="44">
        <f t="shared" si="27"/>
        <v>2.6793969849246233</v>
      </c>
      <c r="E66" s="44">
        <f t="shared" si="27"/>
        <v>3.4379396984924622</v>
      </c>
      <c r="F66" s="44">
        <f t="shared" si="27"/>
        <v>6.4316582914572873</v>
      </c>
      <c r="G66" s="44">
        <f t="shared" si="27"/>
        <v>6.004777275604547</v>
      </c>
    </row>
    <row r="67" spans="1:8" x14ac:dyDescent="0.2">
      <c r="A67" s="38" t="s">
        <v>327</v>
      </c>
      <c r="C67" s="38"/>
      <c r="D67" s="38"/>
      <c r="E67" s="38"/>
      <c r="F67" s="38"/>
      <c r="G67" s="140">
        <f>J19</f>
        <v>5.951962974691663E-2</v>
      </c>
      <c r="H67" s="38"/>
    </row>
    <row r="68" spans="1:8" ht="17" thickBot="1" x14ac:dyDescent="0.25">
      <c r="A68" s="41" t="s">
        <v>602</v>
      </c>
      <c r="B68" s="45">
        <f>(G66)/(J18-J19)</f>
        <v>149.55393076625393</v>
      </c>
      <c r="C68" s="38"/>
      <c r="D68" s="38"/>
      <c r="E68" s="38"/>
      <c r="F68" s="38"/>
      <c r="G68" s="38"/>
      <c r="H68" s="38"/>
    </row>
    <row r="69" spans="1:8" ht="17" thickTop="1" x14ac:dyDescent="0.2">
      <c r="A69" s="38" t="s">
        <v>603</v>
      </c>
      <c r="B69" s="44">
        <f>(G66)/(J18-L19)</f>
        <v>191.64064245808774</v>
      </c>
      <c r="C69" s="38"/>
      <c r="D69" s="38"/>
      <c r="E69" s="38"/>
      <c r="F69" s="38"/>
      <c r="G69" s="38"/>
      <c r="H69" s="38"/>
    </row>
    <row r="70" spans="1:8" x14ac:dyDescent="0.2">
      <c r="A70" s="38" t="s">
        <v>604</v>
      </c>
      <c r="B70" s="44">
        <f>(G66)/(J18-M19)</f>
        <v>122.62412107653122</v>
      </c>
      <c r="C70" s="38"/>
      <c r="D70" s="38"/>
      <c r="E70" s="38"/>
      <c r="F70" s="38"/>
      <c r="G70" s="38"/>
      <c r="H70" s="38"/>
    </row>
    <row r="71" spans="1:8" x14ac:dyDescent="0.2">
      <c r="A71" s="38"/>
      <c r="B71" s="38"/>
      <c r="C71" s="38"/>
      <c r="D71" s="38"/>
      <c r="E71" s="38"/>
      <c r="F71" s="38"/>
      <c r="G71" s="38"/>
      <c r="H71" s="38"/>
    </row>
    <row r="72" spans="1:8" x14ac:dyDescent="0.2">
      <c r="A72" s="38"/>
      <c r="B72" s="38"/>
      <c r="C72" s="38"/>
      <c r="D72" s="38"/>
      <c r="E72" s="38"/>
      <c r="F72" s="38"/>
      <c r="G72" s="38"/>
      <c r="H72" s="38"/>
    </row>
    <row r="73" spans="1:8" x14ac:dyDescent="0.2">
      <c r="A73" s="578" t="s">
        <v>345</v>
      </c>
      <c r="B73" s="578"/>
      <c r="C73" s="38"/>
      <c r="D73" s="38"/>
      <c r="E73" s="38"/>
      <c r="F73" s="38"/>
      <c r="G73" s="38"/>
      <c r="H73" s="38"/>
    </row>
    <row r="74" spans="1:8" x14ac:dyDescent="0.2">
      <c r="A74" s="38" t="s">
        <v>242</v>
      </c>
      <c r="B74" s="40">
        <f>G63</f>
        <v>6828.2895876874572</v>
      </c>
      <c r="C74" s="38"/>
      <c r="D74" s="38"/>
      <c r="E74" s="38"/>
      <c r="F74" s="38"/>
      <c r="G74" s="38"/>
      <c r="H74" s="38"/>
    </row>
    <row r="75" spans="1:8" x14ac:dyDescent="0.2">
      <c r="A75" s="38"/>
      <c r="B75" s="40" t="s">
        <v>599</v>
      </c>
      <c r="C75" s="38" t="s">
        <v>600</v>
      </c>
      <c r="D75" s="38" t="s">
        <v>601</v>
      </c>
      <c r="E75" s="38"/>
      <c r="F75" s="38"/>
      <c r="G75" s="38"/>
      <c r="H75" s="38"/>
    </row>
    <row r="76" spans="1:8" x14ac:dyDescent="0.2">
      <c r="A76" s="38" t="s">
        <v>243</v>
      </c>
      <c r="B76" s="140">
        <f>J19</f>
        <v>5.951962974691663E-2</v>
      </c>
      <c r="C76" s="50">
        <f>M19</f>
        <v>5.0701906821447512E-2</v>
      </c>
      <c r="D76" s="50">
        <f>L19</f>
        <v>6.8337352672385748E-2</v>
      </c>
      <c r="E76" s="38"/>
      <c r="F76" s="38"/>
      <c r="G76" s="38"/>
      <c r="H76" s="38"/>
    </row>
    <row r="77" spans="1:8" x14ac:dyDescent="0.2">
      <c r="A77" s="38" t="s">
        <v>244</v>
      </c>
      <c r="B77" s="50">
        <f>J17-'Income Approach wo Synergies'!B76</f>
        <v>3.8697703636691089E-2</v>
      </c>
      <c r="C77" s="50">
        <f>J17-'Income Approach wo Synergies'!C76</f>
        <v>4.7515426562160207E-2</v>
      </c>
      <c r="D77" s="50">
        <f>J17-'Income Approach wo Synergies'!D76</f>
        <v>2.9879980711221971E-2</v>
      </c>
      <c r="E77" s="38"/>
      <c r="F77" s="38"/>
      <c r="G77" s="38"/>
      <c r="H77" s="38"/>
    </row>
    <row r="78" spans="1:8" x14ac:dyDescent="0.2">
      <c r="A78" s="38" t="s">
        <v>245</v>
      </c>
      <c r="B78" s="141">
        <f>(B74*(1+B76))/B77</f>
        <v>186954.42302400031</v>
      </c>
      <c r="C78" s="141">
        <f>(B74*(1+C76))/C77</f>
        <v>150993.00183544582</v>
      </c>
      <c r="D78" s="141">
        <f>(B74*(1+D76))/D77</f>
        <v>244140.6134727087</v>
      </c>
      <c r="E78" s="38"/>
      <c r="F78" s="38"/>
      <c r="G78" s="38"/>
      <c r="H78" s="38"/>
    </row>
    <row r="79" spans="1:8" x14ac:dyDescent="0.2">
      <c r="A79" s="38" t="s">
        <v>235</v>
      </c>
      <c r="B79" s="38">
        <f>B53</f>
        <v>398</v>
      </c>
      <c r="C79" s="38"/>
      <c r="D79" s="38"/>
      <c r="E79" s="38"/>
      <c r="F79" s="38"/>
      <c r="G79" s="38"/>
      <c r="H79" s="38"/>
    </row>
    <row r="80" spans="1:8" ht="17" thickBot="1" x14ac:dyDescent="0.25">
      <c r="A80" s="41" t="s">
        <v>605</v>
      </c>
      <c r="B80" s="45">
        <f>B78/B79</f>
        <v>469.73473121608117</v>
      </c>
      <c r="C80" s="38"/>
      <c r="D80" s="38"/>
      <c r="E80" s="38"/>
      <c r="F80" s="38"/>
      <c r="G80" s="38"/>
    </row>
    <row r="81" spans="1:9" ht="18" thickTop="1" thickBot="1" x14ac:dyDescent="0.25">
      <c r="A81" s="41" t="s">
        <v>607</v>
      </c>
      <c r="B81" s="12">
        <f>C78/B79</f>
        <v>379.37940159659752</v>
      </c>
    </row>
    <row r="82" spans="1:9" ht="18" thickTop="1" thickBot="1" x14ac:dyDescent="0.25">
      <c r="A82" s="41" t="s">
        <v>606</v>
      </c>
      <c r="B82" s="12">
        <f>D78/B80</f>
        <v>519.74145671677479</v>
      </c>
    </row>
    <row r="83" spans="1:9" ht="17" thickTop="1" x14ac:dyDescent="0.2">
      <c r="A83" s="48"/>
    </row>
    <row r="84" spans="1:9" x14ac:dyDescent="0.2">
      <c r="A84" s="553" t="s">
        <v>297</v>
      </c>
      <c r="B84" s="553"/>
      <c r="C84" s="553"/>
      <c r="D84" s="553"/>
      <c r="E84" s="553"/>
      <c r="F84" s="553"/>
      <c r="G84" s="553"/>
      <c r="H84" s="553"/>
      <c r="I84" s="553"/>
    </row>
    <row r="85" spans="1:9" x14ac:dyDescent="0.2">
      <c r="A85" s="118">
        <v>1</v>
      </c>
      <c r="B85" s="554" t="s">
        <v>347</v>
      </c>
      <c r="C85" s="554"/>
      <c r="D85" s="554"/>
      <c r="E85" s="554"/>
      <c r="F85" s="554"/>
      <c r="G85" s="554"/>
      <c r="H85" s="554"/>
      <c r="I85" s="554"/>
    </row>
    <row r="86" spans="1:9" x14ac:dyDescent="0.2">
      <c r="A86" s="89">
        <v>2</v>
      </c>
      <c r="B86" s="89" t="s">
        <v>349</v>
      </c>
      <c r="C86" s="89"/>
      <c r="D86" s="89"/>
      <c r="E86" s="89"/>
      <c r="F86" s="89"/>
      <c r="G86" s="89"/>
      <c r="H86" s="89"/>
      <c r="I86" s="89"/>
    </row>
    <row r="87" spans="1:9" x14ac:dyDescent="0.2">
      <c r="A87" s="89">
        <v>3</v>
      </c>
      <c r="B87" s="89" t="s">
        <v>350</v>
      </c>
      <c r="C87" s="89"/>
      <c r="D87" s="89"/>
      <c r="E87" s="89"/>
      <c r="F87" s="89"/>
      <c r="G87" s="89"/>
      <c r="H87" s="89"/>
      <c r="I87" s="89"/>
    </row>
    <row r="88" spans="1:9" x14ac:dyDescent="0.2">
      <c r="A88" s="89">
        <v>4</v>
      </c>
      <c r="B88" s="89" t="s">
        <v>352</v>
      </c>
      <c r="C88" s="89"/>
      <c r="D88" s="89"/>
      <c r="E88" s="89"/>
      <c r="F88" s="89"/>
      <c r="G88" s="89"/>
      <c r="H88" s="89"/>
      <c r="I88" s="89"/>
    </row>
    <row r="89" spans="1:9" x14ac:dyDescent="0.2">
      <c r="A89" s="89"/>
      <c r="B89" s="89"/>
      <c r="C89" s="89"/>
      <c r="D89" s="89"/>
      <c r="E89" s="89"/>
      <c r="F89" s="89"/>
      <c r="G89" s="89"/>
      <c r="H89" s="89"/>
      <c r="I89" s="89"/>
    </row>
    <row r="90" spans="1:9" x14ac:dyDescent="0.2">
      <c r="A90" s="89"/>
      <c r="B90" s="89"/>
      <c r="C90" s="89"/>
      <c r="D90" s="89"/>
      <c r="E90" s="89"/>
      <c r="F90" s="89"/>
      <c r="G90" s="89"/>
      <c r="H90" s="89"/>
      <c r="I90" s="89"/>
    </row>
  </sheetData>
  <mergeCells count="16">
    <mergeCell ref="A46:C46"/>
    <mergeCell ref="A84:I84"/>
    <mergeCell ref="B85:I85"/>
    <mergeCell ref="A1:T1"/>
    <mergeCell ref="A2:T2"/>
    <mergeCell ref="A3:T3"/>
    <mergeCell ref="A61:G61"/>
    <mergeCell ref="A73:B73"/>
    <mergeCell ref="A59:G59"/>
    <mergeCell ref="A18:F18"/>
    <mergeCell ref="A6:F6"/>
    <mergeCell ref="A5:G5"/>
    <mergeCell ref="K26:S26"/>
    <mergeCell ref="I28:I36"/>
    <mergeCell ref="I40:I48"/>
    <mergeCell ref="K38:S38"/>
  </mergeCells>
  <phoneticPr fontId="15" type="noConversion"/>
  <conditionalFormatting sqref="K28:S36">
    <cfRule type="cellIs" dxfId="5" priority="2" operator="greaterThan">
      <formula>$J$27</formula>
    </cfRule>
  </conditionalFormatting>
  <conditionalFormatting sqref="K40:S48">
    <cfRule type="cellIs" dxfId="4" priority="1" operator="greaterThan">
      <formula>$J$39</formula>
    </cfRule>
  </conditionalFormatting>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DCAAC-A01D-4341-85D1-B17B4B813F34}">
  <sheetPr>
    <tabColor theme="4" tint="0.79998168889431442"/>
  </sheetPr>
  <dimension ref="A1:AH92"/>
  <sheetViews>
    <sheetView zoomScale="75" zoomScaleNormal="75" workbookViewId="0">
      <selection activeCell="H10" sqref="H10"/>
    </sheetView>
  </sheetViews>
  <sheetFormatPr baseColWidth="10" defaultColWidth="11" defaultRowHeight="16" x14ac:dyDescent="0.2"/>
  <cols>
    <col min="1" max="1" width="29.83203125" style="3" bestFit="1" customWidth="1"/>
    <col min="2" max="7" width="17.1640625" style="3" customWidth="1"/>
    <col min="8" max="8" width="20.5" style="3" bestFit="1" customWidth="1"/>
    <col min="9" max="9" width="36.6640625" style="3" customWidth="1"/>
    <col min="10" max="10" width="21.5" style="3" bestFit="1" customWidth="1"/>
    <col min="11" max="14" width="14.5" style="3" customWidth="1"/>
    <col min="15" max="15" width="14.5" style="88" customWidth="1"/>
    <col min="16" max="20" width="14.5" style="3" customWidth="1"/>
    <col min="21" max="22" width="34.6640625" style="3" bestFit="1" customWidth="1"/>
    <col min="23" max="16384" width="11" style="3"/>
  </cols>
  <sheetData>
    <row r="1" spans="1:20" ht="17" x14ac:dyDescent="0.2">
      <c r="A1" s="575" t="s">
        <v>298</v>
      </c>
      <c r="B1" s="575"/>
      <c r="C1" s="575"/>
      <c r="D1" s="575"/>
      <c r="E1" s="575"/>
      <c r="F1" s="575"/>
      <c r="G1" s="575"/>
      <c r="H1" s="575"/>
      <c r="I1" s="575"/>
      <c r="J1" s="575"/>
      <c r="K1" s="575"/>
      <c r="L1" s="575"/>
      <c r="M1" s="575"/>
      <c r="N1" s="575"/>
      <c r="O1" s="575"/>
      <c r="P1" s="575"/>
      <c r="Q1" s="575"/>
      <c r="R1" s="575"/>
      <c r="S1" s="575"/>
      <c r="T1" s="575"/>
    </row>
    <row r="2" spans="1:20" ht="17" x14ac:dyDescent="0.2">
      <c r="A2" s="575" t="s">
        <v>342</v>
      </c>
      <c r="B2" s="575"/>
      <c r="C2" s="575"/>
      <c r="D2" s="575"/>
      <c r="E2" s="575"/>
      <c r="F2" s="575"/>
      <c r="G2" s="575"/>
      <c r="H2" s="575"/>
      <c r="I2" s="575"/>
      <c r="J2" s="575"/>
      <c r="K2" s="575"/>
      <c r="L2" s="575"/>
      <c r="M2" s="575"/>
      <c r="N2" s="575"/>
      <c r="O2" s="575"/>
      <c r="P2" s="575"/>
      <c r="Q2" s="575"/>
      <c r="R2" s="575"/>
      <c r="S2" s="575"/>
      <c r="T2" s="575"/>
    </row>
    <row r="3" spans="1:20" x14ac:dyDescent="0.2">
      <c r="A3" s="576" t="s">
        <v>384</v>
      </c>
      <c r="B3" s="576"/>
      <c r="C3" s="576"/>
      <c r="D3" s="576"/>
      <c r="E3" s="576"/>
      <c r="F3" s="576"/>
      <c r="G3" s="576"/>
      <c r="H3" s="576"/>
      <c r="I3" s="576"/>
      <c r="J3" s="576"/>
      <c r="K3" s="576"/>
      <c r="L3" s="576"/>
      <c r="M3" s="576"/>
      <c r="N3" s="576"/>
      <c r="O3" s="576"/>
      <c r="P3" s="576"/>
      <c r="Q3" s="576"/>
      <c r="R3" s="576"/>
      <c r="S3" s="576"/>
      <c r="T3" s="576"/>
    </row>
    <row r="4" spans="1:20" x14ac:dyDescent="0.2">
      <c r="A4" s="38"/>
      <c r="B4" s="38"/>
      <c r="C4" s="38"/>
      <c r="D4" s="38"/>
      <c r="E4" s="38"/>
      <c r="F4" s="38"/>
      <c r="G4" s="38"/>
      <c r="H4" s="38"/>
    </row>
    <row r="5" spans="1:20" x14ac:dyDescent="0.2">
      <c r="A5" s="579" t="s">
        <v>343</v>
      </c>
      <c r="B5" s="579"/>
      <c r="C5" s="579"/>
      <c r="D5" s="579"/>
      <c r="E5" s="579"/>
      <c r="F5" s="579"/>
      <c r="G5" s="579"/>
      <c r="H5" s="13"/>
      <c r="I5" s="130" t="s">
        <v>579</v>
      </c>
      <c r="J5" s="130">
        <v>2018</v>
      </c>
      <c r="K5" s="130">
        <v>2019</v>
      </c>
      <c r="L5" s="130">
        <v>2020</v>
      </c>
      <c r="M5" s="130">
        <v>2021</v>
      </c>
      <c r="N5" s="130">
        <v>2022</v>
      </c>
      <c r="O5" s="131" t="s">
        <v>315</v>
      </c>
      <c r="P5" s="334" t="s">
        <v>248</v>
      </c>
      <c r="Q5" s="334" t="s">
        <v>249</v>
      </c>
      <c r="R5" s="334" t="s">
        <v>250</v>
      </c>
      <c r="S5" s="334" t="s">
        <v>251</v>
      </c>
      <c r="T5" s="334" t="s">
        <v>252</v>
      </c>
    </row>
    <row r="6" spans="1:20" ht="17" x14ac:dyDescent="0.2">
      <c r="A6" s="577" t="s">
        <v>227</v>
      </c>
      <c r="B6" s="577"/>
      <c r="C6" s="577"/>
      <c r="D6" s="577"/>
      <c r="E6" s="577"/>
      <c r="F6" s="577"/>
      <c r="G6" s="38"/>
      <c r="H6" s="38"/>
      <c r="I6" s="17" t="s">
        <v>44</v>
      </c>
      <c r="J6" s="125">
        <f>'Balance Sheets (Original)'!B27</f>
        <v>1589.5</v>
      </c>
      <c r="K6" s="509">
        <f>'Balance Sheets (Original)'!C27</f>
        <v>1999.3</v>
      </c>
      <c r="L6" s="509">
        <f>'Balance Sheets (Original)'!D27</f>
        <v>2470.3000000000002</v>
      </c>
      <c r="M6" s="509">
        <f>'Balance Sheets (Original)'!E27</f>
        <v>2982.7</v>
      </c>
      <c r="N6" s="509">
        <f>'Balance Sheets (Original)'!F27</f>
        <v>3944.2</v>
      </c>
      <c r="O6" s="510"/>
      <c r="P6" s="509">
        <f>N6*(1+$O$7)</f>
        <v>4953.1091173811328</v>
      </c>
      <c r="Q6" s="509">
        <f>P6*(1+$O$7)</f>
        <v>6220.0927764018315</v>
      </c>
      <c r="R6" s="509">
        <f>Q6*(1+$O$7)</f>
        <v>7811.1653166047445</v>
      </c>
      <c r="S6" s="509">
        <f>R6*(1+$O$7)</f>
        <v>9809.2272569966644</v>
      </c>
      <c r="T6" s="509">
        <f>S6*(1+$O$7)</f>
        <v>12318.38470693517</v>
      </c>
    </row>
    <row r="7" spans="1:20" x14ac:dyDescent="0.2">
      <c r="A7" s="38" t="s">
        <v>228</v>
      </c>
      <c r="B7" s="505">
        <v>45291</v>
      </c>
      <c r="C7" s="505">
        <v>45657</v>
      </c>
      <c r="D7" s="505">
        <v>46022</v>
      </c>
      <c r="E7" s="505">
        <v>46387</v>
      </c>
      <c r="F7" s="505">
        <v>46752</v>
      </c>
      <c r="G7" s="38"/>
      <c r="H7" s="38"/>
      <c r="I7" s="149" t="s">
        <v>348</v>
      </c>
      <c r="K7" s="511">
        <f>(K6-J6)/J6</f>
        <v>0.25781692356086816</v>
      </c>
      <c r="L7" s="511">
        <f>(L6-K6)/K6</f>
        <v>0.23558245385885071</v>
      </c>
      <c r="M7" s="511">
        <f>(M6-L6)/L6</f>
        <v>0.20742419948994034</v>
      </c>
      <c r="N7" s="511">
        <f>(N6-M6)/M6</f>
        <v>0.32235893653401282</v>
      </c>
      <c r="O7" s="133">
        <f>AVERAGE(K7:N7)</f>
        <v>0.25579562836091796</v>
      </c>
      <c r="P7" s="501"/>
      <c r="Q7" s="501"/>
      <c r="R7" s="501"/>
      <c r="S7" s="501"/>
      <c r="T7" s="501"/>
    </row>
    <row r="8" spans="1:20" x14ac:dyDescent="0.2">
      <c r="A8" s="38" t="s">
        <v>575</v>
      </c>
      <c r="B8" s="38"/>
      <c r="C8" s="38"/>
      <c r="D8" s="38"/>
      <c r="E8" s="38"/>
      <c r="F8" s="38"/>
      <c r="G8" s="38"/>
      <c r="H8" s="38"/>
      <c r="I8" s="3" t="s">
        <v>255</v>
      </c>
      <c r="J8" s="11">
        <f>'Cash Flow (Original)'!B8</f>
        <v>422.7</v>
      </c>
      <c r="K8" s="513">
        <f>'Cash Flow (Original)'!C8</f>
        <v>448.5</v>
      </c>
      <c r="L8" s="513">
        <f>'Cash Flow (Original)'!D8</f>
        <v>490.8</v>
      </c>
      <c r="M8" s="513">
        <f>'Cash Flow (Original)'!E8</f>
        <v>471</v>
      </c>
      <c r="N8" s="513">
        <f>'Cash Flow (Original)'!F8</f>
        <v>583.6</v>
      </c>
      <c r="O8" s="134"/>
      <c r="P8" s="513">
        <f>P6*$O$9</f>
        <v>757.51542497302808</v>
      </c>
      <c r="Q8" s="513">
        <f>Q6*$O$9</f>
        <v>951.28455909709169</v>
      </c>
      <c r="R8" s="513">
        <f>R6*$O$9</f>
        <v>1194.6189906413711</v>
      </c>
      <c r="S8" s="513">
        <f>S6*$O$9</f>
        <v>1500.1973060043661</v>
      </c>
      <c r="T8" s="513">
        <f>T6*$O$9</f>
        <v>1883.9412185591093</v>
      </c>
    </row>
    <row r="9" spans="1:20" x14ac:dyDescent="0.2">
      <c r="A9" s="38"/>
      <c r="B9" s="38"/>
      <c r="C9" s="38"/>
      <c r="D9" s="38"/>
      <c r="E9" s="38"/>
      <c r="F9" s="38"/>
      <c r="G9" s="38"/>
      <c r="H9" s="38"/>
      <c r="I9" s="149" t="s">
        <v>316</v>
      </c>
      <c r="J9" s="78">
        <f>J8/J6</f>
        <v>0.26593268323372127</v>
      </c>
      <c r="K9" s="511">
        <f>K8/K6</f>
        <v>0.22432851498024309</v>
      </c>
      <c r="L9" s="511">
        <f>L8/L6</f>
        <v>0.19868032222806944</v>
      </c>
      <c r="M9" s="511">
        <f>M8/M6</f>
        <v>0.15791061789653671</v>
      </c>
      <c r="N9" s="511">
        <f>N8/N6</f>
        <v>0.14796409918361139</v>
      </c>
      <c r="O9" s="133">
        <f>AVERAGE(M9:N9)</f>
        <v>0.15293735854007406</v>
      </c>
      <c r="P9" s="501"/>
      <c r="Q9" s="501"/>
      <c r="R9" s="501"/>
      <c r="S9" s="501"/>
      <c r="T9" s="501"/>
    </row>
    <row r="10" spans="1:20" x14ac:dyDescent="0.2">
      <c r="A10" s="38" t="s">
        <v>572</v>
      </c>
      <c r="B10" s="44">
        <f>S22</f>
        <v>500.02500000000003</v>
      </c>
      <c r="C10" s="44">
        <f>B10*(1+$T$21)</f>
        <v>539.25990667970586</v>
      </c>
      <c r="D10" s="44">
        <f>C10*(1+$T$21)</f>
        <v>581.57341523364846</v>
      </c>
      <c r="E10" s="44">
        <f>D10*(1+$T$21)</f>
        <v>627.20709089804529</v>
      </c>
      <c r="F10" s="44">
        <f>E10*(1+$T$21)</f>
        <v>676.42145354038234</v>
      </c>
      <c r="G10" s="38"/>
      <c r="H10" s="38"/>
      <c r="I10" s="3" t="s">
        <v>257</v>
      </c>
      <c r="J10" s="12">
        <f>'Cash Flow (Original)'!B27</f>
        <v>-574</v>
      </c>
      <c r="K10" s="515">
        <f>'Cash Flow (Original)'!C27</f>
        <v>-766.6</v>
      </c>
      <c r="L10" s="515">
        <f>'Cash Flow (Original)'!D27</f>
        <v>-962</v>
      </c>
      <c r="M10" s="515">
        <f>'Cash Flow (Original)'!E27</f>
        <v>-900.7</v>
      </c>
      <c r="N10" s="515">
        <f>'Cash Flow (Original)'!F27</f>
        <v>-1281.8</v>
      </c>
      <c r="O10" s="132"/>
      <c r="P10" s="515">
        <f>-$O$11*'Proforma Statements'!S30</f>
        <v>-1596.3386248888812</v>
      </c>
      <c r="Q10" s="515">
        <f>-$O$11*'Proforma Statements'!T30</f>
        <v>-1890.3210654253833</v>
      </c>
      <c r="R10" s="515">
        <f>-$O$11*'Proforma Statements'!U30</f>
        <v>-2239.0263858499179</v>
      </c>
      <c r="S10" s="515">
        <f>-$O$11*'Proforma Statements'!V30</f>
        <v>-2652.7583283528861</v>
      </c>
      <c r="T10" s="515">
        <f>-$O$11*'Proforma Statements'!W30</f>
        <v>-3143.7841294041527</v>
      </c>
    </row>
    <row r="11" spans="1:20" x14ac:dyDescent="0.2">
      <c r="A11" s="38"/>
      <c r="B11" s="38"/>
      <c r="C11" s="38"/>
      <c r="D11" s="38"/>
      <c r="E11" s="38"/>
      <c r="F11" s="38"/>
      <c r="G11" s="38"/>
      <c r="H11" s="38"/>
      <c r="I11" s="149" t="s">
        <v>317</v>
      </c>
      <c r="J11" s="78">
        <f>-J10/'Proforma Statements'!D30</f>
        <v>0.22148479703657969</v>
      </c>
      <c r="K11" s="511">
        <f>-K10/'Proforma Statements'!E30</f>
        <v>0.29572194576245031</v>
      </c>
      <c r="L11" s="511">
        <f>-L10/'Proforma Statements'!F30</f>
        <v>0.27070377353181196</v>
      </c>
      <c r="M11" s="511">
        <f>-M10/'Proforma Statements'!G30</f>
        <v>0.15309695403861845</v>
      </c>
      <c r="N11" s="511">
        <f>-N10/'Proforma Statements'!H30</f>
        <v>0.22790796913338776</v>
      </c>
      <c r="O11" s="135">
        <f>AVERAGE(J11:N11)</f>
        <v>0.23378308790056965</v>
      </c>
      <c r="P11" s="501"/>
      <c r="Q11" s="501"/>
      <c r="R11" s="501"/>
      <c r="S11" s="501"/>
      <c r="T11" s="501"/>
    </row>
    <row r="12" spans="1:20" x14ac:dyDescent="0.2">
      <c r="A12" s="38" t="s">
        <v>573</v>
      </c>
      <c r="B12" s="44">
        <f>S27</f>
        <v>1057.7149999999999</v>
      </c>
      <c r="C12" s="44">
        <f>B12*(1+$T$26)</f>
        <v>1097.5134625964397</v>
      </c>
      <c r="D12" s="44">
        <f>C12*(1+$T$26)</f>
        <v>1138.8094151831324</v>
      </c>
      <c r="E12" s="44">
        <f>D12*(1+$T$26)</f>
        <v>1181.6592035615136</v>
      </c>
      <c r="F12" s="44">
        <f>E12*(1+$T$26)</f>
        <v>1226.1212936469162</v>
      </c>
      <c r="G12" s="38"/>
      <c r="H12" s="38"/>
      <c r="I12" s="3" t="s">
        <v>126</v>
      </c>
      <c r="J12" s="12">
        <f>'Balance Sheets (Original)'!B12+'Balance Sheets (Original)'!B16+'Balance Sheets (Original)'!B17-'Balance Sheets (Original)'!B35-'Balance Sheets (Original)'!B36</f>
        <v>3834.9</v>
      </c>
      <c r="K12" s="515">
        <f>'Balance Sheets (Original)'!C12+'Balance Sheets (Original)'!C16+'Balance Sheets (Original)'!C17-'Balance Sheets (Original)'!C35-'Balance Sheets (Original)'!C36</f>
        <v>4336.7000000000007</v>
      </c>
      <c r="L12" s="515">
        <f>'Balance Sheets (Original)'!D12+'Balance Sheets (Original)'!D16+'Balance Sheets (Original)'!D17-'Balance Sheets (Original)'!D35-'Balance Sheets (Original)'!D36</f>
        <v>4157.5</v>
      </c>
      <c r="M12" s="515">
        <f>'Balance Sheets (Original)'!E12+'Balance Sheets (Original)'!E16+'Balance Sheets (Original)'!E17-'Balance Sheets (Original)'!E35-'Balance Sheets (Original)'!E36</f>
        <v>5655.9000000000005</v>
      </c>
      <c r="N12" s="515">
        <f>'Balance Sheets (Original)'!F12+'Balance Sheets (Original)'!F16+'Balance Sheets (Original)'!F17-'Balance Sheets (Original)'!F35-'Balance Sheets (Original)'!F36</f>
        <v>9725.8000000000011</v>
      </c>
      <c r="O12" s="136"/>
      <c r="P12" s="515">
        <f>$O$13*'Proforma Statements'!S9</f>
        <v>8264.3461018727867</v>
      </c>
      <c r="Q12" s="515">
        <f>$O$13*'Proforma Statements'!T9</f>
        <v>9787.6002262438251</v>
      </c>
      <c r="R12" s="515">
        <f>$O$13*'Proforma Statements'!U9</f>
        <v>11594.657564652653</v>
      </c>
      <c r="S12" s="515">
        <f>$O$13*'Proforma Statements'!V9</f>
        <v>13739.007011372647</v>
      </c>
      <c r="T12" s="515">
        <f>$O$13*'Proforma Statements'!W9</f>
        <v>16284.340567230944</v>
      </c>
    </row>
    <row r="13" spans="1:20" x14ac:dyDescent="0.2">
      <c r="A13" s="38"/>
      <c r="B13" s="38"/>
      <c r="C13" s="38"/>
      <c r="D13" s="38"/>
      <c r="E13" s="38"/>
      <c r="F13" s="38"/>
      <c r="G13" s="38"/>
      <c r="H13" s="38"/>
      <c r="I13" s="149" t="s">
        <v>318</v>
      </c>
      <c r="J13" s="78">
        <f>J12/'Proforma Statements'!D9</f>
        <v>0.35041118421052631</v>
      </c>
      <c r="K13" s="511">
        <f>K12/'Proforma Statements'!E9</f>
        <v>0.36689509306260581</v>
      </c>
      <c r="L13" s="511">
        <f>L12/'Proforma Statements'!F9</f>
        <v>0.29742103945344639</v>
      </c>
      <c r="M13" s="511">
        <f>M12/'Proforma Statements'!G9</f>
        <v>0.30390091881145564</v>
      </c>
      <c r="N13" s="511">
        <f>N12/'Proforma Statements'!H9</f>
        <v>0.45934049326041165</v>
      </c>
      <c r="O13" s="137">
        <f>AVERAGE(J13:M13)</f>
        <v>0.32965705888450852</v>
      </c>
      <c r="P13" s="501"/>
      <c r="Q13" s="501"/>
      <c r="R13" s="501"/>
      <c r="S13" s="501"/>
      <c r="T13" s="501"/>
    </row>
    <row r="14" spans="1:20" x14ac:dyDescent="0.2">
      <c r="A14" s="38" t="s">
        <v>122</v>
      </c>
      <c r="B14" s="40">
        <f>'Proforma Statements'!S20+B10+B12</f>
        <v>9322.3098092019427</v>
      </c>
      <c r="C14" s="40">
        <f>'Proforma Statements'!T20+C10+C12</f>
        <v>10831.254541975406</v>
      </c>
      <c r="D14" s="40">
        <f>'Proforma Statements'!U20+D10+D12</f>
        <v>12610.940790630673</v>
      </c>
      <c r="E14" s="40">
        <f>'Proforma Statements'!V20+E10+E12</f>
        <v>14711.78199866401</v>
      </c>
      <c r="F14" s="40">
        <f>'Proforma Statements'!W20+F10+F12</f>
        <v>17193.762643075785</v>
      </c>
      <c r="G14" s="38"/>
      <c r="H14" s="38"/>
      <c r="I14" s="14" t="s">
        <v>319</v>
      </c>
      <c r="J14" s="129"/>
      <c r="K14" s="519">
        <f>K12-J12</f>
        <v>501.80000000000064</v>
      </c>
      <c r="L14" s="519">
        <f>L12-K12</f>
        <v>-179.20000000000073</v>
      </c>
      <c r="M14" s="519">
        <f>M12-L12</f>
        <v>1498.4000000000005</v>
      </c>
      <c r="N14" s="519">
        <f>N12-M12</f>
        <v>4069.9000000000005</v>
      </c>
      <c r="O14" s="520"/>
      <c r="P14" s="519">
        <f>P12-N12</f>
        <v>-1461.4538981272144</v>
      </c>
      <c r="Q14" s="519">
        <f>Q12-P12</f>
        <v>1523.2541243710384</v>
      </c>
      <c r="R14" s="519">
        <f>R12-Q12</f>
        <v>1807.0573384088275</v>
      </c>
      <c r="S14" s="519">
        <f>S12-R12</f>
        <v>2144.3494467199944</v>
      </c>
      <c r="T14" s="519">
        <f>T12-S12</f>
        <v>2545.3335558582967</v>
      </c>
    </row>
    <row r="15" spans="1:20" x14ac:dyDescent="0.2">
      <c r="A15" s="147" t="s">
        <v>223</v>
      </c>
      <c r="B15" s="44">
        <f>P8</f>
        <v>757.51542497302808</v>
      </c>
      <c r="C15" s="44">
        <f>Q8</f>
        <v>951.28455909709169</v>
      </c>
      <c r="D15" s="44">
        <f>R8</f>
        <v>1194.6189906413711</v>
      </c>
      <c r="E15" s="44">
        <f>S8</f>
        <v>1500.1973060043661</v>
      </c>
      <c r="F15" s="44">
        <f>T8</f>
        <v>1883.9412185591093</v>
      </c>
      <c r="G15" s="38"/>
      <c r="H15" s="38"/>
      <c r="I15" s="3" t="s">
        <v>576</v>
      </c>
      <c r="K15" s="501"/>
      <c r="L15" s="501"/>
      <c r="M15" s="501"/>
      <c r="N15" s="501"/>
      <c r="O15" s="501"/>
      <c r="P15" s="501"/>
      <c r="Q15" s="501"/>
      <c r="R15" s="501"/>
      <c r="S15" s="501"/>
      <c r="T15" s="501"/>
    </row>
    <row r="16" spans="1:20" x14ac:dyDescent="0.2">
      <c r="A16" s="38" t="s">
        <v>123</v>
      </c>
      <c r="B16" s="44">
        <f>B14+B15</f>
        <v>10079.82523417497</v>
      </c>
      <c r="C16" s="44">
        <f t="shared" ref="C16:F16" si="0">C14+C15</f>
        <v>11782.539101072498</v>
      </c>
      <c r="D16" s="44">
        <f t="shared" si="0"/>
        <v>13805.559781272044</v>
      </c>
      <c r="E16" s="44">
        <f t="shared" si="0"/>
        <v>16211.979304668375</v>
      </c>
      <c r="F16" s="44">
        <f t="shared" si="0"/>
        <v>19077.703861634895</v>
      </c>
      <c r="G16" s="38"/>
      <c r="H16" s="38"/>
      <c r="T16" s="501"/>
    </row>
    <row r="17" spans="1:21" x14ac:dyDescent="0.2">
      <c r="A17" s="147" t="s">
        <v>229</v>
      </c>
      <c r="B17" s="40">
        <f>-B16*'Proforma Statements'!$R$25</f>
        <v>-1275.3654943618521</v>
      </c>
      <c r="C17" s="40">
        <f>-C16*'Proforma Statements'!$R$25</f>
        <v>-1490.8040026853835</v>
      </c>
      <c r="D17" s="40">
        <f>-D16*'Proforma Statements'!$R$25</f>
        <v>-1746.7698264934513</v>
      </c>
      <c r="E17" s="40">
        <f>-E16*'Proforma Statements'!$R$25</f>
        <v>-2051.2457825539709</v>
      </c>
      <c r="F17" s="40">
        <f>-F16*'Proforma Statements'!$R$25</f>
        <v>-2413.8360191296006</v>
      </c>
      <c r="G17" s="38"/>
      <c r="H17" s="38"/>
      <c r="I17" s="3" t="s">
        <v>615</v>
      </c>
      <c r="J17" s="501">
        <v>2013</v>
      </c>
      <c r="K17" s="501">
        <v>2014</v>
      </c>
      <c r="L17" s="501">
        <v>2015</v>
      </c>
      <c r="M17" s="501">
        <v>2016</v>
      </c>
      <c r="N17" s="501">
        <v>2017</v>
      </c>
      <c r="O17" s="501">
        <v>2018</v>
      </c>
      <c r="P17" s="501">
        <v>2019</v>
      </c>
      <c r="Q17" s="501">
        <v>2020</v>
      </c>
      <c r="R17" s="501">
        <v>2021</v>
      </c>
      <c r="S17" s="501">
        <v>2022</v>
      </c>
      <c r="T17" s="164" t="s">
        <v>619</v>
      </c>
    </row>
    <row r="18" spans="1:21" x14ac:dyDescent="0.2">
      <c r="A18" s="147" t="s">
        <v>224</v>
      </c>
      <c r="B18" s="40">
        <f>P10</f>
        <v>-1596.3386248888812</v>
      </c>
      <c r="C18" s="40">
        <f>Q10</f>
        <v>-1890.3210654253833</v>
      </c>
      <c r="D18" s="40">
        <f>R10</f>
        <v>-2239.0263858499179</v>
      </c>
      <c r="E18" s="40">
        <f>S10</f>
        <v>-2652.7583283528861</v>
      </c>
      <c r="F18" s="40">
        <f>T10</f>
        <v>-3143.7841294041527</v>
      </c>
      <c r="I18" s="3" t="s">
        <v>617</v>
      </c>
      <c r="J18" s="501">
        <v>974</v>
      </c>
      <c r="K18" s="501">
        <v>1214</v>
      </c>
      <c r="L18" s="501">
        <v>1219</v>
      </c>
      <c r="M18" s="501">
        <v>1368</v>
      </c>
      <c r="N18" s="501">
        <v>1444</v>
      </c>
      <c r="O18" s="501">
        <v>2094</v>
      </c>
      <c r="P18" s="501">
        <v>2564</v>
      </c>
      <c r="Q18" s="501">
        <v>3235</v>
      </c>
      <c r="R18" s="501">
        <v>4732</v>
      </c>
      <c r="S18" s="501">
        <v>6747</v>
      </c>
      <c r="T18" s="501"/>
    </row>
    <row r="19" spans="1:21" x14ac:dyDescent="0.2">
      <c r="A19" s="147" t="s">
        <v>225</v>
      </c>
      <c r="B19" s="40">
        <f>-P14</f>
        <v>1461.4538981272144</v>
      </c>
      <c r="C19" s="40">
        <f>-Q14</f>
        <v>-1523.2541243710384</v>
      </c>
      <c r="D19" s="40">
        <f>-R14</f>
        <v>-1807.0573384088275</v>
      </c>
      <c r="E19" s="40">
        <f>-S14</f>
        <v>-2144.3494467199944</v>
      </c>
      <c r="F19" s="40">
        <f>-T14</f>
        <v>-2545.3335558582967</v>
      </c>
      <c r="I19" s="3" t="s">
        <v>618</v>
      </c>
      <c r="J19" s="501">
        <v>882.029</v>
      </c>
      <c r="K19" s="501">
        <v>1074.0350000000001</v>
      </c>
      <c r="L19" s="501">
        <v>1068.077</v>
      </c>
      <c r="M19" s="501">
        <v>1105.7629999999999</v>
      </c>
      <c r="N19" s="501">
        <v>1259.7</v>
      </c>
      <c r="O19" s="501">
        <v>1575.9</v>
      </c>
      <c r="P19" s="501">
        <v>1968.5</v>
      </c>
      <c r="Q19" s="501">
        <v>2200.8000000000002</v>
      </c>
      <c r="R19" s="501">
        <v>2547</v>
      </c>
      <c r="S19" s="501">
        <f>-'Proforma Statements'!H17</f>
        <v>3253.5</v>
      </c>
      <c r="T19" s="501"/>
    </row>
    <row r="20" spans="1:21" ht="17" thickBot="1" x14ac:dyDescent="0.25">
      <c r="A20" s="41" t="s">
        <v>247</v>
      </c>
      <c r="B20" s="45">
        <f>B16+B17+B18+B19</f>
        <v>8669.5750130514534</v>
      </c>
      <c r="C20" s="45">
        <f t="shared" ref="C20:F20" si="1">C16+C17+C18+C19</f>
        <v>6878.1599085906928</v>
      </c>
      <c r="D20" s="45">
        <f t="shared" si="1"/>
        <v>8012.7062305198469</v>
      </c>
      <c r="E20" s="45">
        <f t="shared" si="1"/>
        <v>9363.6257470415239</v>
      </c>
      <c r="F20" s="45">
        <f t="shared" si="1"/>
        <v>10974.750157242843</v>
      </c>
      <c r="I20" s="3" t="s">
        <v>461</v>
      </c>
      <c r="J20" s="501">
        <f t="shared" ref="J20:S20" si="2">SUM(J18:J19)</f>
        <v>1856.029</v>
      </c>
      <c r="K20" s="501">
        <f t="shared" si="2"/>
        <v>2288.0349999999999</v>
      </c>
      <c r="L20" s="501">
        <f t="shared" si="2"/>
        <v>2287.0770000000002</v>
      </c>
      <c r="M20" s="501">
        <f t="shared" si="2"/>
        <v>2473.7629999999999</v>
      </c>
      <c r="N20" s="501">
        <f t="shared" si="2"/>
        <v>2703.7</v>
      </c>
      <c r="O20" s="501">
        <f t="shared" si="2"/>
        <v>3669.9</v>
      </c>
      <c r="P20" s="501">
        <f t="shared" si="2"/>
        <v>4532.5</v>
      </c>
      <c r="Q20" s="501">
        <f t="shared" si="2"/>
        <v>5435.8</v>
      </c>
      <c r="R20" s="501">
        <f t="shared" si="2"/>
        <v>7279</v>
      </c>
      <c r="S20" s="501">
        <f t="shared" si="2"/>
        <v>10000.5</v>
      </c>
      <c r="T20" s="501"/>
      <c r="U20" s="501"/>
    </row>
    <row r="21" spans="1:21" ht="17" thickTop="1" x14ac:dyDescent="0.2">
      <c r="A21" s="38"/>
      <c r="B21" s="38"/>
      <c r="C21" s="38"/>
      <c r="D21" s="38"/>
      <c r="E21" s="38"/>
      <c r="F21" s="38"/>
      <c r="I21" s="3" t="s">
        <v>613</v>
      </c>
      <c r="J21" s="501"/>
      <c r="K21" s="511">
        <f t="shared" ref="K21:S21" si="3">LN(K20/J20)</f>
        <v>0.20925411136140787</v>
      </c>
      <c r="L21" s="511">
        <f t="shared" si="3"/>
        <v>-4.1878756804245276E-4</v>
      </c>
      <c r="M21" s="511">
        <f t="shared" si="3"/>
        <v>7.8465890064908408E-2</v>
      </c>
      <c r="N21" s="511">
        <f t="shared" si="3"/>
        <v>8.8880732179896588E-2</v>
      </c>
      <c r="O21" s="511">
        <f t="shared" si="3"/>
        <v>0.3055432084587334</v>
      </c>
      <c r="P21" s="511">
        <f t="shared" si="3"/>
        <v>0.21110924990802579</v>
      </c>
      <c r="Q21" s="511">
        <f t="shared" si="3"/>
        <v>0.18173304020654887</v>
      </c>
      <c r="R21" s="511">
        <f t="shared" si="3"/>
        <v>0.29198678628270297</v>
      </c>
      <c r="S21" s="511">
        <f t="shared" si="3"/>
        <v>0.31764160160796651</v>
      </c>
      <c r="T21" s="527">
        <f>M21</f>
        <v>7.8465890064908408E-2</v>
      </c>
    </row>
    <row r="22" spans="1:21" x14ac:dyDescent="0.2">
      <c r="A22" s="579" t="s">
        <v>218</v>
      </c>
      <c r="B22" s="579"/>
      <c r="C22" s="579"/>
      <c r="D22" s="579"/>
      <c r="E22" s="579"/>
      <c r="F22" s="579"/>
      <c r="G22" s="38"/>
      <c r="H22" s="38"/>
      <c r="I22" s="3" t="s">
        <v>574</v>
      </c>
      <c r="J22" s="501">
        <f t="shared" ref="J22:S22" si="4">J20*$J$30</f>
        <v>92.801450000000003</v>
      </c>
      <c r="K22" s="501">
        <f t="shared" si="4"/>
        <v>114.40174999999999</v>
      </c>
      <c r="L22" s="501">
        <f t="shared" si="4"/>
        <v>114.35385000000002</v>
      </c>
      <c r="M22" s="501">
        <f t="shared" si="4"/>
        <v>123.68815000000001</v>
      </c>
      <c r="N22" s="501">
        <f t="shared" si="4"/>
        <v>135.185</v>
      </c>
      <c r="O22" s="501">
        <f t="shared" si="4"/>
        <v>183.495</v>
      </c>
      <c r="P22" s="501">
        <f t="shared" si="4"/>
        <v>226.625</v>
      </c>
      <c r="Q22" s="501">
        <f t="shared" si="4"/>
        <v>271.79000000000002</v>
      </c>
      <c r="R22" s="501">
        <f t="shared" si="4"/>
        <v>363.95000000000005</v>
      </c>
      <c r="S22" s="501">
        <f t="shared" si="4"/>
        <v>500.02500000000003</v>
      </c>
      <c r="T22" s="513">
        <f>(S22*(1+T21))/(J33-T21)</f>
        <v>27302.303835647879</v>
      </c>
    </row>
    <row r="23" spans="1:21" x14ac:dyDescent="0.2">
      <c r="A23" s="39" t="s">
        <v>219</v>
      </c>
      <c r="B23" s="39">
        <v>2023</v>
      </c>
      <c r="C23" s="39">
        <v>2024</v>
      </c>
      <c r="D23" s="39">
        <v>2025</v>
      </c>
      <c r="E23" s="39">
        <v>2026</v>
      </c>
      <c r="F23" s="39">
        <v>2027</v>
      </c>
      <c r="G23" s="38"/>
      <c r="H23" s="38"/>
      <c r="I23" s="3" t="s">
        <v>612</v>
      </c>
      <c r="J23" s="501">
        <v>1357</v>
      </c>
      <c r="K23" s="501">
        <v>1859</v>
      </c>
      <c r="L23" s="501">
        <v>2014</v>
      </c>
      <c r="M23" s="501">
        <v>2662</v>
      </c>
      <c r="N23" s="501">
        <v>3128</v>
      </c>
      <c r="O23" s="501">
        <v>4006</v>
      </c>
      <c r="P23" s="501">
        <v>3761</v>
      </c>
      <c r="Q23" s="501">
        <v>5177</v>
      </c>
      <c r="R23" s="501">
        <v>8478</v>
      </c>
      <c r="S23" s="501">
        <v>10681</v>
      </c>
      <c r="T23" s="501"/>
    </row>
    <row r="24" spans="1:21" x14ac:dyDescent="0.2">
      <c r="A24" s="38" t="s">
        <v>220</v>
      </c>
      <c r="B24" s="40">
        <f>'Proforma Statements'!S20+B10+B12</f>
        <v>9322.3098092019427</v>
      </c>
      <c r="C24" s="40">
        <f>'Proforma Statements'!T20+C10+C12</f>
        <v>10831.254541975406</v>
      </c>
      <c r="D24" s="40">
        <f>'Proforma Statements'!U20+D10+D12</f>
        <v>12610.940790630673</v>
      </c>
      <c r="E24" s="40">
        <f>'Proforma Statements'!V20+E10+E12</f>
        <v>14711.78199866401</v>
      </c>
      <c r="F24" s="40">
        <f>'Proforma Statements'!W20+F10+F12</f>
        <v>17193.762643075785</v>
      </c>
      <c r="G24" s="38"/>
      <c r="H24" s="38"/>
      <c r="I24" s="3" t="s">
        <v>616</v>
      </c>
      <c r="J24" s="501">
        <v>3068.0639999999999</v>
      </c>
      <c r="K24" s="501">
        <v>3259.9029999999998</v>
      </c>
      <c r="L24" s="501">
        <v>3391.6309999999999</v>
      </c>
      <c r="M24" s="501">
        <v>3750.2719999999999</v>
      </c>
      <c r="N24" s="501">
        <v>4976.1000000000004</v>
      </c>
      <c r="O24" s="501">
        <v>5914.8</v>
      </c>
      <c r="P24" s="501">
        <v>6540.2</v>
      </c>
      <c r="Q24" s="501">
        <v>7181.3</v>
      </c>
      <c r="R24" s="501">
        <v>8802</v>
      </c>
      <c r="S24" s="501">
        <f>-'Proforma Statements'!H13</f>
        <v>10473.299999999999</v>
      </c>
      <c r="T24" s="501"/>
    </row>
    <row r="25" spans="1:21" x14ac:dyDescent="0.2">
      <c r="A25" s="147" t="s">
        <v>221</v>
      </c>
      <c r="B25" s="40">
        <f>-B24*'Proforma Statements'!$R$25</f>
        <v>-1179.5196823549211</v>
      </c>
      <c r="C25" s="40">
        <f>-C24*'Proforma Statements'!$R$25</f>
        <v>-1370.441250970377</v>
      </c>
      <c r="D25" s="40">
        <f>-D24*'Proforma Statements'!$R$25</f>
        <v>-1595.6188090722555</v>
      </c>
      <c r="E25" s="40">
        <f>-E24*'Proforma Statements'!$R$25</f>
        <v>-1861.4309956541283</v>
      </c>
      <c r="F25" s="40">
        <f>-F24*'Proforma Statements'!$R$25</f>
        <v>-2175.4674395425191</v>
      </c>
      <c r="G25" s="38"/>
      <c r="H25" s="38"/>
      <c r="I25" s="3" t="s">
        <v>461</v>
      </c>
      <c r="J25" s="501">
        <f t="shared" ref="J25:S25" si="5">SUM(J23:J24)</f>
        <v>4425.0640000000003</v>
      </c>
      <c r="K25" s="501">
        <f t="shared" si="5"/>
        <v>5118.9030000000002</v>
      </c>
      <c r="L25" s="501">
        <f t="shared" si="5"/>
        <v>5405.6309999999994</v>
      </c>
      <c r="M25" s="501">
        <f t="shared" si="5"/>
        <v>6412.2719999999999</v>
      </c>
      <c r="N25" s="501">
        <f t="shared" si="5"/>
        <v>8104.1</v>
      </c>
      <c r="O25" s="501">
        <f t="shared" si="5"/>
        <v>9920.7999999999993</v>
      </c>
      <c r="P25" s="501">
        <f t="shared" si="5"/>
        <v>10301.200000000001</v>
      </c>
      <c r="Q25" s="501">
        <f t="shared" si="5"/>
        <v>12358.3</v>
      </c>
      <c r="R25" s="501">
        <f t="shared" si="5"/>
        <v>17280</v>
      </c>
      <c r="S25" s="501">
        <f t="shared" si="5"/>
        <v>21154.3</v>
      </c>
      <c r="T25" s="501"/>
    </row>
    <row r="26" spans="1:21" x14ac:dyDescent="0.2">
      <c r="A26" s="38" t="s">
        <v>222</v>
      </c>
      <c r="B26" s="40">
        <f>B24+B25</f>
        <v>8142.7901268470214</v>
      </c>
      <c r="C26" s="40">
        <f>C24+C25</f>
        <v>9460.8132910050299</v>
      </c>
      <c r="D26" s="40">
        <f t="shared" ref="D26:F26" si="6">D24+D25</f>
        <v>11015.321981558418</v>
      </c>
      <c r="E26" s="40">
        <f t="shared" si="6"/>
        <v>12850.351003009881</v>
      </c>
      <c r="F26" s="40">
        <f t="shared" si="6"/>
        <v>15018.295203533266</v>
      </c>
      <c r="G26" s="38"/>
      <c r="H26" s="38"/>
      <c r="I26" s="3" t="s">
        <v>614</v>
      </c>
      <c r="J26" s="501"/>
      <c r="K26" s="511">
        <f>LN(K25/J25)</f>
        <v>0.14565541665029538</v>
      </c>
      <c r="L26" s="511">
        <f t="shared" ref="L26:S26" si="7">LN(L25/K25)</f>
        <v>5.4501029750499114E-2</v>
      </c>
      <c r="M26" s="511">
        <f t="shared" si="7"/>
        <v>0.17077246627628745</v>
      </c>
      <c r="N26" s="511">
        <f t="shared" si="7"/>
        <v>0.23415645214642158</v>
      </c>
      <c r="O26" s="511">
        <f t="shared" si="7"/>
        <v>0.20226345675078525</v>
      </c>
      <c r="P26" s="511">
        <f t="shared" si="7"/>
        <v>3.7626830097370077E-2</v>
      </c>
      <c r="Q26" s="511">
        <f t="shared" si="7"/>
        <v>0.18206750881311909</v>
      </c>
      <c r="R26" s="511">
        <f t="shared" si="7"/>
        <v>0.33522186125899489</v>
      </c>
      <c r="S26" s="511">
        <f t="shared" si="7"/>
        <v>0.20229343114443402</v>
      </c>
      <c r="T26" s="527">
        <f>P26</f>
        <v>3.7626830097370077E-2</v>
      </c>
    </row>
    <row r="27" spans="1:21" x14ac:dyDescent="0.2">
      <c r="A27" s="147" t="s">
        <v>223</v>
      </c>
      <c r="B27" s="11">
        <f>P8</f>
        <v>757.51542497302808</v>
      </c>
      <c r="C27" s="11">
        <f>Q8</f>
        <v>951.28455909709169</v>
      </c>
      <c r="D27" s="11">
        <f>R8</f>
        <v>1194.6189906413711</v>
      </c>
      <c r="E27" s="11">
        <f>S8</f>
        <v>1500.1973060043661</v>
      </c>
      <c r="F27" s="11">
        <f>T8</f>
        <v>1883.9412185591093</v>
      </c>
      <c r="G27" s="38"/>
      <c r="H27" s="38"/>
      <c r="I27" s="3" t="s">
        <v>574</v>
      </c>
      <c r="J27" s="501">
        <f t="shared" ref="J27:S27" si="8">J25*$J$31</f>
        <v>221.25320000000002</v>
      </c>
      <c r="K27" s="501">
        <f t="shared" si="8"/>
        <v>255.94515000000001</v>
      </c>
      <c r="L27" s="501">
        <f t="shared" si="8"/>
        <v>270.28154999999998</v>
      </c>
      <c r="M27" s="501">
        <f t="shared" si="8"/>
        <v>320.61360000000002</v>
      </c>
      <c r="N27" s="501">
        <f t="shared" si="8"/>
        <v>405.20500000000004</v>
      </c>
      <c r="O27" s="501">
        <f t="shared" si="8"/>
        <v>496.03999999999996</v>
      </c>
      <c r="P27" s="501">
        <f t="shared" si="8"/>
        <v>515.06000000000006</v>
      </c>
      <c r="Q27" s="501">
        <f t="shared" si="8"/>
        <v>617.91499999999996</v>
      </c>
      <c r="R27" s="501">
        <f t="shared" si="8"/>
        <v>864</v>
      </c>
      <c r="S27" s="501">
        <f t="shared" si="8"/>
        <v>1057.7149999999999</v>
      </c>
      <c r="T27" s="513">
        <f>(S27*(1+T26))/(J33-T26)</f>
        <v>18113.62182307084</v>
      </c>
    </row>
    <row r="28" spans="1:21" x14ac:dyDescent="0.2">
      <c r="A28" s="147" t="s">
        <v>224</v>
      </c>
      <c r="B28" s="40">
        <f>P10</f>
        <v>-1596.3386248888812</v>
      </c>
      <c r="C28" s="40">
        <f>Q10</f>
        <v>-1890.3210654253833</v>
      </c>
      <c r="D28" s="40">
        <f>R10</f>
        <v>-2239.0263858499179</v>
      </c>
      <c r="E28" s="40">
        <f>S10</f>
        <v>-2652.7583283528861</v>
      </c>
      <c r="F28" s="40">
        <f>T10</f>
        <v>-3143.7841294041527</v>
      </c>
      <c r="G28" s="38"/>
      <c r="H28" s="38"/>
      <c r="T28" s="501"/>
    </row>
    <row r="29" spans="1:21" x14ac:dyDescent="0.2">
      <c r="A29" s="147" t="s">
        <v>225</v>
      </c>
      <c r="B29" s="40">
        <f>-P14</f>
        <v>1461.4538981272144</v>
      </c>
      <c r="C29" s="40">
        <f>-Q14</f>
        <v>-1523.2541243710384</v>
      </c>
      <c r="D29" s="40">
        <f>-R14</f>
        <v>-1807.0573384088275</v>
      </c>
      <c r="E29" s="40">
        <f>-S14</f>
        <v>-2144.3494467199944</v>
      </c>
      <c r="F29" s="40">
        <f>-T14</f>
        <v>-2545.3335558582967</v>
      </c>
      <c r="G29" s="38"/>
      <c r="H29" s="38"/>
      <c r="K29" s="164" t="s">
        <v>588</v>
      </c>
      <c r="L29" s="501"/>
      <c r="M29" s="501"/>
      <c r="N29" s="501"/>
      <c r="O29" s="501"/>
      <c r="P29" s="501"/>
      <c r="Q29" s="501"/>
      <c r="R29" s="501"/>
      <c r="S29" s="501"/>
      <c r="T29" s="501"/>
    </row>
    <row r="30" spans="1:21" x14ac:dyDescent="0.2">
      <c r="A30" s="148" t="s">
        <v>308</v>
      </c>
      <c r="B30" s="40">
        <v>753.8</v>
      </c>
      <c r="C30" s="40">
        <v>2</v>
      </c>
      <c r="D30" s="40">
        <v>2</v>
      </c>
      <c r="E30" s="40">
        <v>1002</v>
      </c>
      <c r="F30" s="40">
        <v>752</v>
      </c>
      <c r="G30" s="38"/>
      <c r="H30" s="38"/>
      <c r="I30" s="164" t="s">
        <v>620</v>
      </c>
      <c r="J30" s="527">
        <v>0.05</v>
      </c>
      <c r="K30" s="122">
        <f>J30/4</f>
        <v>1.2500000000000001E-2</v>
      </c>
      <c r="L30" s="501"/>
      <c r="M30" s="501"/>
      <c r="N30" s="501"/>
      <c r="O30" s="501"/>
      <c r="P30" s="501"/>
      <c r="Q30" s="501"/>
      <c r="R30" s="501"/>
      <c r="S30" s="501"/>
      <c r="T30" s="501"/>
    </row>
    <row r="31" spans="1:21" x14ac:dyDescent="0.2">
      <c r="A31" s="147" t="s">
        <v>226</v>
      </c>
      <c r="B31" s="40">
        <v>0</v>
      </c>
      <c r="C31" s="40">
        <v>0</v>
      </c>
      <c r="D31" s="40">
        <v>0</v>
      </c>
      <c r="E31" s="40">
        <v>0</v>
      </c>
      <c r="F31" s="40">
        <v>0</v>
      </c>
      <c r="G31" s="38"/>
      <c r="H31" s="38"/>
      <c r="I31" s="164" t="s">
        <v>621</v>
      </c>
      <c r="J31" s="511">
        <v>0.05</v>
      </c>
      <c r="K31" s="122">
        <f>J31/4</f>
        <v>1.2500000000000001E-2</v>
      </c>
      <c r="L31" s="501"/>
      <c r="M31" s="501"/>
      <c r="N31" s="501"/>
      <c r="O31" s="501"/>
      <c r="P31" s="501"/>
      <c r="Q31" s="501"/>
      <c r="R31" s="501"/>
      <c r="S31" s="501"/>
      <c r="T31" s="501"/>
    </row>
    <row r="32" spans="1:21" ht="17" thickBot="1" x14ac:dyDescent="0.25">
      <c r="A32" s="41" t="s">
        <v>246</v>
      </c>
      <c r="B32" s="42">
        <f>B26+B27+B28+B29+B30+B31</f>
        <v>9519.2208250583826</v>
      </c>
      <c r="C32" s="42">
        <f t="shared" ref="C32:F32" si="9">C26+C27+C28+C29+C30+C31</f>
        <v>7000.5226603056999</v>
      </c>
      <c r="D32" s="42">
        <f t="shared" si="9"/>
        <v>8165.8572479410432</v>
      </c>
      <c r="E32" s="42">
        <f t="shared" si="9"/>
        <v>10555.440533941366</v>
      </c>
      <c r="F32" s="42">
        <f t="shared" si="9"/>
        <v>11965.118736829923</v>
      </c>
      <c r="G32" s="38"/>
      <c r="H32" s="38"/>
      <c r="I32" s="3" t="s">
        <v>577</v>
      </c>
      <c r="L32" s="501"/>
      <c r="M32" s="501"/>
      <c r="N32" s="501"/>
      <c r="O32" s="501"/>
      <c r="P32" s="501"/>
      <c r="Q32" s="501"/>
      <c r="R32" s="501"/>
      <c r="S32" s="501"/>
      <c r="T32" s="501"/>
    </row>
    <row r="33" spans="1:34" ht="17" thickTop="1" x14ac:dyDescent="0.2">
      <c r="A33" s="38"/>
      <c r="B33" s="38"/>
      <c r="C33" s="38"/>
      <c r="D33" s="38"/>
      <c r="E33" s="38"/>
      <c r="F33" s="38"/>
      <c r="G33" s="38"/>
      <c r="H33" s="38"/>
      <c r="I33" s="3" t="s">
        <v>284</v>
      </c>
      <c r="J33" s="126">
        <f>WACC!G9</f>
        <v>9.8217333383607719E-2</v>
      </c>
      <c r="K33" s="522">
        <f>J33/27</f>
        <v>3.6376790142076932E-3</v>
      </c>
      <c r="L33" s="501"/>
      <c r="M33" s="501"/>
      <c r="N33" s="501"/>
      <c r="O33" s="501"/>
      <c r="P33" s="501"/>
      <c r="Q33" s="501"/>
      <c r="R33" s="501"/>
      <c r="S33" s="501"/>
      <c r="T33" s="501"/>
    </row>
    <row r="34" spans="1:34" x14ac:dyDescent="0.2">
      <c r="A34" s="38"/>
      <c r="B34" s="38"/>
      <c r="C34" s="38"/>
      <c r="D34" s="38"/>
      <c r="E34" s="38"/>
      <c r="F34" s="38"/>
      <c r="G34" s="38"/>
      <c r="H34" s="38"/>
      <c r="I34" s="3" t="s">
        <v>293</v>
      </c>
      <c r="J34" s="126">
        <f>'Cost of Equity'!B32</f>
        <v>9.9670879833346951E-2</v>
      </c>
      <c r="K34" s="522">
        <f>J34/27</f>
        <v>3.6915140679017388E-3</v>
      </c>
      <c r="L34" s="501"/>
      <c r="M34" s="501"/>
      <c r="N34" s="501"/>
      <c r="O34" s="501"/>
      <c r="P34" s="501"/>
      <c r="Q34" s="501"/>
      <c r="R34" s="501"/>
      <c r="S34" s="501"/>
      <c r="T34" s="501"/>
    </row>
    <row r="35" spans="1:34" x14ac:dyDescent="0.2">
      <c r="A35" s="46"/>
      <c r="B35" s="46"/>
      <c r="C35" s="46"/>
      <c r="D35" s="46"/>
      <c r="E35" s="46"/>
      <c r="F35" s="46"/>
      <c r="H35" s="38"/>
      <c r="I35" s="3" t="s">
        <v>578</v>
      </c>
      <c r="J35" s="139">
        <f>'Terminal Growth'!G57</f>
        <v>5.951962974691663E-2</v>
      </c>
      <c r="K35" s="522">
        <f>J35/27</f>
        <v>2.2044307313672826E-3</v>
      </c>
      <c r="M35" s="501"/>
      <c r="N35" s="501"/>
      <c r="O35" s="501"/>
      <c r="P35" s="501"/>
      <c r="Q35" s="501"/>
      <c r="R35" s="501"/>
      <c r="S35" s="501"/>
      <c r="T35" s="501"/>
    </row>
    <row r="36" spans="1:34" x14ac:dyDescent="0.2">
      <c r="A36" s="38" t="s">
        <v>351</v>
      </c>
      <c r="B36" s="77">
        <f>('Proforma Statements'!S30-'Proforma Statements'!H30)/'Proforma Statements'!H30</f>
        <v>0.21409081961655954</v>
      </c>
      <c r="C36" s="139">
        <f>('Proforma Statements'!T30-'Proforma Statements'!S30)/'Proforma Statements'!S30</f>
        <v>0.18416045064183395</v>
      </c>
      <c r="D36" s="139">
        <f>('Proforma Statements'!U30-'Proforma Statements'!T30)/'Proforma Statements'!T30</f>
        <v>0.18446883273030912</v>
      </c>
      <c r="E36" s="139">
        <f>('Proforma Statements'!V30-'Proforma Statements'!U30)/'Proforma Statements'!U30</f>
        <v>0.1847820754224469</v>
      </c>
      <c r="F36" s="139">
        <f>('Proforma Statements'!W30-'Proforma Statements'!V30)/'Proforma Statements'!V30</f>
        <v>0.18510008838843126</v>
      </c>
      <c r="H36" s="38"/>
      <c r="M36" s="501"/>
      <c r="N36" s="501"/>
      <c r="O36" s="501"/>
      <c r="P36" s="501"/>
      <c r="Q36" s="501"/>
      <c r="R36" s="501"/>
      <c r="S36" s="501"/>
      <c r="T36" s="501"/>
    </row>
    <row r="37" spans="1:34" x14ac:dyDescent="0.2">
      <c r="A37" s="38" t="s">
        <v>321</v>
      </c>
      <c r="B37" s="145"/>
      <c r="C37" s="145"/>
      <c r="D37" s="145"/>
      <c r="E37" s="145"/>
      <c r="F37" s="145">
        <f>(F32*(1+J35))/(WACC!G8-'Income Approach with Synergies'!J35)</f>
        <v>332392.94378739776</v>
      </c>
      <c r="G37" s="38"/>
      <c r="H37" s="38"/>
      <c r="I37" s="38"/>
      <c r="K37" s="501"/>
      <c r="L37" s="501"/>
      <c r="M37" s="501"/>
      <c r="N37" s="501"/>
      <c r="O37" s="501"/>
      <c r="P37" s="501"/>
      <c r="Q37" s="501"/>
      <c r="R37" s="501"/>
      <c r="S37" s="501"/>
      <c r="T37" s="501"/>
    </row>
    <row r="38" spans="1:34" x14ac:dyDescent="0.2">
      <c r="A38" s="38" t="s">
        <v>322</v>
      </c>
      <c r="B38" s="145"/>
      <c r="C38" s="145"/>
      <c r="D38" s="145"/>
      <c r="E38" s="145"/>
      <c r="F38" s="145">
        <f>(F20*(1+J35))/(J33-'Income Approach with Synergies'!J35)</f>
        <v>300481.99583971803</v>
      </c>
      <c r="G38" s="38"/>
      <c r="H38" s="38"/>
      <c r="K38" s="501"/>
      <c r="L38" s="501"/>
      <c r="M38" s="501"/>
      <c r="N38" s="501"/>
      <c r="O38" s="501"/>
      <c r="P38" s="501"/>
      <c r="Q38" s="501"/>
      <c r="R38" s="501"/>
      <c r="S38" s="501"/>
      <c r="T38" s="501"/>
    </row>
    <row r="39" spans="1:34" x14ac:dyDescent="0.2">
      <c r="A39" s="144" t="s">
        <v>320</v>
      </c>
      <c r="B39" s="146">
        <f>B32</f>
        <v>9519.2208250583826</v>
      </c>
      <c r="C39" s="146">
        <f>C32</f>
        <v>7000.5226603056999</v>
      </c>
      <c r="D39" s="146">
        <f>D32</f>
        <v>8165.8572479410432</v>
      </c>
      <c r="E39" s="146">
        <f>E32</f>
        <v>10555.440533941366</v>
      </c>
      <c r="F39" s="146">
        <f>F32+F37</f>
        <v>344358.06252422766</v>
      </c>
      <c r="G39" s="38"/>
      <c r="H39" s="38"/>
      <c r="I39" s="3" t="s">
        <v>587</v>
      </c>
      <c r="K39" s="501"/>
      <c r="L39" s="501"/>
      <c r="M39" s="501"/>
      <c r="N39" s="501"/>
      <c r="O39" s="501"/>
      <c r="P39" s="501"/>
      <c r="Q39" s="501"/>
      <c r="R39" s="501"/>
      <c r="S39" s="501"/>
      <c r="T39" s="501"/>
    </row>
    <row r="40" spans="1:34" x14ac:dyDescent="0.2">
      <c r="A40" s="144" t="s">
        <v>324</v>
      </c>
      <c r="B40" s="146">
        <f>B20</f>
        <v>8669.5750130514534</v>
      </c>
      <c r="C40" s="146">
        <f>C20</f>
        <v>6878.1599085906928</v>
      </c>
      <c r="D40" s="146">
        <f>D20</f>
        <v>8012.7062305198469</v>
      </c>
      <c r="E40" s="146">
        <f>E20</f>
        <v>9363.6257470415239</v>
      </c>
      <c r="F40" s="146">
        <f>F20+F38</f>
        <v>311456.74599696085</v>
      </c>
      <c r="G40" s="38"/>
      <c r="K40" s="576" t="s">
        <v>593</v>
      </c>
      <c r="L40" s="576"/>
      <c r="M40" s="576"/>
      <c r="N40" s="576"/>
      <c r="O40" s="576"/>
      <c r="P40" s="576"/>
      <c r="Q40" s="576"/>
      <c r="R40" s="576"/>
      <c r="S40" s="576"/>
      <c r="T40" s="501"/>
    </row>
    <row r="41" spans="1:34" x14ac:dyDescent="0.2">
      <c r="A41" s="38"/>
      <c r="B41" s="38"/>
      <c r="C41" s="38"/>
      <c r="D41" s="38"/>
      <c r="E41" s="38"/>
      <c r="F41" s="38"/>
      <c r="G41" s="38"/>
      <c r="I41" s="3" t="s">
        <v>231</v>
      </c>
      <c r="J41" s="11">
        <f>B50</f>
        <v>686.58271674025264</v>
      </c>
      <c r="K41" s="521">
        <f>L41+$K$34</f>
        <v>0.11443693610495388</v>
      </c>
      <c r="L41" s="521">
        <f>M41+$K$34</f>
        <v>0.11074542203705215</v>
      </c>
      <c r="M41" s="521">
        <f>N41+$K$34</f>
        <v>0.10705390796915042</v>
      </c>
      <c r="N41" s="521">
        <f>O41+$K$34</f>
        <v>0.10336239390124868</v>
      </c>
      <c r="O41" s="521">
        <v>9.9670879833346951E-2</v>
      </c>
      <c r="P41" s="521">
        <f>O41-$K$34</f>
        <v>9.5979365765445218E-2</v>
      </c>
      <c r="Q41" s="521">
        <f>P41-$K$34</f>
        <v>9.2287851697543485E-2</v>
      </c>
      <c r="R41" s="521">
        <f>Q41-$K$34</f>
        <v>8.8596337629641753E-2</v>
      </c>
      <c r="S41" s="521">
        <f>R41-$K$34</f>
        <v>8.490482356174002E-2</v>
      </c>
      <c r="T41" s="501"/>
      <c r="AA41" s="38"/>
      <c r="AB41" s="38"/>
      <c r="AC41" s="38"/>
      <c r="AD41" s="38"/>
      <c r="AE41" s="38"/>
      <c r="AF41" s="38"/>
      <c r="AG41" s="38"/>
      <c r="AH41" s="38"/>
    </row>
    <row r="42" spans="1:34" x14ac:dyDescent="0.2">
      <c r="A42" s="574" t="s">
        <v>390</v>
      </c>
      <c r="B42" s="574"/>
      <c r="C42" s="574"/>
      <c r="D42" s="574"/>
      <c r="E42" s="574"/>
      <c r="F42" s="574"/>
      <c r="G42" s="574"/>
      <c r="I42" s="580" t="s">
        <v>594</v>
      </c>
      <c r="J42" s="126">
        <f>J43-$K$35</f>
        <v>5.0701906821447512E-2</v>
      </c>
      <c r="K42" s="513">
        <f t="dataTable" ref="K42:S50" dt2D="1" dtr="1" r1="J34" r2="J35" ca="1"/>
        <v>549.08720684309776</v>
      </c>
      <c r="L42" s="513">
        <v>552.65407651397743</v>
      </c>
      <c r="M42" s="513">
        <v>560.39941329965188</v>
      </c>
      <c r="N42" s="513">
        <v>568.17853144432547</v>
      </c>
      <c r="O42" s="513">
        <v>575.50731164836941</v>
      </c>
      <c r="P42" s="513">
        <v>582.38841892979326</v>
      </c>
      <c r="Q42" s="513">
        <v>588.86221732798492</v>
      </c>
      <c r="R42" s="513">
        <v>594.96552593374952</v>
      </c>
      <c r="S42" s="513">
        <v>600.73058881004556</v>
      </c>
      <c r="T42" s="501"/>
      <c r="AH42" s="38"/>
    </row>
    <row r="43" spans="1:34" x14ac:dyDescent="0.2">
      <c r="A43" s="38"/>
      <c r="B43" s="38" t="s">
        <v>231</v>
      </c>
      <c r="C43" s="38" t="s">
        <v>326</v>
      </c>
      <c r="E43" s="38"/>
      <c r="F43" s="38"/>
      <c r="G43" s="38"/>
      <c r="I43" s="580"/>
      <c r="J43" s="126">
        <f>J44-$K$35</f>
        <v>5.2906337552814792E-2</v>
      </c>
      <c r="K43" s="513">
        <v>585.86450931400736</v>
      </c>
      <c r="L43" s="513">
        <v>586.43787654244795</v>
      </c>
      <c r="M43" s="513">
        <v>594.3392669263983</v>
      </c>
      <c r="N43" s="513">
        <v>602.62383505304308</v>
      </c>
      <c r="O43" s="513">
        <v>610.45567905189068</v>
      </c>
      <c r="P43" s="513">
        <v>617.81035394123933</v>
      </c>
      <c r="Q43" s="513">
        <v>624.72981264393229</v>
      </c>
      <c r="R43" s="513">
        <v>631.25338520154412</v>
      </c>
      <c r="S43" s="513">
        <v>637.41551600791024</v>
      </c>
      <c r="T43" s="501"/>
      <c r="AH43" s="38"/>
    </row>
    <row r="44" spans="1:34" x14ac:dyDescent="0.2">
      <c r="A44" s="38" t="s">
        <v>232</v>
      </c>
      <c r="B44" s="145">
        <f>XNPV(J34,'Income Approach with Synergies'!B39:F39,'Income Approach with Synergies'!B7:F7)</f>
        <v>265991.62126262055</v>
      </c>
      <c r="C44" s="145">
        <f>XNPV(J33,'Income Approach with Synergies'!B40:F40,'Income Approach with Synergies'!B7:F7)</f>
        <v>242699.20500948597</v>
      </c>
      <c r="E44" s="145"/>
      <c r="F44" s="38"/>
      <c r="G44" s="38"/>
      <c r="I44" s="580"/>
      <c r="J44" s="126">
        <f>J45-$K$35</f>
        <v>5.5110768284182071E-2</v>
      </c>
      <c r="K44" s="513">
        <v>605.04123056619881</v>
      </c>
      <c r="L44" s="513">
        <v>605.63579396000523</v>
      </c>
      <c r="M44" s="513">
        <v>613.82933082284615</v>
      </c>
      <c r="N44" s="513">
        <v>622.42030952693915</v>
      </c>
      <c r="O44" s="513">
        <v>630.54190865521491</v>
      </c>
      <c r="P44" s="513">
        <v>638.16876185823548</v>
      </c>
      <c r="Q44" s="513">
        <v>645.34435942710013</v>
      </c>
      <c r="R44" s="513">
        <v>652.10947454758309</v>
      </c>
      <c r="S44" s="513">
        <v>658.49981623199744</v>
      </c>
      <c r="T44" s="501"/>
      <c r="AH44" s="38"/>
    </row>
    <row r="45" spans="1:34" x14ac:dyDescent="0.2">
      <c r="A45" s="38" t="s">
        <v>233</v>
      </c>
      <c r="B45" s="145">
        <f>'Balance Sheets (Original)'!$F$10</f>
        <v>7268.3</v>
      </c>
      <c r="C45" s="145">
        <f>'Balance Sheets (Original)'!$F$10</f>
        <v>7268.3</v>
      </c>
      <c r="E45" s="145"/>
      <c r="F45" s="38"/>
      <c r="G45" s="38"/>
      <c r="I45" s="580"/>
      <c r="J45" s="126">
        <f>J46-$K$35</f>
        <v>5.7315199015549351E-2</v>
      </c>
      <c r="K45" s="513">
        <v>629.65068864617808</v>
      </c>
      <c r="L45" s="513">
        <v>630.2724530477152</v>
      </c>
      <c r="M45" s="513">
        <v>638.84090105573694</v>
      </c>
      <c r="N45" s="513">
        <v>647.82509600163735</v>
      </c>
      <c r="O45" s="513">
        <v>656.31853745985802</v>
      </c>
      <c r="P45" s="513">
        <v>664.29467669110522</v>
      </c>
      <c r="Q45" s="513">
        <v>671.79897688889241</v>
      </c>
      <c r="R45" s="513">
        <v>678.8740632238148</v>
      </c>
      <c r="S45" s="513">
        <v>685.55726759121126</v>
      </c>
      <c r="T45" s="501"/>
      <c r="AH45" s="38"/>
    </row>
    <row r="46" spans="1:34" x14ac:dyDescent="0.2">
      <c r="A46" s="145" t="s">
        <v>234</v>
      </c>
      <c r="C46" s="145">
        <f>C44+C45</f>
        <v>249967.50500948596</v>
      </c>
      <c r="E46" s="145"/>
      <c r="F46" s="38"/>
      <c r="G46" s="38"/>
      <c r="I46" s="580"/>
      <c r="J46" s="525">
        <v>5.951962974691663E-2</v>
      </c>
      <c r="K46" s="513">
        <v>658.54450005070487</v>
      </c>
      <c r="L46" s="513">
        <v>659.19820098594494</v>
      </c>
      <c r="M46" s="513">
        <v>668.20682983367101</v>
      </c>
      <c r="N46" s="513">
        <v>677.65269751917617</v>
      </c>
      <c r="O46" s="513">
        <v>686.58271674025264</v>
      </c>
      <c r="P46" s="513">
        <v>694.96895052104298</v>
      </c>
      <c r="Q46" s="513">
        <v>702.85917842749393</v>
      </c>
      <c r="R46" s="513">
        <v>710.29820003403995</v>
      </c>
      <c r="S46" s="513">
        <v>717.32525265286927</v>
      </c>
      <c r="T46" s="501"/>
      <c r="AH46" s="38"/>
    </row>
    <row r="47" spans="1:34" x14ac:dyDescent="0.2">
      <c r="A47" s="145" t="s">
        <v>236</v>
      </c>
      <c r="B47" s="145"/>
      <c r="C47" s="145">
        <f>'Balance Sheets (Original)'!$F$38+'Balance Sheets (Original)'!$F$42</f>
        <v>4260.3999999999996</v>
      </c>
      <c r="E47" s="145"/>
      <c r="F47" s="38"/>
      <c r="G47" s="38"/>
      <c r="I47" s="580"/>
      <c r="J47" s="126">
        <f>J46+$K$35</f>
        <v>6.172406047828391E-2</v>
      </c>
      <c r="K47" s="513">
        <v>693.18769657798566</v>
      </c>
      <c r="L47" s="513">
        <v>693.8796888828889</v>
      </c>
      <c r="M47" s="513">
        <v>703.41608719390661</v>
      </c>
      <c r="N47" s="513">
        <v>713.41549277115973</v>
      </c>
      <c r="O47" s="513">
        <v>722.86896142665989</v>
      </c>
      <c r="P47" s="513">
        <v>731.74689171213413</v>
      </c>
      <c r="Q47" s="513">
        <v>740.09984048532613</v>
      </c>
      <c r="R47" s="513">
        <v>747.9752143945002</v>
      </c>
      <c r="S47" s="513">
        <v>755.41453531477237</v>
      </c>
      <c r="T47" s="501"/>
      <c r="AH47" s="38"/>
    </row>
    <row r="48" spans="1:34" x14ac:dyDescent="0.2">
      <c r="A48" s="145" t="s">
        <v>217</v>
      </c>
      <c r="B48" s="145">
        <f>B44+B45</f>
        <v>273259.92126262054</v>
      </c>
      <c r="C48" s="145">
        <f>C46-C47</f>
        <v>245707.10500948597</v>
      </c>
      <c r="E48" s="145"/>
      <c r="F48" s="48"/>
      <c r="G48" s="48"/>
      <c r="I48" s="580"/>
      <c r="J48" s="126">
        <f>J47+$K$35</f>
        <v>6.3928491209651189E-2</v>
      </c>
      <c r="K48" s="513">
        <v>735.46529104801675</v>
      </c>
      <c r="L48" s="513">
        <v>736.20401307651957</v>
      </c>
      <c r="M48" s="513">
        <v>746.38448657630181</v>
      </c>
      <c r="N48" s="513">
        <v>757.05941441642346</v>
      </c>
      <c r="O48" s="513">
        <v>767.15168621749126</v>
      </c>
      <c r="P48" s="513">
        <v>776.62966925534306</v>
      </c>
      <c r="Q48" s="513">
        <v>785.5473097174646</v>
      </c>
      <c r="R48" s="513">
        <v>793.95519585258285</v>
      </c>
      <c r="S48" s="513">
        <v>801.89763755293416</v>
      </c>
      <c r="T48" s="501"/>
      <c r="AH48" s="38"/>
    </row>
    <row r="49" spans="1:34" x14ac:dyDescent="0.2">
      <c r="A49" s="38" t="s">
        <v>235</v>
      </c>
      <c r="B49" s="38">
        <f>'Financial Statement Ratios'!G14</f>
        <v>398</v>
      </c>
      <c r="C49" s="38">
        <f>'Financial Statement Ratios'!G14</f>
        <v>398</v>
      </c>
      <c r="E49" s="38"/>
      <c r="F49" s="48"/>
      <c r="G49" s="48"/>
      <c r="I49" s="580"/>
      <c r="J49" s="126">
        <f>J48+$K$35</f>
        <v>6.6132921941018469E-2</v>
      </c>
      <c r="K49" s="513">
        <v>788.19777552915059</v>
      </c>
      <c r="L49" s="513">
        <v>788.99478314498174</v>
      </c>
      <c r="M49" s="513">
        <v>799.97860615700438</v>
      </c>
      <c r="N49" s="513">
        <v>811.49610717778887</v>
      </c>
      <c r="O49" s="513">
        <v>822.38515271639778</v>
      </c>
      <c r="P49" s="513">
        <v>832.61157645550645</v>
      </c>
      <c r="Q49" s="513">
        <v>842.23355206479926</v>
      </c>
      <c r="R49" s="513">
        <v>851.30563617623636</v>
      </c>
      <c r="S49" s="513">
        <v>859.87561615212701</v>
      </c>
      <c r="T49" s="501"/>
      <c r="AH49" s="38"/>
    </row>
    <row r="50" spans="1:34" ht="17" thickBot="1" x14ac:dyDescent="0.25">
      <c r="A50" s="41" t="s">
        <v>590</v>
      </c>
      <c r="B50" s="45">
        <f>B48/B49</f>
        <v>686.58271674025264</v>
      </c>
      <c r="C50" s="45">
        <f>C48/C49</f>
        <v>617.3545351997135</v>
      </c>
      <c r="E50" s="45"/>
      <c r="F50" s="41"/>
      <c r="G50" s="41"/>
      <c r="I50" s="580"/>
      <c r="J50" s="126">
        <f>J49+$K$35</f>
        <v>6.8337352672385748E-2</v>
      </c>
      <c r="K50" s="513">
        <v>855.7874023351626</v>
      </c>
      <c r="L50" s="513">
        <v>856.65911724260843</v>
      </c>
      <c r="M50" s="513">
        <v>868.67262990914674</v>
      </c>
      <c r="N50" s="513">
        <v>881.27009534651609</v>
      </c>
      <c r="O50" s="513">
        <v>893.18040206974672</v>
      </c>
      <c r="P50" s="513">
        <v>904.36613633977663</v>
      </c>
      <c r="Q50" s="513">
        <v>914.89089038274437</v>
      </c>
      <c r="R50" s="513">
        <v>924.81430728812086</v>
      </c>
      <c r="S50" s="513">
        <v>934.18863164997276</v>
      </c>
      <c r="AH50" s="38"/>
    </row>
    <row r="51" spans="1:34" ht="18" thickTop="1" thickBot="1" x14ac:dyDescent="0.25">
      <c r="A51" s="41" t="s">
        <v>592</v>
      </c>
      <c r="B51" s="497">
        <f>AVERAGEIF(K42:S62,"&lt;686.58")</f>
        <v>570.62000037895632</v>
      </c>
      <c r="C51" s="497">
        <f>AVERAGEIF(K66:S86,"&lt;617.35")</f>
        <v>489.21866827202734</v>
      </c>
      <c r="D51" s="497"/>
      <c r="K51" s="501"/>
      <c r="L51" s="501"/>
      <c r="M51" s="501"/>
      <c r="N51" s="501"/>
      <c r="O51" s="501"/>
      <c r="P51" s="501"/>
      <c r="Q51" s="501"/>
      <c r="R51" s="501"/>
      <c r="S51" s="501"/>
      <c r="AH51" s="38"/>
    </row>
    <row r="52" spans="1:34" ht="18" thickTop="1" thickBot="1" x14ac:dyDescent="0.25">
      <c r="A52" s="41" t="s">
        <v>591</v>
      </c>
      <c r="B52" s="497">
        <f>AVERAGEIF(K42:S62,"&gt;686.58")</f>
        <v>756.20849963417254</v>
      </c>
      <c r="C52" s="497">
        <f>AVERAGEIF(K66:S86,"&gt;617.35")</f>
        <v>752.08457161368335</v>
      </c>
      <c r="D52" s="497"/>
      <c r="K52" s="164" t="s">
        <v>620</v>
      </c>
      <c r="AH52" s="38"/>
    </row>
    <row r="53" spans="1:34" ht="17" thickTop="1" x14ac:dyDescent="0.2">
      <c r="I53" s="3" t="s">
        <v>231</v>
      </c>
      <c r="J53" s="386">
        <f>B50</f>
        <v>686.58271674025264</v>
      </c>
      <c r="K53" s="122">
        <f t="shared" ref="K53" si="10">L53-$K$30</f>
        <v>0</v>
      </c>
      <c r="L53" s="122">
        <v>1.2500000000000001E-2</v>
      </c>
      <c r="M53" s="122">
        <v>2.5000000000000001E-2</v>
      </c>
      <c r="N53" s="122">
        <v>3.7499999999999999E-2</v>
      </c>
      <c r="O53" s="542">
        <v>0.05</v>
      </c>
      <c r="P53" s="122">
        <v>6.25E-2</v>
      </c>
      <c r="Q53" s="122">
        <v>7.4999999999999997E-2</v>
      </c>
      <c r="R53" s="122">
        <v>8.7499999999999994E-2</v>
      </c>
      <c r="S53" s="122">
        <v>0.1</v>
      </c>
      <c r="AH53" s="38"/>
    </row>
    <row r="54" spans="1:34" x14ac:dyDescent="0.2">
      <c r="I54" s="164" t="s">
        <v>621</v>
      </c>
      <c r="J54" s="122">
        <v>0</v>
      </c>
      <c r="K54" s="386">
        <f t="dataTable" ref="K54:S62" dt2D="1" dtr="1" r1="J30" r2="J31" ca="1"/>
        <v>591.63804814980244</v>
      </c>
      <c r="L54" s="386">
        <v>600.00608330508726</v>
      </c>
      <c r="M54" s="386">
        <v>608.3741184603723</v>
      </c>
      <c r="N54" s="386">
        <v>616.74215361565734</v>
      </c>
      <c r="O54" s="543">
        <v>625.11018877094239</v>
      </c>
      <c r="P54" s="386">
        <v>633.4782239262272</v>
      </c>
      <c r="Q54" s="386">
        <v>641.84625908151213</v>
      </c>
      <c r="R54" s="386">
        <v>650.21429423679729</v>
      </c>
      <c r="S54" s="386">
        <v>658.58232939208199</v>
      </c>
      <c r="AH54" s="38"/>
    </row>
    <row r="55" spans="1:34" x14ac:dyDescent="0.2">
      <c r="J55" s="122">
        <v>1.2500000000000001E-2</v>
      </c>
      <c r="K55" s="386">
        <v>598.63814498684485</v>
      </c>
      <c r="L55" s="386">
        <v>615.37421529741493</v>
      </c>
      <c r="M55" s="386">
        <v>623.74225045269986</v>
      </c>
      <c r="N55" s="386">
        <v>632.11028560798491</v>
      </c>
      <c r="O55" s="543">
        <v>640.47832076326995</v>
      </c>
      <c r="P55" s="386">
        <v>648.84635591855499</v>
      </c>
      <c r="Q55" s="386">
        <v>657.21439107383969</v>
      </c>
      <c r="R55" s="386">
        <v>665.58242622912474</v>
      </c>
      <c r="S55" s="386">
        <v>673.95046138440978</v>
      </c>
      <c r="AH55" s="38"/>
    </row>
    <row r="56" spans="1:34" x14ac:dyDescent="0.2">
      <c r="J56" s="122">
        <v>2.5000000000000001E-2</v>
      </c>
      <c r="K56" s="386">
        <v>614.00627697917253</v>
      </c>
      <c r="L56" s="386">
        <v>630.74234728974261</v>
      </c>
      <c r="M56" s="386">
        <v>639.11038244502754</v>
      </c>
      <c r="N56" s="386">
        <v>647.47841760031247</v>
      </c>
      <c r="O56" s="543">
        <v>655.84645275559762</v>
      </c>
      <c r="P56" s="386">
        <v>664.21448791088233</v>
      </c>
      <c r="Q56" s="386">
        <v>672.58252306616748</v>
      </c>
      <c r="R56" s="386">
        <v>680.95055822145252</v>
      </c>
      <c r="S56" s="386">
        <v>689.31859337673723</v>
      </c>
      <c r="AH56" s="38"/>
    </row>
    <row r="57" spans="1:34" x14ac:dyDescent="0.2">
      <c r="J57" s="122">
        <v>3.7499999999999999E-2</v>
      </c>
      <c r="K57" s="386">
        <v>629.3744089715002</v>
      </c>
      <c r="L57" s="386">
        <v>646.11047928207029</v>
      </c>
      <c r="M57" s="386">
        <v>654.47851443735522</v>
      </c>
      <c r="N57" s="386">
        <v>662.84654959264014</v>
      </c>
      <c r="O57" s="543">
        <v>671.21458474792507</v>
      </c>
      <c r="P57" s="386">
        <v>679.58261990321023</v>
      </c>
      <c r="Q57" s="386">
        <v>687.95065505849493</v>
      </c>
      <c r="R57" s="386">
        <v>696.31869021377986</v>
      </c>
      <c r="S57" s="386">
        <v>704.6867253690649</v>
      </c>
      <c r="AH57" s="38"/>
    </row>
    <row r="58" spans="1:34" x14ac:dyDescent="0.2">
      <c r="J58" s="122">
        <v>0.05</v>
      </c>
      <c r="K58" s="386">
        <v>644.74254096382788</v>
      </c>
      <c r="L58" s="386">
        <v>661.47861127439774</v>
      </c>
      <c r="M58" s="386">
        <v>669.84664642968255</v>
      </c>
      <c r="N58" s="386">
        <v>678.21468158496771</v>
      </c>
      <c r="O58" s="543">
        <v>686.58271674025264</v>
      </c>
      <c r="P58" s="386">
        <v>694.95075189553768</v>
      </c>
      <c r="Q58" s="386">
        <v>703.31878705082261</v>
      </c>
      <c r="R58" s="386">
        <v>711.68682220610765</v>
      </c>
      <c r="S58" s="386">
        <v>720.05485736139246</v>
      </c>
      <c r="AH58" s="38"/>
    </row>
    <row r="59" spans="1:34" x14ac:dyDescent="0.2">
      <c r="J59" s="122">
        <v>6.25E-2</v>
      </c>
      <c r="K59" s="386">
        <v>660.11067295615544</v>
      </c>
      <c r="L59" s="386">
        <v>676.84674326672553</v>
      </c>
      <c r="M59" s="386">
        <v>685.21477842201034</v>
      </c>
      <c r="N59" s="386">
        <v>693.58281357729538</v>
      </c>
      <c r="O59" s="543">
        <v>701.9508487325802</v>
      </c>
      <c r="P59" s="386">
        <v>710.31888388786535</v>
      </c>
      <c r="Q59" s="386">
        <v>718.68691904315017</v>
      </c>
      <c r="R59" s="386">
        <v>727.05495419843533</v>
      </c>
      <c r="S59" s="386">
        <v>735.42298935372025</v>
      </c>
      <c r="AA59" s="38"/>
      <c r="AB59" s="38"/>
      <c r="AC59" s="38"/>
      <c r="AD59" s="38"/>
      <c r="AE59" s="38"/>
      <c r="AF59" s="38"/>
      <c r="AG59" s="38"/>
      <c r="AH59" s="38"/>
    </row>
    <row r="60" spans="1:34" x14ac:dyDescent="0.2">
      <c r="J60" s="122">
        <v>7.4999999999999997E-2</v>
      </c>
      <c r="K60" s="386">
        <v>675.478804948483</v>
      </c>
      <c r="L60" s="386">
        <v>692.21487525905286</v>
      </c>
      <c r="M60" s="386">
        <v>700.5829104143379</v>
      </c>
      <c r="N60" s="386">
        <v>708.95094556962295</v>
      </c>
      <c r="O60" s="543">
        <v>717.31898072490787</v>
      </c>
      <c r="P60" s="386">
        <v>725.6870158801928</v>
      </c>
      <c r="Q60" s="386">
        <v>734.05505103547796</v>
      </c>
      <c r="R60" s="386">
        <v>742.42308619076277</v>
      </c>
      <c r="S60" s="386">
        <v>750.79112134604782</v>
      </c>
      <c r="AA60" s="38"/>
      <c r="AB60" s="38"/>
      <c r="AC60" s="38"/>
      <c r="AD60" s="38"/>
      <c r="AE60" s="38"/>
      <c r="AF60" s="38"/>
      <c r="AG60" s="38"/>
      <c r="AH60" s="38"/>
    </row>
    <row r="61" spans="1:34" x14ac:dyDescent="0.2">
      <c r="J61" s="122">
        <v>8.7499999999999994E-2</v>
      </c>
      <c r="K61" s="386">
        <v>690.84693694081079</v>
      </c>
      <c r="L61" s="386">
        <v>707.58300725138065</v>
      </c>
      <c r="M61" s="386">
        <v>715.95104240666569</v>
      </c>
      <c r="N61" s="386">
        <v>724.31907756195062</v>
      </c>
      <c r="O61" s="543">
        <v>732.68711271723555</v>
      </c>
      <c r="P61" s="386">
        <v>741.05514787252071</v>
      </c>
      <c r="Q61" s="386">
        <v>749.42318302780552</v>
      </c>
      <c r="R61" s="386">
        <v>757.79121818309056</v>
      </c>
      <c r="S61" s="386">
        <v>766.15925333837538</v>
      </c>
      <c r="AA61" s="38"/>
      <c r="AB61" s="38"/>
      <c r="AC61" s="38"/>
      <c r="AD61" s="38"/>
      <c r="AE61" s="38"/>
      <c r="AF61" s="38"/>
      <c r="AG61" s="38"/>
      <c r="AH61" s="38"/>
    </row>
    <row r="62" spans="1:34" x14ac:dyDescent="0.2">
      <c r="J62" s="122">
        <v>0.1</v>
      </c>
      <c r="K62" s="386">
        <v>706.21506893313835</v>
      </c>
      <c r="L62" s="386">
        <v>722.95113924370821</v>
      </c>
      <c r="M62" s="386">
        <v>731.31917439899325</v>
      </c>
      <c r="N62" s="386">
        <v>739.68720955427818</v>
      </c>
      <c r="O62" s="543">
        <v>748.05524470956323</v>
      </c>
      <c r="P62" s="386">
        <v>756.42327986484793</v>
      </c>
      <c r="Q62" s="386">
        <v>764.79131502013308</v>
      </c>
      <c r="R62" s="386">
        <v>773.15935017541813</v>
      </c>
      <c r="S62" s="386">
        <v>781.52738533070294</v>
      </c>
      <c r="AA62" s="38"/>
      <c r="AB62" s="38"/>
      <c r="AC62" s="38"/>
      <c r="AD62" s="38"/>
      <c r="AE62" s="38"/>
      <c r="AF62" s="38"/>
      <c r="AG62" s="38"/>
      <c r="AH62" s="143"/>
    </row>
    <row r="63" spans="1:34" x14ac:dyDescent="0.2">
      <c r="AA63" s="556"/>
      <c r="AB63" s="556"/>
      <c r="AC63" s="556"/>
      <c r="AD63" s="556"/>
      <c r="AE63" s="556"/>
      <c r="AF63" s="556"/>
      <c r="AG63" s="556"/>
      <c r="AH63" s="13"/>
    </row>
    <row r="64" spans="1:34" x14ac:dyDescent="0.2">
      <c r="K64" s="164" t="s">
        <v>620</v>
      </c>
      <c r="AA64" s="38"/>
      <c r="AB64" s="38"/>
      <c r="AC64" s="38"/>
      <c r="AD64" s="38"/>
      <c r="AE64" s="38"/>
      <c r="AF64" s="38"/>
      <c r="AG64" s="38"/>
      <c r="AH64" s="38"/>
    </row>
    <row r="65" spans="7:34" x14ac:dyDescent="0.2">
      <c r="I65" s="3" t="s">
        <v>589</v>
      </c>
      <c r="J65" s="11">
        <f>C50</f>
        <v>617.3545351997135</v>
      </c>
      <c r="K65" s="122">
        <f t="shared" ref="K65" si="11">L65-$K$30</f>
        <v>0</v>
      </c>
      <c r="L65" s="122">
        <v>1.2500000000000001E-2</v>
      </c>
      <c r="M65" s="122">
        <v>2.5000000000000001E-2</v>
      </c>
      <c r="N65" s="122">
        <v>3.7499999999999999E-2</v>
      </c>
      <c r="O65" s="542">
        <v>0.05</v>
      </c>
      <c r="P65" s="122">
        <v>6.25E-2</v>
      </c>
      <c r="Q65" s="122">
        <v>7.4999999999999997E-2</v>
      </c>
      <c r="R65" s="122">
        <v>8.7499999999999994E-2</v>
      </c>
      <c r="S65" s="122">
        <v>0.1</v>
      </c>
      <c r="AA65" s="578"/>
      <c r="AB65" s="578"/>
      <c r="AC65" s="578"/>
      <c r="AD65" s="578"/>
      <c r="AE65" s="578"/>
      <c r="AF65" s="578"/>
      <c r="AG65" s="578"/>
      <c r="AH65" s="48"/>
    </row>
    <row r="66" spans="7:34" x14ac:dyDescent="0.2">
      <c r="I66" s="164" t="s">
        <v>621</v>
      </c>
      <c r="J66" s="122">
        <v>0</v>
      </c>
      <c r="K66" s="11">
        <f t="dataTable" ref="K66:S74" dt2D="1" dtr="1" r1="J30" r2="J31" ca="1"/>
        <v>523.0993594195005</v>
      </c>
      <c r="L66" s="11">
        <v>531.4060192266279</v>
      </c>
      <c r="M66" s="11">
        <v>539.71267903375531</v>
      </c>
      <c r="N66" s="11">
        <v>548.01933884088282</v>
      </c>
      <c r="O66" s="526">
        <v>556.32599864801034</v>
      </c>
      <c r="P66" s="11">
        <v>564.63265845513774</v>
      </c>
      <c r="Q66" s="11">
        <v>572.93931826226537</v>
      </c>
      <c r="R66" s="11">
        <v>581.24597806939266</v>
      </c>
      <c r="S66" s="11">
        <v>589.55263787652007</v>
      </c>
      <c r="AA66" s="48"/>
      <c r="AB66" s="48"/>
      <c r="AC66" s="48"/>
      <c r="AD66" s="48"/>
      <c r="AE66" s="48"/>
      <c r="AF66" s="48"/>
      <c r="AG66" s="335"/>
      <c r="AH66" s="38"/>
    </row>
    <row r="67" spans="7:34" x14ac:dyDescent="0.2">
      <c r="J67" s="122">
        <v>1.2500000000000001E-2</v>
      </c>
      <c r="K67" s="11">
        <v>530.04983375029894</v>
      </c>
      <c r="L67" s="11">
        <v>546.66315336455375</v>
      </c>
      <c r="M67" s="11">
        <v>554.96981317168115</v>
      </c>
      <c r="N67" s="11">
        <v>563.27647297880867</v>
      </c>
      <c r="O67" s="526">
        <v>571.58313278593607</v>
      </c>
      <c r="P67" s="11">
        <v>579.88979259306359</v>
      </c>
      <c r="Q67" s="11">
        <v>588.19645240019099</v>
      </c>
      <c r="R67" s="11">
        <v>596.50311220731851</v>
      </c>
      <c r="S67" s="11">
        <v>604.80977201444591</v>
      </c>
      <c r="AA67" s="38"/>
      <c r="AB67" s="496"/>
      <c r="AC67" s="496"/>
      <c r="AD67" s="496"/>
      <c r="AE67" s="496"/>
      <c r="AF67" s="496"/>
      <c r="AG67" s="496"/>
      <c r="AH67" s="38"/>
    </row>
    <row r="68" spans="7:34" x14ac:dyDescent="0.2">
      <c r="G68" s="47"/>
      <c r="H68" s="38"/>
      <c r="J68" s="122">
        <v>2.5000000000000001E-2</v>
      </c>
      <c r="K68" s="11">
        <v>545.30696788822468</v>
      </c>
      <c r="L68" s="11">
        <v>561.9202875024796</v>
      </c>
      <c r="M68" s="11">
        <v>570.22694730960689</v>
      </c>
      <c r="N68" s="11">
        <v>578.53360711673452</v>
      </c>
      <c r="O68" s="526">
        <v>586.8402669238618</v>
      </c>
      <c r="P68" s="11">
        <v>595.14692673098932</v>
      </c>
      <c r="Q68" s="11">
        <v>603.45358653811684</v>
      </c>
      <c r="R68" s="11">
        <v>611.76024634524447</v>
      </c>
      <c r="S68" s="11">
        <v>620.06690615237176</v>
      </c>
      <c r="AA68" s="38"/>
      <c r="AB68" s="496"/>
      <c r="AC68" s="496"/>
      <c r="AD68" s="496"/>
      <c r="AE68" s="496"/>
      <c r="AF68" s="496"/>
      <c r="AG68" s="496"/>
      <c r="AH68" s="47"/>
    </row>
    <row r="69" spans="7:34" x14ac:dyDescent="0.2">
      <c r="G69" s="38"/>
      <c r="H69" s="38"/>
      <c r="J69" s="122">
        <v>3.7499999999999999E-2</v>
      </c>
      <c r="K69" s="11">
        <v>560.56410202615041</v>
      </c>
      <c r="L69" s="11">
        <v>577.17742164040544</v>
      </c>
      <c r="M69" s="11">
        <v>585.48408144753284</v>
      </c>
      <c r="N69" s="11">
        <v>593.79074125466025</v>
      </c>
      <c r="O69" s="526">
        <v>602.09740106178776</v>
      </c>
      <c r="P69" s="11">
        <v>610.40406086891505</v>
      </c>
      <c r="Q69" s="11">
        <v>618.71072067604257</v>
      </c>
      <c r="R69" s="11">
        <v>627.01738048317009</v>
      </c>
      <c r="S69" s="11">
        <v>635.32404029029749</v>
      </c>
    </row>
    <row r="70" spans="7:34" x14ac:dyDescent="0.2">
      <c r="G70" s="38"/>
      <c r="H70" s="38"/>
      <c r="J70" s="122">
        <v>0.05</v>
      </c>
      <c r="K70" s="11">
        <v>575.82123616407625</v>
      </c>
      <c r="L70" s="11">
        <v>592.43455577833106</v>
      </c>
      <c r="M70" s="11">
        <v>600.74121558545846</v>
      </c>
      <c r="N70" s="11">
        <v>609.04787539258609</v>
      </c>
      <c r="O70" s="526">
        <v>617.3545351997135</v>
      </c>
      <c r="P70" s="11">
        <v>625.66119500684079</v>
      </c>
      <c r="Q70" s="11">
        <v>633.96785481396842</v>
      </c>
      <c r="R70" s="11">
        <v>642.27451462109582</v>
      </c>
      <c r="S70" s="11">
        <v>650.58117442822333</v>
      </c>
    </row>
    <row r="71" spans="7:34" x14ac:dyDescent="0.2">
      <c r="G71" s="44"/>
      <c r="J71" s="122">
        <v>6.25E-2</v>
      </c>
      <c r="K71" s="11">
        <v>591.0783703020021</v>
      </c>
      <c r="L71" s="11">
        <v>607.69168991625702</v>
      </c>
      <c r="M71" s="11">
        <v>615.99834972338431</v>
      </c>
      <c r="N71" s="11">
        <v>624.30500953051182</v>
      </c>
      <c r="O71" s="526">
        <v>632.61166933763934</v>
      </c>
      <c r="P71" s="11">
        <v>640.91832914476663</v>
      </c>
      <c r="Q71" s="11">
        <v>649.22498895189437</v>
      </c>
      <c r="R71" s="11">
        <v>657.53164875902178</v>
      </c>
      <c r="S71" s="11">
        <v>665.83830856614895</v>
      </c>
    </row>
    <row r="72" spans="7:34" x14ac:dyDescent="0.2">
      <c r="G72" s="140"/>
      <c r="H72" s="38"/>
      <c r="J72" s="122">
        <v>7.4999999999999997E-2</v>
      </c>
      <c r="K72" s="11">
        <v>606.33550443992783</v>
      </c>
      <c r="L72" s="11">
        <v>622.94882405418264</v>
      </c>
      <c r="M72" s="11">
        <v>631.25548386130993</v>
      </c>
      <c r="N72" s="11">
        <v>639.56214366843756</v>
      </c>
      <c r="O72" s="526">
        <v>647.86880347556507</v>
      </c>
      <c r="P72" s="11">
        <v>656.1754632826927</v>
      </c>
      <c r="Q72" s="11">
        <v>664.48212308982011</v>
      </c>
      <c r="R72" s="11">
        <v>672.7887828969474</v>
      </c>
      <c r="S72" s="11">
        <v>681.09544270407469</v>
      </c>
    </row>
    <row r="73" spans="7:34" x14ac:dyDescent="0.2">
      <c r="G73" s="38"/>
      <c r="H73" s="38"/>
      <c r="J73" s="122">
        <v>8.7499999999999994E-2</v>
      </c>
      <c r="K73" s="11">
        <v>621.59263857785345</v>
      </c>
      <c r="L73" s="11">
        <v>638.20595819210848</v>
      </c>
      <c r="M73" s="11">
        <v>646.51261799923577</v>
      </c>
      <c r="N73" s="11">
        <v>654.81927780636352</v>
      </c>
      <c r="O73" s="526">
        <v>663.12593761349069</v>
      </c>
      <c r="P73" s="11">
        <v>671.43259742061809</v>
      </c>
      <c r="Q73" s="11">
        <v>679.73925722774572</v>
      </c>
      <c r="R73" s="11">
        <v>688.04591703487324</v>
      </c>
      <c r="S73" s="11">
        <v>696.35257684200064</v>
      </c>
    </row>
    <row r="74" spans="7:34" x14ac:dyDescent="0.2">
      <c r="G74" s="38"/>
      <c r="H74" s="38"/>
      <c r="I74" s="15"/>
      <c r="J74" s="122">
        <v>0.1</v>
      </c>
      <c r="K74" s="11">
        <v>636.84977271577941</v>
      </c>
      <c r="L74" s="11">
        <v>653.46309233003433</v>
      </c>
      <c r="M74" s="11">
        <v>661.76975213716173</v>
      </c>
      <c r="N74" s="11">
        <v>670.07641194428925</v>
      </c>
      <c r="O74" s="526">
        <v>678.38307175141654</v>
      </c>
      <c r="P74" s="11">
        <v>686.68973155854394</v>
      </c>
      <c r="Q74" s="11">
        <v>694.99639136567168</v>
      </c>
      <c r="R74" s="11">
        <v>703.30305117279909</v>
      </c>
      <c r="S74" s="11">
        <v>711.60971097992649</v>
      </c>
    </row>
    <row r="75" spans="7:34" x14ac:dyDescent="0.2">
      <c r="G75" s="38"/>
      <c r="H75" s="38"/>
      <c r="I75" s="118"/>
    </row>
    <row r="76" spans="7:34" x14ac:dyDescent="0.2">
      <c r="G76" s="38"/>
      <c r="H76" s="38"/>
      <c r="J76" s="126"/>
      <c r="K76" s="576" t="s">
        <v>595</v>
      </c>
      <c r="L76" s="576"/>
      <c r="M76" s="576"/>
      <c r="N76" s="576"/>
      <c r="O76" s="576"/>
      <c r="P76" s="576"/>
      <c r="Q76" s="576"/>
      <c r="R76" s="576"/>
      <c r="S76" s="576"/>
    </row>
    <row r="77" spans="7:34" x14ac:dyDescent="0.2">
      <c r="G77" s="38"/>
      <c r="H77" s="38"/>
      <c r="I77" s="3" t="s">
        <v>589</v>
      </c>
      <c r="J77" s="11">
        <f>C50</f>
        <v>617.3545351997135</v>
      </c>
      <c r="K77" s="521">
        <f>L77+$K$34</f>
        <v>0.11298338965521465</v>
      </c>
      <c r="L77" s="521">
        <f>M77+$K$34</f>
        <v>0.10929187558731292</v>
      </c>
      <c r="M77" s="521">
        <f>N77+$K$34</f>
        <v>0.10560036151941118</v>
      </c>
      <c r="N77" s="521">
        <f>O77+$K$34</f>
        <v>0.10190884745150945</v>
      </c>
      <c r="O77" s="521">
        <v>9.8217333383607719E-2</v>
      </c>
      <c r="P77" s="521">
        <f>O77-$K$34</f>
        <v>9.4525819315705986E-2</v>
      </c>
      <c r="Q77" s="521">
        <f>P77-$K$34</f>
        <v>9.0834305247804253E-2</v>
      </c>
      <c r="R77" s="521">
        <f>Q77-$K$34</f>
        <v>8.7142791179902521E-2</v>
      </c>
      <c r="S77" s="521">
        <f>R77-$K$34</f>
        <v>8.3451277112000788E-2</v>
      </c>
    </row>
    <row r="78" spans="7:34" x14ac:dyDescent="0.2">
      <c r="G78" s="38"/>
      <c r="H78" s="38"/>
      <c r="I78" s="580" t="s">
        <v>594</v>
      </c>
      <c r="J78" s="126">
        <f>J79-$K$35</f>
        <v>5.0701906821447512E-2</v>
      </c>
      <c r="K78" s="513">
        <f t="dataTable" ref="K78:S86" dt2D="1" dtr="1" r1="J33" r2="J35" ca="1"/>
        <v>399.21057922240971</v>
      </c>
      <c r="L78" s="513">
        <v>423.1908108774698</v>
      </c>
      <c r="M78" s="513">
        <v>450.40416797379407</v>
      </c>
      <c r="N78" s="513">
        <v>481.55001256896099</v>
      </c>
      <c r="O78" s="513">
        <v>517.54504558188353</v>
      </c>
      <c r="P78" s="513">
        <v>559.61484472308462</v>
      </c>
      <c r="Q78" s="513">
        <v>609.43592224189013</v>
      </c>
      <c r="R78" s="513">
        <v>669.36412660209794</v>
      </c>
      <c r="S78" s="513">
        <v>742.81751699268341</v>
      </c>
    </row>
    <row r="79" spans="7:34" x14ac:dyDescent="0.2">
      <c r="G79" s="38"/>
      <c r="H79" s="38"/>
      <c r="I79" s="580"/>
      <c r="J79" s="126">
        <f>J80-$K$35</f>
        <v>5.2906337552814792E-2</v>
      </c>
      <c r="K79" s="513">
        <v>416.50829806287726</v>
      </c>
      <c r="L79" s="513">
        <v>443.00012932140351</v>
      </c>
      <c r="M79" s="513">
        <v>473.2824984756752</v>
      </c>
      <c r="N79" s="513">
        <v>508.22968047532135</v>
      </c>
      <c r="O79" s="513">
        <v>549.00716062901211</v>
      </c>
      <c r="P79" s="513">
        <v>597.20389527407758</v>
      </c>
      <c r="Q79" s="513">
        <v>655.04385780152779</v>
      </c>
      <c r="R79" s="513">
        <v>725.73847508531219</v>
      </c>
      <c r="S79" s="513">
        <v>814.10309548455655</v>
      </c>
    </row>
    <row r="80" spans="7:34" x14ac:dyDescent="0.2">
      <c r="G80" s="38"/>
      <c r="H80" s="38"/>
      <c r="I80" s="580"/>
      <c r="J80" s="126">
        <f>J81-$K$35</f>
        <v>5.5110768284182071E-2</v>
      </c>
      <c r="K80" s="513">
        <v>426.17746314977859</v>
      </c>
      <c r="L80" s="513">
        <v>454.13215603132647</v>
      </c>
      <c r="M80" s="513">
        <v>486.21725990477825</v>
      </c>
      <c r="N80" s="513">
        <v>523.41915199288712</v>
      </c>
      <c r="O80" s="513">
        <v>567.06539659308089</v>
      </c>
      <c r="P80" s="513">
        <v>618.98622841981535</v>
      </c>
      <c r="Q80" s="513">
        <v>681.77734122682909</v>
      </c>
      <c r="R80" s="513">
        <v>759.2467845554005</v>
      </c>
      <c r="S80" s="513">
        <v>857.21634530602125</v>
      </c>
    </row>
    <row r="81" spans="1:19" x14ac:dyDescent="0.2">
      <c r="G81" s="38"/>
      <c r="H81" s="38"/>
      <c r="I81" s="580"/>
      <c r="J81" s="126">
        <f>J82-$K$35</f>
        <v>5.7315199015549351E-2</v>
      </c>
      <c r="K81" s="513">
        <v>438.30602081437178</v>
      </c>
      <c r="L81" s="513">
        <v>468.15585698688557</v>
      </c>
      <c r="M81" s="513">
        <v>502.59264982015827</v>
      </c>
      <c r="N81" s="513">
        <v>542.75947367542346</v>
      </c>
      <c r="O81" s="513">
        <v>590.21356345172705</v>
      </c>
      <c r="P81" s="513">
        <v>647.13257000053193</v>
      </c>
      <c r="Q81" s="513">
        <v>716.65771079712874</v>
      </c>
      <c r="R81" s="513">
        <v>803.49300334809652</v>
      </c>
      <c r="S81" s="513">
        <v>915.01520921768463</v>
      </c>
    </row>
    <row r="82" spans="1:19" x14ac:dyDescent="0.2">
      <c r="G82" s="38"/>
      <c r="H82" s="38"/>
      <c r="I82" s="580"/>
      <c r="J82" s="126">
        <v>5.951962974691663E-2</v>
      </c>
      <c r="K82" s="513">
        <v>452.15938404378869</v>
      </c>
      <c r="L82" s="513">
        <v>484.25640744626196</v>
      </c>
      <c r="M82" s="513">
        <v>521.50498118433416</v>
      </c>
      <c r="N82" s="513">
        <v>565.25114021888669</v>
      </c>
      <c r="O82" s="513">
        <v>617.3545351997135</v>
      </c>
      <c r="P82" s="513">
        <v>680.4592445857154</v>
      </c>
      <c r="Q82" s="513">
        <v>758.45613403435505</v>
      </c>
      <c r="R82" s="513">
        <v>857.31594950462841</v>
      </c>
      <c r="S82" s="513">
        <v>986.69345003192939</v>
      </c>
    </row>
    <row r="83" spans="1:19" x14ac:dyDescent="0.2">
      <c r="G83" s="38"/>
      <c r="I83" s="580"/>
      <c r="J83" s="126">
        <f>J82+$K$35</f>
        <v>6.172406047828391E-2</v>
      </c>
      <c r="K83" s="513">
        <v>468.24294449757701</v>
      </c>
      <c r="L83" s="513">
        <v>503.0602530056691</v>
      </c>
      <c r="M83" s="513">
        <v>543.74548847646224</v>
      </c>
      <c r="N83" s="513">
        <v>591.91594919930208</v>
      </c>
      <c r="O83" s="513">
        <v>649.84333448092843</v>
      </c>
      <c r="P83" s="513">
        <v>720.82197659079964</v>
      </c>
      <c r="Q83" s="513">
        <v>809.81724900080428</v>
      </c>
      <c r="R83" s="513">
        <v>924.67897722374823</v>
      </c>
      <c r="S83" s="513">
        <v>1078.5918207563041</v>
      </c>
    </row>
    <row r="84" spans="1:19" x14ac:dyDescent="0.2">
      <c r="I84" s="580"/>
      <c r="J84" s="126">
        <f>J83+$K$35</f>
        <v>6.3928491209651189E-2</v>
      </c>
      <c r="K84" s="513">
        <v>487.13336444500419</v>
      </c>
      <c r="L84" s="513">
        <v>525.29994746855346</v>
      </c>
      <c r="M84" s="513">
        <v>570.26468870316342</v>
      </c>
      <c r="N84" s="513">
        <v>624.01855540354734</v>
      </c>
      <c r="O84" s="513">
        <v>689.41400565678805</v>
      </c>
      <c r="P84" s="513">
        <v>770.68746360528507</v>
      </c>
      <c r="Q84" s="513">
        <v>874.41452676221718</v>
      </c>
      <c r="R84" s="513">
        <v>1011.3830059349618</v>
      </c>
      <c r="S84" s="513">
        <v>1200.6088991453903</v>
      </c>
    </row>
    <row r="85" spans="1:19" x14ac:dyDescent="0.2">
      <c r="I85" s="580"/>
      <c r="J85" s="126">
        <f>J84+$K$35</f>
        <v>6.6132921941018469E-2</v>
      </c>
      <c r="K85" s="513">
        <v>509.62915948544395</v>
      </c>
      <c r="L85" s="513">
        <v>552.00412824668035</v>
      </c>
      <c r="M85" s="513">
        <v>602.41933454306593</v>
      </c>
      <c r="N85" s="513">
        <v>663.3996758605017</v>
      </c>
      <c r="O85" s="513">
        <v>738.65076999996961</v>
      </c>
      <c r="P85" s="513">
        <v>833.84049799542447</v>
      </c>
      <c r="Q85" s="513">
        <v>958.09605143375848</v>
      </c>
      <c r="R85" s="513">
        <v>1127.1183081540494</v>
      </c>
      <c r="S85" s="513">
        <v>1370.3996691287491</v>
      </c>
    </row>
    <row r="86" spans="1:19" x14ac:dyDescent="0.2">
      <c r="A86" s="553" t="s">
        <v>297</v>
      </c>
      <c r="B86" s="553"/>
      <c r="C86" s="553"/>
      <c r="D86" s="553"/>
      <c r="E86" s="553"/>
      <c r="F86" s="553"/>
      <c r="G86" s="553"/>
      <c r="H86" s="553"/>
      <c r="I86" s="580"/>
      <c r="J86" s="126">
        <f>J85+$K$35</f>
        <v>6.8337352672385748E-2</v>
      </c>
      <c r="K86" s="513">
        <v>536.86240083782275</v>
      </c>
      <c r="L86" s="513">
        <v>584.6562772325326</v>
      </c>
      <c r="M86" s="513">
        <v>642.20602796869241</v>
      </c>
      <c r="N86" s="513">
        <v>712.83450871524587</v>
      </c>
      <c r="O86" s="513">
        <v>801.56676527719878</v>
      </c>
      <c r="P86" s="513">
        <v>916.38009225405449</v>
      </c>
      <c r="Q86" s="513">
        <v>1070.7453764365873</v>
      </c>
      <c r="R86" s="513">
        <v>1289.3395425533483</v>
      </c>
      <c r="S86" s="513">
        <v>1622.7576577386874</v>
      </c>
    </row>
    <row r="87" spans="1:19" ht="16" customHeight="1" x14ac:dyDescent="0.2">
      <c r="A87" s="118">
        <v>1</v>
      </c>
      <c r="B87" s="554" t="s">
        <v>347</v>
      </c>
      <c r="C87" s="554"/>
      <c r="D87" s="554"/>
      <c r="E87" s="554"/>
      <c r="F87" s="554"/>
      <c r="G87" s="554"/>
      <c r="H87" s="554"/>
    </row>
    <row r="88" spans="1:19" x14ac:dyDescent="0.2">
      <c r="A88" s="89">
        <v>2</v>
      </c>
      <c r="B88" s="89" t="s">
        <v>349</v>
      </c>
      <c r="C88" s="89"/>
      <c r="D88" s="89"/>
      <c r="E88" s="89"/>
      <c r="F88" s="89"/>
      <c r="G88" s="89"/>
      <c r="H88" s="89"/>
    </row>
    <row r="89" spans="1:19" x14ac:dyDescent="0.2">
      <c r="A89" s="89">
        <v>3</v>
      </c>
      <c r="B89" s="89" t="s">
        <v>350</v>
      </c>
      <c r="C89" s="89"/>
      <c r="D89" s="89"/>
      <c r="E89" s="89"/>
      <c r="F89" s="89"/>
      <c r="G89" s="89"/>
      <c r="H89" s="89"/>
    </row>
    <row r="90" spans="1:19" x14ac:dyDescent="0.2">
      <c r="A90" s="89">
        <v>4</v>
      </c>
      <c r="B90" s="89" t="s">
        <v>352</v>
      </c>
      <c r="C90" s="89"/>
      <c r="D90" s="89"/>
      <c r="E90" s="89"/>
      <c r="F90" s="89"/>
      <c r="G90" s="89"/>
      <c r="H90" s="89"/>
    </row>
    <row r="91" spans="1:19" x14ac:dyDescent="0.2">
      <c r="A91" s="89"/>
      <c r="B91" s="89"/>
      <c r="C91" s="89"/>
      <c r="D91" s="89"/>
      <c r="E91" s="89"/>
      <c r="F91" s="89"/>
      <c r="G91" s="89"/>
      <c r="H91" s="89"/>
    </row>
    <row r="92" spans="1:19" x14ac:dyDescent="0.2">
      <c r="A92" s="89"/>
      <c r="B92" s="89"/>
      <c r="C92" s="89"/>
      <c r="D92" s="89"/>
      <c r="E92" s="89"/>
      <c r="F92" s="89"/>
      <c r="G92" s="89"/>
      <c r="H92" s="89"/>
    </row>
  </sheetData>
  <mergeCells count="15">
    <mergeCell ref="AA63:AG63"/>
    <mergeCell ref="AA65:AG65"/>
    <mergeCell ref="B87:H87"/>
    <mergeCell ref="A1:T1"/>
    <mergeCell ref="A2:T2"/>
    <mergeCell ref="A3:T3"/>
    <mergeCell ref="A5:G5"/>
    <mergeCell ref="A22:F22"/>
    <mergeCell ref="A6:F6"/>
    <mergeCell ref="A42:G42"/>
    <mergeCell ref="K76:S76"/>
    <mergeCell ref="K40:S40"/>
    <mergeCell ref="I78:I86"/>
    <mergeCell ref="I42:I50"/>
    <mergeCell ref="A86:H86"/>
  </mergeCells>
  <conditionalFormatting sqref="K42:S50">
    <cfRule type="cellIs" dxfId="3" priority="4" operator="greaterThan">
      <formula>$J$41</formula>
    </cfRule>
  </conditionalFormatting>
  <conditionalFormatting sqref="K54:S62">
    <cfRule type="cellIs" dxfId="2" priority="2" operator="greaterThan">
      <formula>$J$53</formula>
    </cfRule>
  </conditionalFormatting>
  <conditionalFormatting sqref="K66:S74">
    <cfRule type="cellIs" dxfId="1" priority="1" operator="greaterThan">
      <formula>$J$65</formula>
    </cfRule>
  </conditionalFormatting>
  <conditionalFormatting sqref="K78:S86">
    <cfRule type="cellIs" dxfId="0" priority="3" operator="greaterThan">
      <formula>$J$77</formula>
    </cfRule>
  </conditionalFormatting>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2ABC8-56F3-CB43-A418-3B8B007C57C2}">
  <dimension ref="A3:V57"/>
  <sheetViews>
    <sheetView topLeftCell="A6" zoomScale="92" workbookViewId="0">
      <selection activeCell="U47" sqref="U47"/>
    </sheetView>
  </sheetViews>
  <sheetFormatPr baseColWidth="10" defaultRowHeight="16" x14ac:dyDescent="0.2"/>
  <cols>
    <col min="1" max="1" width="19.1640625" style="3" bestFit="1" customWidth="1"/>
    <col min="2" max="2" width="18.1640625" style="3" bestFit="1" customWidth="1"/>
    <col min="3" max="5" width="13.5" style="3" bestFit="1" customWidth="1"/>
    <col min="6" max="6" width="15" style="3" bestFit="1" customWidth="1"/>
    <col min="7" max="7" width="14.33203125" style="3" bestFit="1" customWidth="1"/>
    <col min="8" max="16" width="13.5" style="3" bestFit="1" customWidth="1"/>
    <col min="17" max="17" width="12.33203125" style="3" bestFit="1" customWidth="1"/>
    <col min="18" max="18" width="13" style="3" bestFit="1" customWidth="1"/>
    <col min="19" max="20" width="10.83203125" style="3"/>
    <col min="21" max="21" width="10.83203125" style="386"/>
    <col min="22" max="16384" width="10.83203125" style="3"/>
  </cols>
  <sheetData>
    <row r="3" spans="1:21" x14ac:dyDescent="0.2">
      <c r="A3" s="3" t="s">
        <v>454</v>
      </c>
      <c r="B3" s="3">
        <v>2003</v>
      </c>
      <c r="C3" s="3">
        <v>2004</v>
      </c>
      <c r="D3" s="3">
        <v>2005</v>
      </c>
      <c r="E3" s="3">
        <v>2006</v>
      </c>
      <c r="F3" s="3">
        <v>2007</v>
      </c>
      <c r="G3" s="3">
        <v>2008</v>
      </c>
      <c r="H3" s="3">
        <v>2009</v>
      </c>
      <c r="I3" s="3">
        <v>2010</v>
      </c>
      <c r="J3" s="3">
        <v>2011</v>
      </c>
      <c r="K3" s="3">
        <v>2012</v>
      </c>
      <c r="L3" s="3">
        <v>2013</v>
      </c>
      <c r="M3" s="3">
        <v>2014</v>
      </c>
      <c r="N3" s="3">
        <v>2015</v>
      </c>
      <c r="O3" s="3">
        <v>2016</v>
      </c>
      <c r="P3" s="3">
        <v>2017</v>
      </c>
      <c r="Q3" s="3">
        <v>2018</v>
      </c>
      <c r="R3" s="3">
        <v>2019</v>
      </c>
      <c r="S3" s="3">
        <v>2020</v>
      </c>
      <c r="T3" s="3">
        <v>2021</v>
      </c>
      <c r="U3" s="386" t="s">
        <v>462</v>
      </c>
    </row>
    <row r="4" spans="1:21" x14ac:dyDescent="0.2">
      <c r="A4" s="3" t="s">
        <v>456</v>
      </c>
    </row>
    <row r="5" spans="1:21" x14ac:dyDescent="0.2">
      <c r="A5" s="3" t="s">
        <v>455</v>
      </c>
      <c r="B5" s="11">
        <v>3.1472911937340911</v>
      </c>
      <c r="C5" s="11">
        <v>5.197391363243824</v>
      </c>
      <c r="D5" s="11">
        <v>4.3085427141123631</v>
      </c>
      <c r="E5" s="11">
        <v>5.2643265946672386</v>
      </c>
      <c r="F5" s="11">
        <v>5.799548415032163</v>
      </c>
      <c r="G5" s="11">
        <v>3.0129848728116713</v>
      </c>
      <c r="H5" s="11">
        <v>0.79269898951818618</v>
      </c>
      <c r="I5" s="11">
        <v>6.8048249178367115</v>
      </c>
      <c r="J5" s="11">
        <v>3.6856677821252646</v>
      </c>
      <c r="K5" s="11">
        <v>2.4025309924618625</v>
      </c>
      <c r="L5" s="11">
        <v>3.1647086364718433</v>
      </c>
      <c r="M5" s="11">
        <v>3.2024537945736</v>
      </c>
      <c r="N5" s="11">
        <v>2.8091032682413299</v>
      </c>
      <c r="O5" s="11">
        <v>2.9468817150862634</v>
      </c>
      <c r="P5" s="11">
        <v>3.1596357401277686</v>
      </c>
      <c r="Q5" s="11">
        <v>2.9074037737713496</v>
      </c>
      <c r="R5" s="11">
        <v>2.243977860110121</v>
      </c>
      <c r="S5" s="11">
        <v>-0.7094153593976813</v>
      </c>
      <c r="T5" s="11">
        <v>4.1453239543092479</v>
      </c>
      <c r="U5" s="386">
        <f>AVERAGE(B5:T5)</f>
        <v>3.38346743257038</v>
      </c>
    </row>
    <row r="6" spans="1:21" x14ac:dyDescent="0.2">
      <c r="A6" s="3" t="s">
        <v>444</v>
      </c>
      <c r="B6" s="11">
        <v>1.5351254992801273</v>
      </c>
      <c r="C6" s="11">
        <v>2.186115694421602</v>
      </c>
      <c r="D6" s="11">
        <v>1.8039008722737151</v>
      </c>
      <c r="E6" s="11">
        <v>1.3723501276203791</v>
      </c>
      <c r="F6" s="11">
        <v>1.4839694116349165</v>
      </c>
      <c r="G6" s="11">
        <v>-1.2242890007282767</v>
      </c>
      <c r="H6" s="11">
        <v>-5.6932363588226593</v>
      </c>
      <c r="I6" s="11">
        <v>4.0979179193013664</v>
      </c>
      <c r="J6" s="11">
        <v>2.38095237748297E-2</v>
      </c>
      <c r="K6" s="11">
        <v>1.374750999208743</v>
      </c>
      <c r="L6" s="11">
        <v>2.0051001767726007</v>
      </c>
      <c r="M6" s="11">
        <v>0.29620551414262764</v>
      </c>
      <c r="N6" s="11">
        <v>1.5606266967490399</v>
      </c>
      <c r="O6" s="11">
        <v>0.75382674590353815</v>
      </c>
      <c r="P6" s="11">
        <v>1.675331751665027</v>
      </c>
      <c r="Q6" s="11">
        <v>0.58406806724286753</v>
      </c>
      <c r="R6" s="11">
        <v>-0.24035084092271575</v>
      </c>
      <c r="S6" s="11">
        <v>-4.5069045422663407</v>
      </c>
      <c r="T6" s="11">
        <v>1.6570711173229427</v>
      </c>
      <c r="U6" s="386">
        <f t="shared" ref="U6:U20" si="0">AVERAGE(B6:T6)</f>
        <v>0.56554680918812261</v>
      </c>
    </row>
    <row r="7" spans="1:21" x14ac:dyDescent="0.2">
      <c r="A7" s="3" t="s">
        <v>446</v>
      </c>
      <c r="B7" s="11">
        <v>4.5482554264322914</v>
      </c>
      <c r="C7" s="11">
        <v>9.9399826843495731</v>
      </c>
      <c r="D7" s="11">
        <v>7.366322392507584</v>
      </c>
      <c r="E7" s="11">
        <v>9.0067660787175754</v>
      </c>
      <c r="F7" s="11">
        <v>9.0215195126889256</v>
      </c>
      <c r="G7" s="11">
        <v>1.8634834546203507</v>
      </c>
      <c r="H7" s="11">
        <v>0.1279533827780881</v>
      </c>
      <c r="I7" s="11">
        <v>14.519749710899404</v>
      </c>
      <c r="J7" s="11">
        <v>6.2149341685898918</v>
      </c>
      <c r="K7" s="11">
        <v>4.4354975937853709</v>
      </c>
      <c r="L7" s="11">
        <v>4.8176309912067552</v>
      </c>
      <c r="M7" s="11">
        <v>3.9355402770900696</v>
      </c>
      <c r="N7" s="11">
        <v>2.9767993163480639</v>
      </c>
      <c r="O7" s="11">
        <v>3.5616979903604857</v>
      </c>
      <c r="P7" s="11">
        <v>4.661435048648201</v>
      </c>
      <c r="Q7" s="11">
        <v>3.6613049943623537</v>
      </c>
      <c r="R7" s="11">
        <v>1.0956725673258774</v>
      </c>
      <c r="S7" s="11">
        <v>-4.1431056212610571</v>
      </c>
      <c r="T7" s="11">
        <v>7.6139626150264661</v>
      </c>
      <c r="U7" s="386">
        <f t="shared" si="0"/>
        <v>5.011863293919804</v>
      </c>
    </row>
    <row r="8" spans="1:21" x14ac:dyDescent="0.2">
      <c r="A8" s="3" t="s">
        <v>447</v>
      </c>
      <c r="B8" s="11">
        <v>10.038030480837065</v>
      </c>
      <c r="C8" s="11">
        <v>10.113621377896379</v>
      </c>
      <c r="D8" s="11">
        <v>11.394591809866242</v>
      </c>
      <c r="E8" s="11">
        <v>12.720955665172326</v>
      </c>
      <c r="F8" s="11">
        <v>14.230860933287886</v>
      </c>
      <c r="G8" s="11">
        <v>9.6506789193438749</v>
      </c>
      <c r="H8" s="11">
        <v>9.3987256325829662</v>
      </c>
      <c r="I8" s="11">
        <v>10.635871064542627</v>
      </c>
      <c r="J8" s="11">
        <v>9.5508321788642547</v>
      </c>
      <c r="K8" s="11">
        <v>7.8637364486496608</v>
      </c>
      <c r="L8" s="11">
        <v>7.7661500976300175</v>
      </c>
      <c r="M8" s="11">
        <v>7.4257636563259837</v>
      </c>
      <c r="N8" s="11">
        <v>7.0413288787719353</v>
      </c>
      <c r="O8" s="11">
        <v>6.8487622049384385</v>
      </c>
      <c r="P8" s="11">
        <v>6.9472007933066777</v>
      </c>
      <c r="Q8" s="11">
        <v>6.7497738325418055</v>
      </c>
      <c r="R8" s="11">
        <v>5.9505007536746035</v>
      </c>
      <c r="S8" s="11">
        <v>2.2397018569229772</v>
      </c>
      <c r="T8" s="11">
        <v>8.1097925807737994</v>
      </c>
      <c r="U8" s="386">
        <f t="shared" si="0"/>
        <v>8.6672041666278687</v>
      </c>
    </row>
    <row r="9" spans="1:21" x14ac:dyDescent="0.2">
      <c r="A9" s="3" t="s">
        <v>448</v>
      </c>
      <c r="B9" s="11">
        <v>0.15564589801701345</v>
      </c>
      <c r="C9" s="11">
        <v>1.9849457142215243</v>
      </c>
      <c r="D9" s="11">
        <v>2.0508761081388087</v>
      </c>
      <c r="E9" s="11">
        <v>3.4609889541150238</v>
      </c>
      <c r="F9" s="11">
        <v>3.7728425207388199</v>
      </c>
      <c r="G9" s="11">
        <v>2.1703248513360336</v>
      </c>
      <c r="H9" s="11">
        <v>-3.66688393735825</v>
      </c>
      <c r="I9" s="11">
        <v>1.3427393363655256</v>
      </c>
      <c r="J9" s="11">
        <v>1.5511893124465104</v>
      </c>
      <c r="K9" s="11">
        <v>-1.0303539914843611</v>
      </c>
      <c r="L9" s="11">
        <v>-0.13017528844991944</v>
      </c>
      <c r="M9" s="11">
        <v>1.4233953951008402</v>
      </c>
      <c r="N9" s="11">
        <v>1.95916972105708</v>
      </c>
      <c r="O9" s="11">
        <v>2.1917137192612302</v>
      </c>
      <c r="P9" s="11">
        <v>2.9109025131500488</v>
      </c>
      <c r="Q9" s="11">
        <v>2.3609150947851276</v>
      </c>
      <c r="R9" s="11">
        <v>1.9555884157404648</v>
      </c>
      <c r="S9" s="11">
        <v>-3.8860839181960927</v>
      </c>
      <c r="T9" s="11">
        <v>4.8632191493384767</v>
      </c>
      <c r="U9" s="386">
        <f t="shared" si="0"/>
        <v>1.3389978720170477</v>
      </c>
    </row>
    <row r="10" spans="1:21" x14ac:dyDescent="0.2">
      <c r="A10" s="3" t="s">
        <v>453</v>
      </c>
      <c r="B10" s="11">
        <v>3.1096265356164849</v>
      </c>
      <c r="C10" s="11">
        <v>4.4712406748178779</v>
      </c>
      <c r="D10" s="11">
        <v>4.0045971439800496</v>
      </c>
      <c r="E10" s="11">
        <v>4.4204254001090959</v>
      </c>
      <c r="F10" s="11">
        <v>4.3819007711501285</v>
      </c>
      <c r="G10" s="11">
        <v>2.0691757706454297</v>
      </c>
      <c r="H10" s="11">
        <v>-1.3414481452581697</v>
      </c>
      <c r="I10" s="11">
        <v>4.5408382874965696</v>
      </c>
      <c r="J10" s="11">
        <v>3.3103236837363994</v>
      </c>
      <c r="K10" s="11">
        <v>2.7084026800878291</v>
      </c>
      <c r="L10" s="11">
        <v>2.8078921324039925</v>
      </c>
      <c r="M10" s="11">
        <v>3.0906475605099217</v>
      </c>
      <c r="N10" s="11">
        <v>3.0775775365954132</v>
      </c>
      <c r="O10" s="11">
        <v>2.8052579961467927</v>
      </c>
      <c r="P10" s="11">
        <v>3.3862418195027573</v>
      </c>
      <c r="Q10" s="11">
        <v>3.2868640155736273</v>
      </c>
      <c r="R10" s="11">
        <v>2.5914198609057451</v>
      </c>
      <c r="S10" s="11">
        <v>-3.1147419811298249</v>
      </c>
      <c r="T10" s="11">
        <v>5.8742252925719782</v>
      </c>
      <c r="U10" s="386">
        <f t="shared" si="0"/>
        <v>2.9200245808137946</v>
      </c>
    </row>
    <row r="11" spans="1:21" x14ac:dyDescent="0.2">
      <c r="A11" s="3" t="s">
        <v>449</v>
      </c>
      <c r="B11" s="11">
        <v>2.7962091006717031</v>
      </c>
      <c r="C11" s="11">
        <v>3.8525526006435058</v>
      </c>
      <c r="D11" s="11">
        <v>3.4832203202525847</v>
      </c>
      <c r="E11" s="11">
        <v>2.7828106258432683</v>
      </c>
      <c r="F11" s="11">
        <v>2.0105075516332818</v>
      </c>
      <c r="G11" s="11">
        <v>0.1221884429746467</v>
      </c>
      <c r="H11" s="11">
        <v>-2.5998883510855819</v>
      </c>
      <c r="I11" s="11">
        <v>2.7088566941968111</v>
      </c>
      <c r="J11" s="11">
        <v>1.5498949501704544</v>
      </c>
      <c r="K11" s="11">
        <v>2.2806876031918506</v>
      </c>
      <c r="L11" s="11">
        <v>1.8418753951868752</v>
      </c>
      <c r="M11" s="11">
        <v>2.2877759325535862</v>
      </c>
      <c r="N11" s="11">
        <v>2.7063695817639939</v>
      </c>
      <c r="O11" s="11">
        <v>1.667472075961868</v>
      </c>
      <c r="P11" s="11">
        <v>2.2419212159774844</v>
      </c>
      <c r="Q11" s="11">
        <v>2.9453848312678019</v>
      </c>
      <c r="R11" s="11">
        <v>2.2944390776931129</v>
      </c>
      <c r="S11" s="11">
        <v>-2.767802511405776</v>
      </c>
      <c r="T11" s="11">
        <v>5.9454847612217208</v>
      </c>
      <c r="U11" s="386">
        <f t="shared" si="0"/>
        <v>2.0078926262480628</v>
      </c>
    </row>
    <row r="12" spans="1:21" x14ac:dyDescent="0.2">
      <c r="B12" s="11"/>
      <c r="C12" s="11"/>
      <c r="D12" s="11"/>
      <c r="E12" s="11"/>
      <c r="F12" s="11"/>
      <c r="G12" s="11"/>
      <c r="H12" s="11"/>
      <c r="I12" s="11"/>
      <c r="J12" s="11"/>
      <c r="K12" s="11"/>
      <c r="L12" s="11"/>
      <c r="M12" s="11"/>
      <c r="N12" s="11"/>
      <c r="O12" s="11"/>
      <c r="P12" s="11"/>
      <c r="Q12" s="11"/>
      <c r="R12" s="11"/>
      <c r="S12" s="11"/>
      <c r="T12" s="11"/>
    </row>
    <row r="13" spans="1:21" x14ac:dyDescent="0.2">
      <c r="A13" s="3" t="s">
        <v>457</v>
      </c>
      <c r="B13" s="11"/>
      <c r="C13" s="11"/>
      <c r="D13" s="11"/>
      <c r="E13" s="11"/>
      <c r="F13" s="11"/>
      <c r="G13" s="11"/>
      <c r="H13" s="11"/>
      <c r="I13" s="11"/>
      <c r="J13" s="11"/>
      <c r="K13" s="11"/>
      <c r="L13" s="11"/>
      <c r="M13" s="11"/>
      <c r="N13" s="11"/>
      <c r="O13" s="11"/>
      <c r="P13" s="11"/>
      <c r="Q13" s="11"/>
      <c r="R13" s="11"/>
      <c r="S13" s="11"/>
      <c r="T13" s="11"/>
    </row>
    <row r="14" spans="1:21" x14ac:dyDescent="0.2">
      <c r="A14" s="3" t="s">
        <v>455</v>
      </c>
      <c r="B14" s="11">
        <v>3.4499934626881554</v>
      </c>
      <c r="C14" s="11">
        <v>3.1278802877273506</v>
      </c>
      <c r="D14" s="11">
        <v>1.0414014916489975</v>
      </c>
      <c r="E14" s="11">
        <v>-0.22319561244255226</v>
      </c>
      <c r="F14" s="11">
        <v>2.419195944278357</v>
      </c>
      <c r="G14" s="11">
        <v>2.8263023010858035</v>
      </c>
      <c r="H14" s="11">
        <v>3.6086441257284321</v>
      </c>
      <c r="I14" s="11">
        <v>2.7374968372649136</v>
      </c>
      <c r="J14" s="11">
        <v>1.2818638059200964</v>
      </c>
      <c r="K14" s="11">
        <v>1.2518081696316017</v>
      </c>
      <c r="L14" s="11">
        <v>1.0185438050527722</v>
      </c>
      <c r="M14" s="11">
        <v>0.90689675061581454</v>
      </c>
      <c r="N14" s="11">
        <v>3.1855959666495295</v>
      </c>
      <c r="O14" s="11">
        <v>1.986038505453493</v>
      </c>
      <c r="P14" s="11">
        <v>2.2227813815284065</v>
      </c>
      <c r="Q14" s="11">
        <v>0.48294898310261658</v>
      </c>
      <c r="R14" s="11">
        <v>-0.8393253081496681</v>
      </c>
      <c r="S14" s="11">
        <v>1.5637468567534256</v>
      </c>
      <c r="T14" s="11">
        <v>2.4976757211081946</v>
      </c>
      <c r="U14" s="386">
        <f t="shared" si="0"/>
        <v>1.8182259724024075</v>
      </c>
    </row>
    <row r="15" spans="1:21" x14ac:dyDescent="0.2">
      <c r="A15" s="3" t="s">
        <v>444</v>
      </c>
      <c r="B15" s="11">
        <v>-1.6077037075122433</v>
      </c>
      <c r="C15" s="11">
        <v>-1.1247663998524331</v>
      </c>
      <c r="D15" s="11">
        <v>-1.1940176805642722</v>
      </c>
      <c r="E15" s="11">
        <v>-0.86201838922802665</v>
      </c>
      <c r="F15" s="11">
        <v>-0.70524354749979068</v>
      </c>
      <c r="G15" s="11">
        <v>-0.91153028828516369</v>
      </c>
      <c r="H15" s="11">
        <v>-0.56956492462434483</v>
      </c>
      <c r="I15" s="11">
        <v>-1.8807419499391642</v>
      </c>
      <c r="J15" s="11">
        <v>-1.6220802500926652</v>
      </c>
      <c r="K15" s="11">
        <v>-0.75609311955516034</v>
      </c>
      <c r="L15" s="11">
        <v>-0.35437505433027638</v>
      </c>
      <c r="M15" s="11">
        <v>1.6862947862667426</v>
      </c>
      <c r="N15" s="11">
        <v>2.1112989932749997</v>
      </c>
      <c r="O15" s="11">
        <v>0.41994437605725921</v>
      </c>
      <c r="P15" s="11">
        <v>-7.4349503729081334E-2</v>
      </c>
      <c r="Q15" s="11">
        <v>-1.7117966318380695E-3</v>
      </c>
      <c r="R15" s="11">
        <v>0.6368887070527478</v>
      </c>
      <c r="S15" s="11">
        <v>0.90655899145598084</v>
      </c>
      <c r="T15" s="11">
        <v>-0.87562675268753765</v>
      </c>
      <c r="U15" s="386">
        <f t="shared" si="0"/>
        <v>-0.35678092160127722</v>
      </c>
    </row>
    <row r="16" spans="1:21" x14ac:dyDescent="0.2">
      <c r="A16" s="3" t="s">
        <v>446</v>
      </c>
      <c r="B16" s="11">
        <v>-1.7990488693887841</v>
      </c>
      <c r="C16" s="11">
        <v>3.9595282197786759</v>
      </c>
      <c r="D16" s="11">
        <v>1.9005186505386007</v>
      </c>
      <c r="E16" s="11">
        <v>1.8441830136441979</v>
      </c>
      <c r="F16" s="11">
        <v>5.9168244766969451</v>
      </c>
      <c r="G16" s="11">
        <v>-1.3815554316942666</v>
      </c>
      <c r="H16" s="11">
        <v>2.953924643737821</v>
      </c>
      <c r="I16" s="11">
        <v>1.1078087134461612</v>
      </c>
      <c r="J16" s="11">
        <v>1.170798203550973</v>
      </c>
      <c r="K16" s="11">
        <v>0.4953457712008742</v>
      </c>
      <c r="L16" s="11">
        <v>-0.43105939187167053</v>
      </c>
      <c r="M16" s="11">
        <v>-0.26727004163480217</v>
      </c>
      <c r="N16" s="11">
        <v>3.0719550096641797</v>
      </c>
      <c r="O16" s="11">
        <v>0.44264204235142302</v>
      </c>
      <c r="P16" s="11">
        <v>2.8018747449499983</v>
      </c>
      <c r="Q16" s="11">
        <v>3.5068290403118709</v>
      </c>
      <c r="R16" s="11">
        <v>-0.35922223457019697</v>
      </c>
      <c r="S16" s="11">
        <v>-2.9721680940910602</v>
      </c>
      <c r="T16" s="11">
        <v>4.0325142233476328</v>
      </c>
      <c r="U16" s="386">
        <f t="shared" si="0"/>
        <v>1.3681275099983459</v>
      </c>
    </row>
    <row r="17" spans="1:21" x14ac:dyDescent="0.2">
      <c r="A17" s="3" t="s">
        <v>447</v>
      </c>
      <c r="B17" s="11">
        <v>2.6031777188820513</v>
      </c>
      <c r="C17" s="11">
        <v>6.9519926805480452</v>
      </c>
      <c r="D17" s="11">
        <v>3.903744269066479</v>
      </c>
      <c r="E17" s="11">
        <v>3.9265493966713194</v>
      </c>
      <c r="F17" s="11">
        <v>7.7496864931390945</v>
      </c>
      <c r="G17" s="11">
        <v>7.7953460368220533</v>
      </c>
      <c r="H17" s="11">
        <v>-0.20953336106904885</v>
      </c>
      <c r="I17" s="11">
        <v>6.8813802533782393</v>
      </c>
      <c r="J17" s="11">
        <v>8.0756844670159467</v>
      </c>
      <c r="K17" s="11">
        <v>2.3312175757010039</v>
      </c>
      <c r="L17" s="11">
        <v>2.1633700267493765</v>
      </c>
      <c r="M17" s="11">
        <v>1.031063687770839</v>
      </c>
      <c r="N17" s="11">
        <v>-2.9440936079510038E-3</v>
      </c>
      <c r="O17" s="11">
        <v>1.407346027226609</v>
      </c>
      <c r="P17" s="11">
        <v>4.2326819752908023</v>
      </c>
      <c r="Q17" s="11">
        <v>3.4997476355948436</v>
      </c>
      <c r="R17" s="11">
        <v>1.2867004076956761</v>
      </c>
      <c r="S17" s="11">
        <v>0.49144837080720549</v>
      </c>
      <c r="T17" s="11">
        <v>4.3717868980887289</v>
      </c>
      <c r="U17" s="386">
        <f>AVERAGE(B17:T17)</f>
        <v>3.6047603403037534</v>
      </c>
    </row>
    <row r="18" spans="1:21" x14ac:dyDescent="0.2">
      <c r="A18" s="3" t="s">
        <v>448</v>
      </c>
      <c r="B18" s="11">
        <v>2.170279315856007</v>
      </c>
      <c r="C18" s="11">
        <v>1.2040405976972295</v>
      </c>
      <c r="D18" s="11">
        <v>1.9887399549257196</v>
      </c>
      <c r="E18" s="11">
        <v>2.5611063841737547</v>
      </c>
      <c r="F18" s="11">
        <v>2.0722057299483509</v>
      </c>
      <c r="G18" s="11">
        <v>2.3063254984401169</v>
      </c>
      <c r="H18" s="11">
        <v>0.22070161064296201</v>
      </c>
      <c r="I18" s="11">
        <v>0.94041373181121912</v>
      </c>
      <c r="J18" s="11">
        <v>0.19365208682438606</v>
      </c>
      <c r="K18" s="11">
        <v>1.4461095666107724</v>
      </c>
      <c r="L18" s="11">
        <v>1.2799870542613405</v>
      </c>
      <c r="M18" s="11">
        <v>0.25318573200479477</v>
      </c>
      <c r="N18" s="11">
        <v>0.77272797665138171</v>
      </c>
      <c r="O18" s="11">
        <v>0.45466728877330809</v>
      </c>
      <c r="P18" s="11">
        <v>1.2607071580857934</v>
      </c>
      <c r="Q18" s="11">
        <v>2.4370907452052677</v>
      </c>
      <c r="R18" s="11">
        <v>3.03273379248688</v>
      </c>
      <c r="S18" s="11">
        <v>1.9285720163688467</v>
      </c>
      <c r="T18" s="11">
        <v>2.5248214669854434</v>
      </c>
      <c r="U18" s="386">
        <f t="shared" si="0"/>
        <v>1.5288456688291354</v>
      </c>
    </row>
    <row r="19" spans="1:21" x14ac:dyDescent="0.2">
      <c r="A19" s="3" t="s">
        <v>453</v>
      </c>
      <c r="B19" s="11">
        <v>3.9226170209260758</v>
      </c>
      <c r="C19" s="11">
        <v>5.5152123858757278</v>
      </c>
      <c r="D19" s="11">
        <v>5.8005467304875253</v>
      </c>
      <c r="E19" s="11">
        <v>5.4198609344881135</v>
      </c>
      <c r="F19" s="11">
        <v>5.7830107188533191</v>
      </c>
      <c r="G19" s="11">
        <v>7.8609660922653859</v>
      </c>
      <c r="H19" s="11">
        <v>2.1693917326207242</v>
      </c>
      <c r="I19" s="11">
        <v>4.2297849990792855</v>
      </c>
      <c r="J19" s="11">
        <v>5.5390564315126198</v>
      </c>
      <c r="K19" s="11">
        <v>3.6339995760225889</v>
      </c>
      <c r="L19" s="11">
        <v>2.2435897435897374</v>
      </c>
      <c r="M19" s="11">
        <v>1.9445986973370566</v>
      </c>
      <c r="N19" s="11">
        <v>2.240523948051333</v>
      </c>
      <c r="O19" s="11">
        <v>1.9016467754663751</v>
      </c>
      <c r="P19" s="11">
        <v>2.9478772084135869</v>
      </c>
      <c r="Q19" s="11">
        <v>2.71684313517666</v>
      </c>
      <c r="R19" s="11">
        <v>2.4062958850228995</v>
      </c>
      <c r="S19" s="11">
        <v>1.8035639839194957</v>
      </c>
      <c r="T19" s="11">
        <v>4.3276525120331968</v>
      </c>
      <c r="U19" s="386">
        <f t="shared" si="0"/>
        <v>3.8108967637443012</v>
      </c>
    </row>
    <row r="20" spans="1:21" x14ac:dyDescent="0.2">
      <c r="A20" s="3" t="s">
        <v>449</v>
      </c>
      <c r="B20" s="11">
        <v>1.9735993168761752</v>
      </c>
      <c r="C20" s="11">
        <v>2.6844080415182532</v>
      </c>
      <c r="D20" s="11">
        <v>3.1358240667201329</v>
      </c>
      <c r="E20" s="11">
        <v>3.0855829316345051</v>
      </c>
      <c r="F20" s="11">
        <v>2.702526568861515</v>
      </c>
      <c r="G20" s="11">
        <v>1.9179329778406213</v>
      </c>
      <c r="H20" s="11">
        <v>0.6409547326727818</v>
      </c>
      <c r="I20" s="11">
        <v>1.2017916253887222</v>
      </c>
      <c r="J20" s="11">
        <v>2.0777138203681034</v>
      </c>
      <c r="K20" s="11">
        <v>1.8705955293703909</v>
      </c>
      <c r="L20" s="11">
        <v>1.7509497788179118</v>
      </c>
      <c r="M20" s="11">
        <v>1.8698913722099348</v>
      </c>
      <c r="N20" s="11">
        <v>1.000541632911407</v>
      </c>
      <c r="O20" s="11">
        <v>1.002235480218161</v>
      </c>
      <c r="P20" s="11">
        <v>1.8996101399616663</v>
      </c>
      <c r="Q20" s="11">
        <v>2.4040585926438069</v>
      </c>
      <c r="R20" s="11">
        <v>1.7939305008955131</v>
      </c>
      <c r="S20" s="11">
        <v>1.3049120712056208</v>
      </c>
      <c r="T20" s="11">
        <v>4.4927922357685048</v>
      </c>
      <c r="U20" s="386">
        <f t="shared" si="0"/>
        <v>2.0426237587307225</v>
      </c>
    </row>
    <row r="21" spans="1:21" x14ac:dyDescent="0.2">
      <c r="B21" s="11"/>
      <c r="C21" s="11"/>
      <c r="D21" s="11"/>
      <c r="E21" s="11"/>
      <c r="F21" s="11"/>
      <c r="G21" s="11"/>
      <c r="H21" s="11"/>
      <c r="I21" s="11"/>
      <c r="J21" s="11"/>
      <c r="K21" s="11"/>
      <c r="L21" s="11"/>
      <c r="M21" s="11"/>
      <c r="N21" s="11"/>
      <c r="O21" s="11"/>
      <c r="P21" s="11"/>
      <c r="Q21" s="11"/>
      <c r="R21" s="11"/>
      <c r="S21" s="11"/>
      <c r="T21" s="11"/>
    </row>
    <row r="22" spans="1:21" x14ac:dyDescent="0.2">
      <c r="A22" s="3" t="s">
        <v>458</v>
      </c>
      <c r="B22" s="11"/>
      <c r="C22" s="11"/>
      <c r="D22" s="11"/>
      <c r="E22" s="11"/>
      <c r="F22" s="11"/>
      <c r="G22" s="11"/>
      <c r="H22" s="11"/>
      <c r="I22" s="11"/>
      <c r="J22" s="11"/>
      <c r="K22" s="11"/>
      <c r="L22" s="11"/>
      <c r="M22" s="11"/>
      <c r="N22" s="11"/>
      <c r="O22" s="11"/>
      <c r="P22" s="11"/>
      <c r="Q22" s="11"/>
      <c r="R22" s="11"/>
      <c r="S22" s="11"/>
      <c r="T22" s="11"/>
    </row>
    <row r="23" spans="1:21" x14ac:dyDescent="0.2">
      <c r="A23" s="3" t="s">
        <v>455</v>
      </c>
      <c r="B23" s="11">
        <v>2.3515000343322798</v>
      </c>
      <c r="C23" s="11">
        <v>2.5324800014495898</v>
      </c>
      <c r="D23" s="11">
        <v>2.62616991996765</v>
      </c>
      <c r="E23" s="11">
        <v>2.83066010475159</v>
      </c>
      <c r="F23" s="11">
        <v>3.0003399848938002</v>
      </c>
      <c r="G23" s="11">
        <v>3.1234400272369398</v>
      </c>
      <c r="H23" s="11">
        <v>3.2932300567627002</v>
      </c>
      <c r="I23" s="11">
        <v>3.4659399986267099</v>
      </c>
      <c r="J23" s="11">
        <v>3.74361991882324</v>
      </c>
      <c r="K23" s="11">
        <v>4.0255298614501998</v>
      </c>
      <c r="L23" s="11">
        <v>4.14851999282837</v>
      </c>
      <c r="M23" s="11">
        <v>4.2916297912597701</v>
      </c>
      <c r="N23" s="11" t="s">
        <v>463</v>
      </c>
      <c r="O23" s="11" t="s">
        <v>463</v>
      </c>
      <c r="P23" s="11" t="s">
        <v>463</v>
      </c>
      <c r="Q23" s="11" t="s">
        <v>463</v>
      </c>
      <c r="R23" s="11" t="s">
        <v>463</v>
      </c>
      <c r="S23" s="11" t="s">
        <v>463</v>
      </c>
      <c r="T23" s="11" t="s">
        <v>463</v>
      </c>
    </row>
    <row r="24" spans="1:21" x14ac:dyDescent="0.2">
      <c r="A24" s="3" t="s">
        <v>444</v>
      </c>
      <c r="B24" s="11">
        <v>3.1438798904418901</v>
      </c>
      <c r="C24" s="11">
        <v>3.1332099437713601</v>
      </c>
      <c r="D24" s="11">
        <v>3.3087000846862802</v>
      </c>
      <c r="E24" s="11">
        <v>3.4091000556945801</v>
      </c>
      <c r="F24" s="11">
        <v>3.4614200592040998</v>
      </c>
      <c r="G24" s="11">
        <v>3.4670600891113299</v>
      </c>
      <c r="H24" s="11">
        <v>3.3573400974273699</v>
      </c>
      <c r="I24" s="11">
        <v>3.2539401054382302</v>
      </c>
      <c r="J24" s="11">
        <v>3.3831300735473602</v>
      </c>
      <c r="K24" s="11">
        <v>3.34313988685608</v>
      </c>
      <c r="L24" s="11">
        <v>3.4740900993347199</v>
      </c>
      <c r="M24" s="11">
        <v>3.5841801166534402</v>
      </c>
      <c r="N24" s="11" t="s">
        <v>463</v>
      </c>
      <c r="O24" s="11" t="s">
        <v>463</v>
      </c>
      <c r="P24" s="11" t="s">
        <v>463</v>
      </c>
      <c r="Q24" s="11" t="s">
        <v>463</v>
      </c>
      <c r="R24" s="11" t="s">
        <v>463</v>
      </c>
      <c r="S24" s="11" t="s">
        <v>463</v>
      </c>
      <c r="T24" s="11" t="s">
        <v>463</v>
      </c>
    </row>
    <row r="25" spans="1:21" x14ac:dyDescent="0.2">
      <c r="A25" s="3" t="s">
        <v>446</v>
      </c>
      <c r="B25" s="11">
        <v>2.0263600349426301</v>
      </c>
      <c r="C25" s="11">
        <v>2.1045899391174299</v>
      </c>
      <c r="D25" s="11">
        <v>2.1606700420379599</v>
      </c>
      <c r="E25" s="11">
        <v>2.1332800388336199</v>
      </c>
      <c r="F25" s="11">
        <v>2.3369901180267298</v>
      </c>
      <c r="G25" s="11">
        <v>2.6208200454711901</v>
      </c>
      <c r="H25" s="11">
        <v>2.1592500209808398</v>
      </c>
      <c r="I25" s="11">
        <v>2.0129699707031299</v>
      </c>
      <c r="J25" s="11">
        <v>2.1505498886108398</v>
      </c>
      <c r="K25" s="11">
        <v>1.9994699954986599</v>
      </c>
      <c r="L25" s="11">
        <v>2.0004799365997301</v>
      </c>
      <c r="M25" s="11">
        <v>2.18578004837036</v>
      </c>
      <c r="N25" s="11" t="s">
        <v>463</v>
      </c>
      <c r="O25" s="11" t="s">
        <v>463</v>
      </c>
      <c r="P25" s="11" t="s">
        <v>463</v>
      </c>
      <c r="Q25" s="11" t="s">
        <v>463</v>
      </c>
      <c r="R25" s="11" t="s">
        <v>463</v>
      </c>
      <c r="S25" s="11" t="s">
        <v>463</v>
      </c>
      <c r="T25" s="11" t="s">
        <v>463</v>
      </c>
    </row>
    <row r="26" spans="1:21" x14ac:dyDescent="0.2">
      <c r="A26" s="3" t="s">
        <v>447</v>
      </c>
      <c r="B26" s="11">
        <v>1.1274000406265301</v>
      </c>
      <c r="C26" s="11">
        <v>1.22350001335144</v>
      </c>
      <c r="D26" s="11">
        <v>1.3179299831390401</v>
      </c>
      <c r="E26" s="11">
        <v>1.3797399997711199</v>
      </c>
      <c r="F26" s="11">
        <v>1.3843200206756601</v>
      </c>
      <c r="G26" s="11">
        <v>1.4572999477386499</v>
      </c>
      <c r="H26" s="11">
        <v>1.67870998382568</v>
      </c>
      <c r="I26" s="11">
        <v>1.72720003128052</v>
      </c>
      <c r="J26" s="11">
        <v>1.7943799495696999</v>
      </c>
      <c r="K26" s="11">
        <v>1.92809998989105</v>
      </c>
      <c r="L26" s="11">
        <v>2.0146598815918</v>
      </c>
      <c r="M26" s="11">
        <v>2.0460400581359899</v>
      </c>
      <c r="N26" s="11" t="s">
        <v>463</v>
      </c>
      <c r="O26" s="11" t="s">
        <v>463</v>
      </c>
      <c r="P26" s="11" t="s">
        <v>463</v>
      </c>
      <c r="Q26" s="11" t="s">
        <v>463</v>
      </c>
      <c r="R26" s="11" t="s">
        <v>463</v>
      </c>
      <c r="S26" s="11" t="s">
        <v>463</v>
      </c>
      <c r="T26" s="11" t="s">
        <v>463</v>
      </c>
    </row>
    <row r="27" spans="1:21" x14ac:dyDescent="0.2">
      <c r="A27" s="3" t="s">
        <v>448</v>
      </c>
      <c r="B27" s="11">
        <v>1.8055100440978999</v>
      </c>
      <c r="C27" s="11">
        <v>1.8072700500488299</v>
      </c>
      <c r="D27" s="11">
        <v>1.7910300493240401</v>
      </c>
      <c r="E27" s="11">
        <v>1.7567000389099101</v>
      </c>
      <c r="F27" s="11">
        <v>1.68633997440338</v>
      </c>
      <c r="G27" s="11">
        <v>1.6430900096893299</v>
      </c>
      <c r="H27" s="11">
        <v>1.6854000091552701</v>
      </c>
      <c r="I27" s="11">
        <v>1.7247500419616699</v>
      </c>
      <c r="J27" s="11">
        <v>1.90305995941162</v>
      </c>
      <c r="K27" s="11">
        <v>1.9394500255584699</v>
      </c>
      <c r="L27" s="11">
        <v>1.95793998241425</v>
      </c>
      <c r="M27" s="11">
        <v>1.9728000164032</v>
      </c>
      <c r="N27" s="11" t="s">
        <v>463</v>
      </c>
      <c r="O27" s="11" t="s">
        <v>463</v>
      </c>
      <c r="P27" s="11" t="s">
        <v>463</v>
      </c>
      <c r="Q27" s="11" t="s">
        <v>463</v>
      </c>
      <c r="R27" s="11" t="s">
        <v>463</v>
      </c>
      <c r="S27" s="11" t="s">
        <v>463</v>
      </c>
      <c r="T27" s="11" t="s">
        <v>463</v>
      </c>
    </row>
    <row r="28" spans="1:21" x14ac:dyDescent="0.2">
      <c r="A28" s="3" t="s">
        <v>453</v>
      </c>
      <c r="B28" s="11">
        <v>2.0488127066253106</v>
      </c>
      <c r="C28" s="11">
        <v>2.0002294379544012</v>
      </c>
      <c r="D28" s="11">
        <v>1.9908385968048055</v>
      </c>
      <c r="E28" s="11">
        <v>1.9999720917348911</v>
      </c>
      <c r="F28" s="11">
        <v>1.9667540476935002</v>
      </c>
      <c r="G28" s="11">
        <v>2.0322530107736303</v>
      </c>
      <c r="H28" s="11">
        <v>2.064032272981521</v>
      </c>
      <c r="I28" s="11">
        <v>2.0612277496969997</v>
      </c>
      <c r="J28" s="11">
        <v>2.0536715188507282</v>
      </c>
      <c r="K28" s="11">
        <v>2.1329625328887118</v>
      </c>
      <c r="L28" s="11">
        <v>2.1286770430854025</v>
      </c>
      <c r="M28" s="11" t="s">
        <v>463</v>
      </c>
      <c r="N28" s="11" t="s">
        <v>463</v>
      </c>
      <c r="O28" s="11" t="s">
        <v>463</v>
      </c>
      <c r="P28" s="11" t="s">
        <v>463</v>
      </c>
      <c r="Q28" s="11" t="s">
        <v>463</v>
      </c>
      <c r="R28" s="11" t="s">
        <v>463</v>
      </c>
      <c r="S28" s="11" t="s">
        <v>463</v>
      </c>
      <c r="T28" s="11" t="s">
        <v>463</v>
      </c>
    </row>
    <row r="29" spans="1:21" x14ac:dyDescent="0.2">
      <c r="A29" s="3" t="s">
        <v>449</v>
      </c>
      <c r="B29" s="11">
        <v>2.5528600215911901</v>
      </c>
      <c r="C29" s="11">
        <v>2.4899599552154501</v>
      </c>
      <c r="D29" s="11">
        <v>2.5060000419616699</v>
      </c>
      <c r="E29" s="11">
        <v>2.55001997947693</v>
      </c>
      <c r="F29" s="11">
        <v>2.6269299983978298</v>
      </c>
      <c r="G29" s="11">
        <v>2.7668299674987802</v>
      </c>
      <c r="H29" s="11">
        <v>2.8185999393463099</v>
      </c>
      <c r="I29" s="11">
        <v>2.7404599189758301</v>
      </c>
      <c r="J29" s="11">
        <v>2.7629098892211901</v>
      </c>
      <c r="K29" s="11">
        <v>2.69796991348267</v>
      </c>
      <c r="L29" s="11">
        <v>2.72528004646301</v>
      </c>
      <c r="M29" s="11" t="s">
        <v>463</v>
      </c>
      <c r="N29" s="11" t="s">
        <v>463</v>
      </c>
      <c r="O29" s="11" t="s">
        <v>463</v>
      </c>
      <c r="P29" s="11" t="s">
        <v>463</v>
      </c>
      <c r="Q29" s="11" t="s">
        <v>463</v>
      </c>
      <c r="R29" s="11" t="s">
        <v>463</v>
      </c>
      <c r="S29" s="11" t="s">
        <v>463</v>
      </c>
      <c r="T29" s="11" t="s">
        <v>463</v>
      </c>
    </row>
    <row r="30" spans="1:21" x14ac:dyDescent="0.2">
      <c r="B30" s="11"/>
      <c r="C30" s="11"/>
      <c r="D30" s="11"/>
      <c r="E30" s="11"/>
      <c r="F30" s="11"/>
      <c r="G30" s="11"/>
      <c r="H30" s="11"/>
      <c r="I30" s="11"/>
      <c r="J30" s="11"/>
      <c r="K30" s="11"/>
      <c r="L30" s="11"/>
      <c r="M30" s="11"/>
      <c r="N30" s="11"/>
      <c r="O30" s="11"/>
      <c r="P30" s="11"/>
      <c r="Q30" s="11"/>
      <c r="R30" s="11"/>
      <c r="S30" s="11"/>
      <c r="T30" s="11"/>
    </row>
    <row r="31" spans="1:21" x14ac:dyDescent="0.2">
      <c r="A31" s="3" t="s">
        <v>464</v>
      </c>
    </row>
    <row r="32" spans="1:21" x14ac:dyDescent="0.2">
      <c r="A32" s="3" t="s">
        <v>455</v>
      </c>
      <c r="B32" s="388">
        <v>702717332012.99084</v>
      </c>
      <c r="C32" s="388">
        <v>793175007858.06592</v>
      </c>
      <c r="D32" s="388">
        <v>934901071332.98376</v>
      </c>
      <c r="E32" s="388">
        <v>1053216909887.5618</v>
      </c>
      <c r="F32" s="388">
        <v>1172614086539.8635</v>
      </c>
      <c r="G32" s="388">
        <v>1047339010225.2472</v>
      </c>
      <c r="H32" s="388">
        <v>943941876218.74329</v>
      </c>
      <c r="I32" s="388">
        <v>1144066965324.4941</v>
      </c>
      <c r="J32" s="388">
        <v>1253223044718.9871</v>
      </c>
      <c r="K32" s="388">
        <v>1278427634342.5857</v>
      </c>
      <c r="L32" s="388">
        <v>1370795199976.1794</v>
      </c>
      <c r="M32" s="388">
        <v>1484318219633.6272</v>
      </c>
      <c r="N32" s="388">
        <v>1465773245547.1497</v>
      </c>
      <c r="O32" s="388">
        <v>1500111596236.3718</v>
      </c>
      <c r="P32" s="388">
        <v>1623901496835.7908</v>
      </c>
      <c r="Q32" s="388">
        <v>1724845615629.2595</v>
      </c>
      <c r="R32" s="388">
        <v>1651422932447.7681</v>
      </c>
      <c r="S32" s="388">
        <v>1644312831906.1692</v>
      </c>
      <c r="T32" s="388">
        <v>1810955871380.9761</v>
      </c>
    </row>
    <row r="33" spans="1:22" x14ac:dyDescent="0.2">
      <c r="A33" s="3" t="s">
        <v>444</v>
      </c>
      <c r="B33" s="388">
        <v>4519561645253.5293</v>
      </c>
      <c r="C33" s="388">
        <v>4893116005656.5586</v>
      </c>
      <c r="D33" s="388">
        <v>4831467035389.7998</v>
      </c>
      <c r="E33" s="388">
        <v>4601663122649.9209</v>
      </c>
      <c r="F33" s="388">
        <v>4579750920354.8086</v>
      </c>
      <c r="G33" s="388">
        <v>5106679115127.2988</v>
      </c>
      <c r="H33" s="388">
        <v>5289493117993.8896</v>
      </c>
      <c r="I33" s="388">
        <v>5759071769013.1133</v>
      </c>
      <c r="J33" s="388">
        <v>6233147172341.3486</v>
      </c>
      <c r="K33" s="388">
        <v>6272362996105.0342</v>
      </c>
      <c r="L33" s="388">
        <v>5212328181166.1846</v>
      </c>
      <c r="M33" s="388">
        <v>4896994405353.292</v>
      </c>
      <c r="N33" s="388">
        <v>4444930651964.1797</v>
      </c>
      <c r="O33" s="388">
        <v>5003677627544.2402</v>
      </c>
      <c r="P33" s="388">
        <v>4930837369151.4219</v>
      </c>
      <c r="Q33" s="388">
        <v>5037835383110.9668</v>
      </c>
      <c r="R33" s="388">
        <v>5123318151510.623</v>
      </c>
      <c r="S33" s="388">
        <v>5040107754084.1064</v>
      </c>
      <c r="T33" s="388">
        <v>4940877780755.3262</v>
      </c>
    </row>
    <row r="34" spans="1:22" x14ac:dyDescent="0.2">
      <c r="A34" s="3" t="s">
        <v>446</v>
      </c>
      <c r="B34" s="388">
        <v>97645448283.779129</v>
      </c>
      <c r="C34" s="388">
        <v>115035498757.54349</v>
      </c>
      <c r="D34" s="388">
        <v>127807618360.97092</v>
      </c>
      <c r="E34" s="388">
        <v>148630373214.17334</v>
      </c>
      <c r="F34" s="388">
        <v>180941941477.00879</v>
      </c>
      <c r="G34" s="388">
        <v>193611986712.84186</v>
      </c>
      <c r="H34" s="388">
        <v>194152286008.93781</v>
      </c>
      <c r="I34" s="388">
        <v>239809387605.42722</v>
      </c>
      <c r="J34" s="388">
        <v>279351168707.26666</v>
      </c>
      <c r="K34" s="388">
        <v>295087220933.02393</v>
      </c>
      <c r="L34" s="388">
        <v>307576360584.99158</v>
      </c>
      <c r="M34" s="388">
        <v>314851156183.41095</v>
      </c>
      <c r="N34" s="388">
        <v>308004146057.6084</v>
      </c>
      <c r="O34" s="388">
        <v>318832428519.72498</v>
      </c>
      <c r="P34" s="388">
        <v>343193352161.63373</v>
      </c>
      <c r="Q34" s="388">
        <v>376998146500.59314</v>
      </c>
      <c r="R34" s="388">
        <v>375472731271.07458</v>
      </c>
      <c r="S34" s="388">
        <v>345295933898.67365</v>
      </c>
      <c r="T34" s="388">
        <v>396986899888.35132</v>
      </c>
    </row>
    <row r="35" spans="1:22" x14ac:dyDescent="0.2">
      <c r="A35" s="3" t="s">
        <v>447</v>
      </c>
      <c r="B35" s="388">
        <v>1660287965662.6799</v>
      </c>
      <c r="C35" s="388">
        <v>1955347004963.271</v>
      </c>
      <c r="D35" s="388">
        <v>2285965892360.5435</v>
      </c>
      <c r="E35" s="388">
        <v>2752131773355.1558</v>
      </c>
      <c r="F35" s="388">
        <v>3550342737010.8447</v>
      </c>
      <c r="G35" s="388">
        <v>4594307032660.7861</v>
      </c>
      <c r="H35" s="388">
        <v>5101703073086.0439</v>
      </c>
      <c r="I35" s="388">
        <v>6087163874512.208</v>
      </c>
      <c r="J35" s="388">
        <v>7551500124203.3584</v>
      </c>
      <c r="K35" s="388">
        <v>8532229986993.6475</v>
      </c>
      <c r="L35" s="388">
        <v>9570406235659.6406</v>
      </c>
      <c r="M35" s="388">
        <v>10475682920594.459</v>
      </c>
      <c r="N35" s="388">
        <v>11061553079876.355</v>
      </c>
      <c r="O35" s="388">
        <v>11233276536737.15</v>
      </c>
      <c r="P35" s="388">
        <v>12310409370892.762</v>
      </c>
      <c r="Q35" s="388">
        <v>13894817549374.244</v>
      </c>
      <c r="R35" s="388">
        <v>14279937500606.508</v>
      </c>
      <c r="S35" s="388">
        <v>14687673892881.984</v>
      </c>
      <c r="T35" s="388">
        <v>17734062645371.375</v>
      </c>
    </row>
    <row r="36" spans="1:22" x14ac:dyDescent="0.2">
      <c r="A36" s="3" t="s">
        <v>448</v>
      </c>
      <c r="B36" s="388">
        <v>580070360701.95959</v>
      </c>
      <c r="C36" s="388">
        <v>658380081545.17542</v>
      </c>
      <c r="D36" s="388">
        <v>685348181515.953</v>
      </c>
      <c r="E36" s="388">
        <v>733955269898.82251</v>
      </c>
      <c r="F36" s="388">
        <v>848558887541.1792</v>
      </c>
      <c r="G36" s="388">
        <v>951869997864.06226</v>
      </c>
      <c r="H36" s="388">
        <v>871518638049.21814</v>
      </c>
      <c r="I36" s="388">
        <v>847380859016.66833</v>
      </c>
      <c r="J36" s="388">
        <v>905270626332.68665</v>
      </c>
      <c r="K36" s="388">
        <v>838923319919.53149</v>
      </c>
      <c r="L36" s="388">
        <v>877172824534.51233</v>
      </c>
      <c r="M36" s="388">
        <v>892167986713.72241</v>
      </c>
      <c r="N36" s="388">
        <v>765572770634.37463</v>
      </c>
      <c r="O36" s="388">
        <v>784060430240.07971</v>
      </c>
      <c r="P36" s="388">
        <v>833869641687.0603</v>
      </c>
      <c r="Q36" s="388">
        <v>914043438179.60718</v>
      </c>
      <c r="R36" s="388">
        <v>910194347568.62598</v>
      </c>
      <c r="S36" s="388">
        <v>909793466661.48108</v>
      </c>
      <c r="T36" s="388">
        <v>1012846760976.7279</v>
      </c>
    </row>
    <row r="37" spans="1:22" x14ac:dyDescent="0.2">
      <c r="A37" s="3" t="s">
        <v>453</v>
      </c>
      <c r="B37" s="388">
        <v>39152219944703.523</v>
      </c>
      <c r="C37" s="388">
        <v>44123871631674.5</v>
      </c>
      <c r="D37" s="388">
        <v>47784318320003.891</v>
      </c>
      <c r="E37" s="388">
        <v>51780102663354.961</v>
      </c>
      <c r="F37" s="388">
        <v>58349348476252.422</v>
      </c>
      <c r="G37" s="388">
        <v>64120604168598.344</v>
      </c>
      <c r="H37" s="388">
        <v>60803913019546.531</v>
      </c>
      <c r="I37" s="388">
        <v>66605599347148.477</v>
      </c>
      <c r="J37" s="388">
        <v>73857461479872.312</v>
      </c>
      <c r="K37" s="388">
        <v>75500388177983.547</v>
      </c>
      <c r="L37" s="388">
        <v>77606228872413.938</v>
      </c>
      <c r="M37" s="388">
        <v>79732636600985.5</v>
      </c>
      <c r="N37" s="388">
        <v>75186364779691.656</v>
      </c>
      <c r="O37" s="388">
        <v>76469364472137.875</v>
      </c>
      <c r="P37" s="388">
        <v>81409498368206.078</v>
      </c>
      <c r="Q37" s="388">
        <v>86466958777951.672</v>
      </c>
      <c r="R37" s="388">
        <v>87654250895445.703</v>
      </c>
      <c r="S37" s="388">
        <v>85116336691718.734</v>
      </c>
      <c r="T37" s="388">
        <v>96527425918257.781</v>
      </c>
    </row>
    <row r="38" spans="1:22" x14ac:dyDescent="0.2">
      <c r="A38" s="3" t="s">
        <v>449</v>
      </c>
      <c r="B38" s="388">
        <v>11456442041000</v>
      </c>
      <c r="C38" s="388">
        <v>12217193198000</v>
      </c>
      <c r="D38" s="388">
        <v>13039199193000</v>
      </c>
      <c r="E38" s="388">
        <v>13815586948000</v>
      </c>
      <c r="F38" s="388">
        <v>14474226905000</v>
      </c>
      <c r="G38" s="388">
        <v>14769857911000</v>
      </c>
      <c r="H38" s="388">
        <v>14478064934000</v>
      </c>
      <c r="I38" s="388">
        <v>15048964444000</v>
      </c>
      <c r="J38" s="388">
        <v>15599728123000</v>
      </c>
      <c r="K38" s="388">
        <v>16253972230000</v>
      </c>
      <c r="L38" s="388">
        <v>16843190993000</v>
      </c>
      <c r="M38" s="388">
        <v>17550680174000</v>
      </c>
      <c r="N38" s="388">
        <v>18206020741000</v>
      </c>
      <c r="O38" s="388">
        <v>18695110842000</v>
      </c>
      <c r="P38" s="388">
        <v>19477336549000</v>
      </c>
      <c r="Q38" s="388">
        <v>20533057312000</v>
      </c>
      <c r="R38" s="388">
        <v>21380976119000</v>
      </c>
      <c r="S38" s="388">
        <v>21060473613000</v>
      </c>
      <c r="T38" s="388">
        <v>23315080560000</v>
      </c>
    </row>
    <row r="40" spans="1:22" x14ac:dyDescent="0.2">
      <c r="A40" s="3" t="s">
        <v>465</v>
      </c>
      <c r="U40" s="386" t="s">
        <v>466</v>
      </c>
    </row>
    <row r="41" spans="1:22" x14ac:dyDescent="0.2">
      <c r="A41" s="3" t="s">
        <v>455</v>
      </c>
      <c r="B41" s="125">
        <f>B32*(B23/100)/1000000</f>
        <v>16524.39830354436</v>
      </c>
      <c r="C41" s="125">
        <f t="shared" ref="C41:M47" si="1">C32*(C23/100)/1000000</f>
        <v>20086.998450501731</v>
      </c>
      <c r="D41" s="125">
        <f t="shared" si="1"/>
        <v>24552.090716802126</v>
      </c>
      <c r="E41" s="125">
        <f t="shared" si="1"/>
        <v>29812.990884684714</v>
      </c>
      <c r="F41" s="125">
        <f t="shared" si="1"/>
        <v>35182.409306952715</v>
      </c>
      <c r="G41" s="125">
        <f t="shared" si="1"/>
        <v>32713.005866242554</v>
      </c>
      <c r="H41" s="125">
        <f t="shared" si="1"/>
        <v>31086.177586005411</v>
      </c>
      <c r="I41" s="125">
        <f t="shared" si="1"/>
        <v>39652.674562256412</v>
      </c>
      <c r="J41" s="125">
        <f t="shared" si="1"/>
        <v>46915.907529383083</v>
      </c>
      <c r="K41" s="125">
        <f t="shared" si="1"/>
        <v>51463.486177492159</v>
      </c>
      <c r="L41" s="125">
        <f t="shared" si="1"/>
        <v>56867.712931743437</v>
      </c>
      <c r="M41" s="125">
        <f t="shared" si="1"/>
        <v>63701.442910893362</v>
      </c>
      <c r="N41" s="125"/>
      <c r="O41" s="125"/>
      <c r="P41" s="125"/>
      <c r="Q41" s="125"/>
      <c r="R41" s="125"/>
      <c r="S41" s="125"/>
      <c r="T41" s="125"/>
      <c r="U41" s="78">
        <f>(M41/B41)^(1/($M$3-$B$3+1))-1</f>
        <v>0.11901343630857086</v>
      </c>
    </row>
    <row r="42" spans="1:22" x14ac:dyDescent="0.2">
      <c r="A42" s="3" t="s">
        <v>444</v>
      </c>
      <c r="B42" s="125">
        <f t="shared" ref="B42:M47" si="2">B33*(B24/100)/1000000</f>
        <v>142089.58970125034</v>
      </c>
      <c r="C42" s="125">
        <f t="shared" si="2"/>
        <v>153311.59724949929</v>
      </c>
      <c r="D42" s="125">
        <f t="shared" si="2"/>
        <v>159858.75389153202</v>
      </c>
      <c r="E42" s="125">
        <f t="shared" si="2"/>
        <v>156875.30007713541</v>
      </c>
      <c r="F42" s="125">
        <f t="shared" si="2"/>
        <v>158524.41701874573</v>
      </c>
      <c r="G42" s="125">
        <f t="shared" si="2"/>
        <v>177051.63347956218</v>
      </c>
      <c r="H42" s="125">
        <f t="shared" si="2"/>
        <v>177586.2734010701</v>
      </c>
      <c r="I42" s="125">
        <f t="shared" si="2"/>
        <v>187396.74599288864</v>
      </c>
      <c r="J42" s="125">
        <f t="shared" si="2"/>
        <v>210875.47651594706</v>
      </c>
      <c r="K42" s="125">
        <f t="shared" si="2"/>
        <v>209693.86917118847</v>
      </c>
      <c r="L42" s="125">
        <f t="shared" si="2"/>
        <v>181080.9772867279</v>
      </c>
      <c r="M42" s="125">
        <f t="shared" si="2"/>
        <v>175517.09979030408</v>
      </c>
      <c r="N42" s="125"/>
      <c r="O42" s="125"/>
      <c r="P42" s="125"/>
      <c r="Q42" s="125"/>
      <c r="R42" s="125"/>
      <c r="S42" s="125"/>
      <c r="T42" s="125"/>
      <c r="U42" s="78">
        <f t="shared" ref="U42:U43" si="3">(M42/B42)^(1/($M$3-$B$3+1))-1</f>
        <v>1.7762467514073066E-2</v>
      </c>
    </row>
    <row r="43" spans="1:22" x14ac:dyDescent="0.2">
      <c r="A43" s="3" t="s">
        <v>446</v>
      </c>
      <c r="B43" s="125">
        <f t="shared" si="2"/>
        <v>1978.6483399630745</v>
      </c>
      <c r="C43" s="125">
        <f t="shared" si="1"/>
        <v>2421.0255332648162</v>
      </c>
      <c r="D43" s="125">
        <f t="shared" si="1"/>
        <v>2761.5009213677058</v>
      </c>
      <c r="E43" s="125">
        <f t="shared" si="1"/>
        <v>3170.7020834218711</v>
      </c>
      <c r="F43" s="125">
        <f t="shared" si="1"/>
        <v>4228.5952916834049</v>
      </c>
      <c r="G43" s="125">
        <f t="shared" si="1"/>
        <v>5074.2217582051762</v>
      </c>
      <c r="H43" s="125">
        <f t="shared" si="1"/>
        <v>4192.2332763827699</v>
      </c>
      <c r="I43" s="125">
        <f t="shared" si="1"/>
        <v>4827.2909594243229</v>
      </c>
      <c r="J43" s="125">
        <f t="shared" si="1"/>
        <v>6007.5862474672031</v>
      </c>
      <c r="K43" s="125">
        <f t="shared" si="1"/>
        <v>5900.1804431066539</v>
      </c>
      <c r="L43" s="125">
        <f t="shared" si="1"/>
        <v>6153.0033832263971</v>
      </c>
      <c r="M43" s="125">
        <f t="shared" si="1"/>
        <v>6881.9537539203975</v>
      </c>
      <c r="N43" s="125"/>
      <c r="O43" s="125"/>
      <c r="P43" s="125"/>
      <c r="Q43" s="125"/>
      <c r="R43" s="125"/>
      <c r="S43" s="125"/>
      <c r="T43" s="125"/>
      <c r="U43" s="78">
        <f t="shared" si="3"/>
        <v>0.10946071254245204</v>
      </c>
    </row>
    <row r="44" spans="1:22" x14ac:dyDescent="0.2">
      <c r="A44" s="3" t="s">
        <v>447</v>
      </c>
      <c r="B44" s="125">
        <f t="shared" si="2"/>
        <v>18718.08719939844</v>
      </c>
      <c r="C44" s="125">
        <f t="shared" si="1"/>
        <v>23923.670866792603</v>
      </c>
      <c r="D44" s="125">
        <f t="shared" si="1"/>
        <v>30127.429899751518</v>
      </c>
      <c r="E44" s="125">
        <f t="shared" si="1"/>
        <v>37972.262923391347</v>
      </c>
      <c r="F44" s="125">
        <f t="shared" si="1"/>
        <v>49148.105311045329</v>
      </c>
      <c r="G44" s="125">
        <f t="shared" si="1"/>
        <v>66952.833985918754</v>
      </c>
      <c r="H44" s="125">
        <f t="shared" si="1"/>
        <v>85642.798833036955</v>
      </c>
      <c r="I44" s="125">
        <f t="shared" si="1"/>
        <v>105137.49634467137</v>
      </c>
      <c r="J44" s="125">
        <f t="shared" si="1"/>
        <v>135502.60412043607</v>
      </c>
      <c r="K44" s="125">
        <f t="shared" si="1"/>
        <v>164509.92551670567</v>
      </c>
      <c r="L44" s="125">
        <f t="shared" si="1"/>
        <v>192811.13493519477</v>
      </c>
      <c r="M44" s="125">
        <f t="shared" si="1"/>
        <v>214336.66891867283</v>
      </c>
      <c r="N44" s="125"/>
      <c r="O44" s="125"/>
      <c r="P44" s="125"/>
      <c r="Q44" s="125"/>
      <c r="R44" s="125"/>
      <c r="S44" s="125"/>
      <c r="T44" s="125"/>
      <c r="U44" s="78">
        <f>(M44/I44)^(1/($M$3-$I$3+1))-1</f>
        <v>0.15310211629995019</v>
      </c>
      <c r="V44" s="3" t="s">
        <v>468</v>
      </c>
    </row>
    <row r="45" spans="1:22" x14ac:dyDescent="0.2">
      <c r="A45" s="3" t="s">
        <v>448</v>
      </c>
      <c r="B45" s="125">
        <f t="shared" si="2"/>
        <v>10473.228625308799</v>
      </c>
      <c r="C45" s="125">
        <f t="shared" si="1"/>
        <v>11898.706029253019</v>
      </c>
      <c r="D45" s="125">
        <f t="shared" si="1"/>
        <v>12274.791873446584</v>
      </c>
      <c r="E45" s="125">
        <f t="shared" si="1"/>
        <v>12893.39251189395</v>
      </c>
      <c r="F45" s="125">
        <f t="shared" si="1"/>
        <v>14309.587726959528</v>
      </c>
      <c r="G45" s="125">
        <f t="shared" si="1"/>
        <v>15640.080840134447</v>
      </c>
      <c r="H45" s="125">
        <f t="shared" si="1"/>
        <v>14688.575205471407</v>
      </c>
      <c r="I45" s="125">
        <f t="shared" si="1"/>
        <v>14615.201721465146</v>
      </c>
      <c r="J45" s="125">
        <f t="shared" si="1"/>
        <v>17227.842814052143</v>
      </c>
      <c r="K45" s="125">
        <f t="shared" si="1"/>
        <v>16270.498542595316</v>
      </c>
      <c r="L45" s="125">
        <f t="shared" si="1"/>
        <v>17174.517446433612</v>
      </c>
      <c r="M45" s="125">
        <f t="shared" si="1"/>
        <v>17600.690188232413</v>
      </c>
      <c r="N45" s="125"/>
      <c r="O45" s="125"/>
      <c r="P45" s="125"/>
      <c r="Q45" s="125"/>
      <c r="R45" s="125"/>
      <c r="S45" s="125"/>
      <c r="T45" s="125"/>
      <c r="U45" s="78">
        <f>(M45/B45)^(1/($M$3-$B$3+1))-1</f>
        <v>4.4208985906812659E-2</v>
      </c>
    </row>
    <row r="46" spans="1:22" x14ac:dyDescent="0.2">
      <c r="A46" s="3" t="s">
        <v>453</v>
      </c>
      <c r="B46" s="125">
        <f t="shared" si="2"/>
        <v>802155.65715297498</v>
      </c>
      <c r="C46" s="125">
        <f t="shared" si="1"/>
        <v>882578.66954196419</v>
      </c>
      <c r="D46" s="125">
        <f t="shared" si="1"/>
        <v>951308.65233470721</v>
      </c>
      <c r="E46" s="125">
        <f t="shared" si="1"/>
        <v>1035587.6023387742</v>
      </c>
      <c r="F46" s="125">
        <f t="shared" si="1"/>
        <v>1147588.1729594802</v>
      </c>
      <c r="G46" s="125">
        <f t="shared" si="1"/>
        <v>1303092.9087425817</v>
      </c>
      <c r="H46" s="125">
        <f t="shared" si="1"/>
        <v>1255012.3879590533</v>
      </c>
      <c r="I46" s="125">
        <f t="shared" si="1"/>
        <v>1372893.0965954282</v>
      </c>
      <c r="J46" s="125">
        <f t="shared" si="1"/>
        <v>1516789.6509582854</v>
      </c>
      <c r="K46" s="125">
        <f t="shared" si="1"/>
        <v>1610394.9920219271</v>
      </c>
      <c r="L46" s="125">
        <f t="shared" si="1"/>
        <v>1651985.9780113909</v>
      </c>
      <c r="M46" s="125"/>
      <c r="N46" s="125"/>
      <c r="O46" s="125"/>
      <c r="P46" s="125"/>
      <c r="Q46" s="125"/>
      <c r="R46" s="125"/>
      <c r="S46" s="125"/>
      <c r="T46" s="125"/>
      <c r="U46" s="78">
        <f>(L46/B46)^(1/($L$3-$B$3+1))-1</f>
        <v>6.7880162072886385E-2</v>
      </c>
    </row>
    <row r="47" spans="1:22" x14ac:dyDescent="0.2">
      <c r="A47" s="3" t="s">
        <v>449</v>
      </c>
      <c r="B47" s="125">
        <f t="shared" si="2"/>
        <v>292466.92876145476</v>
      </c>
      <c r="C47" s="125">
        <f t="shared" si="1"/>
        <v>304203.2182815058</v>
      </c>
      <c r="D47" s="125">
        <f t="shared" si="1"/>
        <v>326762.33724804572</v>
      </c>
      <c r="E47" s="125">
        <f t="shared" si="1"/>
        <v>352300.22745600704</v>
      </c>
      <c r="F47" s="125">
        <f t="shared" si="1"/>
        <v>380227.80860361474</v>
      </c>
      <c r="G47" s="125">
        <f t="shared" si="1"/>
        <v>408656.85483853729</v>
      </c>
      <c r="H47" s="125">
        <f t="shared" si="1"/>
        <v>408078.72944824334</v>
      </c>
      <c r="I47" s="125">
        <f t="shared" si="1"/>
        <v>412410.83880874392</v>
      </c>
      <c r="J47" s="125">
        <f t="shared" si="1"/>
        <v>431006.43100198609</v>
      </c>
      <c r="K47" s="125">
        <f t="shared" si="1"/>
        <v>438527.28051122819</v>
      </c>
      <c r="L47" s="125">
        <f t="shared" si="1"/>
        <v>459024.12331988389</v>
      </c>
      <c r="M47" s="125"/>
      <c r="N47" s="125"/>
      <c r="O47" s="125"/>
      <c r="P47" s="125"/>
      <c r="Q47" s="125"/>
      <c r="R47" s="125"/>
      <c r="S47" s="125"/>
      <c r="T47" s="125"/>
      <c r="U47" s="78">
        <f>(L47/B47)^(1/($L$3-$B$3+1))-1</f>
        <v>4.1828538048634289E-2</v>
      </c>
    </row>
    <row r="49" spans="1:21" s="54" customFormat="1" ht="32" customHeight="1" x14ac:dyDescent="0.2">
      <c r="B49" s="54" t="s">
        <v>460</v>
      </c>
      <c r="C49" s="54" t="s">
        <v>372</v>
      </c>
      <c r="D49" s="54" t="s">
        <v>470</v>
      </c>
      <c r="E49" s="54" t="s">
        <v>443</v>
      </c>
      <c r="F49" s="54" t="s">
        <v>469</v>
      </c>
      <c r="G49" s="54" t="s">
        <v>467</v>
      </c>
      <c r="U49" s="387"/>
    </row>
    <row r="50" spans="1:21" x14ac:dyDescent="0.2">
      <c r="A50" s="3" t="s">
        <v>444</v>
      </c>
      <c r="B50" s="3">
        <v>1008.6</v>
      </c>
      <c r="C50" s="78">
        <f t="shared" ref="C50:C56" si="4">B50/$B$57</f>
        <v>4.7635240443197592E-2</v>
      </c>
      <c r="D50" s="78">
        <f>U5/100*0.5</f>
        <v>1.69173371628519E-2</v>
      </c>
      <c r="E50" s="78">
        <f>U14/100</f>
        <v>1.8182259724024076E-2</v>
      </c>
      <c r="F50" s="124">
        <f>U41*0.1</f>
        <v>1.1901343630857087E-2</v>
      </c>
      <c r="G50" s="122">
        <f>((1+D50)*(1+E50)*(1+F50)-1)*C50</f>
        <v>2.273626648943474E-3</v>
      </c>
    </row>
    <row r="51" spans="1:21" x14ac:dyDescent="0.2">
      <c r="A51" s="3" t="s">
        <v>445</v>
      </c>
      <c r="B51" s="3">
        <v>6045.6</v>
      </c>
      <c r="C51" s="78">
        <f t="shared" si="4"/>
        <v>0.28552806823656096</v>
      </c>
      <c r="D51" s="78">
        <f t="shared" ref="D51:D56" si="5">U6/100*0.5</f>
        <v>2.827734045940613E-3</v>
      </c>
      <c r="E51" s="78">
        <f t="shared" ref="E51:E56" si="6">U15/100</f>
        <v>-3.5678092160127723E-3</v>
      </c>
      <c r="F51" s="124">
        <f t="shared" ref="F51:F56" si="7">U42*0.1</f>
        <v>1.7762467514073066E-3</v>
      </c>
      <c r="G51" s="122">
        <f t="shared" ref="G51:G56" si="8">((1+D51)*(1+E51)*(1+F51)-1)*C51</f>
        <v>2.9259497055814874E-4</v>
      </c>
    </row>
    <row r="52" spans="1:21" x14ac:dyDescent="0.2">
      <c r="A52" s="3" t="s">
        <v>446</v>
      </c>
      <c r="B52" s="3">
        <v>475.5</v>
      </c>
      <c r="C52" s="78">
        <f t="shared" si="4"/>
        <v>2.2457422993000652E-2</v>
      </c>
      <c r="D52" s="78">
        <f t="shared" si="5"/>
        <v>2.5059316469599021E-2</v>
      </c>
      <c r="E52" s="78">
        <f t="shared" si="6"/>
        <v>1.3681275099983459E-2</v>
      </c>
      <c r="F52" s="124">
        <f>U43*0.1</f>
        <v>1.0946071254245205E-2</v>
      </c>
      <c r="G52" s="122">
        <f t="shared" si="8"/>
        <v>1.1331412950235709E-3</v>
      </c>
    </row>
    <row r="53" spans="1:21" x14ac:dyDescent="0.2">
      <c r="A53" s="3" t="s">
        <v>447</v>
      </c>
      <c r="B53" s="3">
        <f>8095.5+2916+7.2</f>
        <v>11018.7</v>
      </c>
      <c r="C53" s="78">
        <f t="shared" si="4"/>
        <v>0.52040295842897222</v>
      </c>
      <c r="D53" s="78">
        <f t="shared" si="5"/>
        <v>4.3336020833139345E-2</v>
      </c>
      <c r="E53" s="78">
        <f t="shared" si="6"/>
        <v>3.6047603403037531E-2</v>
      </c>
      <c r="F53" s="124">
        <f t="shared" si="7"/>
        <v>1.5310211629995019E-2</v>
      </c>
      <c r="G53" s="122">
        <f t="shared" si="8"/>
        <v>5.0736838723133011E-2</v>
      </c>
    </row>
    <row r="54" spans="1:21" x14ac:dyDescent="0.2">
      <c r="A54" s="3" t="s">
        <v>448</v>
      </c>
      <c r="B54" s="3">
        <v>9.1999999999999993</v>
      </c>
      <c r="C54" s="78">
        <f t="shared" si="4"/>
        <v>4.3450744802440793E-4</v>
      </c>
      <c r="D54" s="78">
        <f t="shared" si="5"/>
        <v>6.6949893600852387E-3</v>
      </c>
      <c r="E54" s="78">
        <f t="shared" si="6"/>
        <v>1.5288456688291353E-2</v>
      </c>
      <c r="F54" s="124">
        <f t="shared" si="7"/>
        <v>4.4208985906812664E-3</v>
      </c>
      <c r="G54" s="122">
        <f t="shared" si="8"/>
        <v>1.1559783786489449E-5</v>
      </c>
    </row>
    <row r="55" spans="1:21" x14ac:dyDescent="0.2">
      <c r="A55" s="3" t="s">
        <v>459</v>
      </c>
      <c r="B55" s="3">
        <v>624.5</v>
      </c>
      <c r="C55" s="78">
        <f t="shared" si="4"/>
        <v>2.9494554488178563E-2</v>
      </c>
      <c r="D55" s="78">
        <f t="shared" si="5"/>
        <v>1.4600122904068973E-2</v>
      </c>
      <c r="E55" s="78">
        <f t="shared" si="6"/>
        <v>3.8108967637443009E-2</v>
      </c>
      <c r="F55" s="124">
        <f t="shared" si="7"/>
        <v>6.7880162072886385E-3</v>
      </c>
      <c r="G55" s="122">
        <f t="shared" si="8"/>
        <v>1.7819155546544786E-3</v>
      </c>
    </row>
    <row r="56" spans="1:21" x14ac:dyDescent="0.2">
      <c r="A56" s="3" t="s">
        <v>449</v>
      </c>
      <c r="B56" s="3">
        <v>1991.3</v>
      </c>
      <c r="C56" s="78">
        <f t="shared" si="4"/>
        <v>9.4047247962065608E-2</v>
      </c>
      <c r="D56" s="78">
        <f t="shared" si="5"/>
        <v>1.0039463131240314E-2</v>
      </c>
      <c r="E56" s="78">
        <f t="shared" si="6"/>
        <v>2.0426237587307227E-2</v>
      </c>
      <c r="F56" s="124">
        <f t="shared" si="7"/>
        <v>4.1828538048634288E-3</v>
      </c>
      <c r="G56" s="122">
        <f t="shared" si="8"/>
        <v>3.2899527708174568E-3</v>
      </c>
    </row>
    <row r="57" spans="1:21" x14ac:dyDescent="0.2">
      <c r="A57" s="3" t="s">
        <v>461</v>
      </c>
      <c r="B57" s="3">
        <f>SUM(B50:B56)</f>
        <v>21173.4</v>
      </c>
      <c r="C57" s="78">
        <f>SUM(C50:C56)</f>
        <v>1</v>
      </c>
      <c r="G57" s="122">
        <f>SUM(G50:G56)</f>
        <v>5.951962974691663E-2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3CE02-44A6-7E45-9D48-EA393952C5A4}">
  <sheetPr>
    <pageSetUpPr fitToPage="1"/>
  </sheetPr>
  <dimension ref="A2:Y88"/>
  <sheetViews>
    <sheetView zoomScale="158" zoomScaleNormal="100" workbookViewId="0">
      <pane xSplit="3" ySplit="8" topLeftCell="D9" activePane="bottomRight" state="frozen"/>
      <selection pane="topRight" activeCell="D1" sqref="D1"/>
      <selection pane="bottomLeft" activeCell="A9" sqref="A9"/>
      <selection pane="bottomRight" activeCell="E34" sqref="E34"/>
    </sheetView>
  </sheetViews>
  <sheetFormatPr baseColWidth="10" defaultColWidth="8.83203125" defaultRowHeight="13" x14ac:dyDescent="0.15"/>
  <cols>
    <col min="1" max="1" width="25.1640625" style="249" customWidth="1"/>
    <col min="2" max="3" width="12.6640625" style="249" customWidth="1"/>
    <col min="4" max="4" width="4.5" style="249" customWidth="1"/>
    <col min="5" max="6" width="12.6640625" style="249" customWidth="1"/>
    <col min="7" max="7" width="5" style="249" customWidth="1"/>
    <col min="8" max="8" width="18" style="249" customWidth="1"/>
    <col min="9" max="9" width="11.5" style="250" customWidth="1"/>
    <col min="10" max="10" width="10.33203125" style="250" customWidth="1"/>
    <col min="11" max="11" width="10.5" style="250" customWidth="1"/>
    <col min="12" max="12" width="1.5" style="250" customWidth="1"/>
    <col min="13" max="25" width="8.83203125" style="250"/>
    <col min="26" max="16384" width="8.83203125" style="249"/>
  </cols>
  <sheetData>
    <row r="2" spans="1:9" x14ac:dyDescent="0.15">
      <c r="A2" s="247" t="s">
        <v>397</v>
      </c>
      <c r="B2" s="248"/>
      <c r="C2" s="248"/>
    </row>
    <row r="3" spans="1:9" ht="30" x14ac:dyDescent="0.3">
      <c r="A3" s="251" t="s">
        <v>398</v>
      </c>
    </row>
    <row r="4" spans="1:9" x14ac:dyDescent="0.15">
      <c r="H4" s="252" t="str">
        <f>ROUND(B36*100,0)&amp;"% Debt"</f>
        <v>40% Debt</v>
      </c>
    </row>
    <row r="5" spans="1:9" x14ac:dyDescent="0.15">
      <c r="H5" s="253" t="s">
        <v>399</v>
      </c>
    </row>
    <row r="6" spans="1:9" x14ac:dyDescent="0.15">
      <c r="B6" s="581" t="s">
        <v>441</v>
      </c>
      <c r="C6" s="581"/>
      <c r="E6" s="581" t="s">
        <v>442</v>
      </c>
      <c r="F6" s="581"/>
      <c r="H6" s="254" t="s">
        <v>400</v>
      </c>
    </row>
    <row r="7" spans="1:9" x14ac:dyDescent="0.15">
      <c r="B7" s="255" t="s">
        <v>281</v>
      </c>
      <c r="C7" s="255" t="s">
        <v>401</v>
      </c>
      <c r="E7" s="255" t="s">
        <v>281</v>
      </c>
      <c r="F7" s="255" t="s">
        <v>401</v>
      </c>
      <c r="H7" s="256"/>
    </row>
    <row r="8" spans="1:9" x14ac:dyDescent="0.15">
      <c r="B8" s="257">
        <v>44926</v>
      </c>
      <c r="C8" s="257">
        <v>44926</v>
      </c>
      <c r="E8" s="257">
        <v>44926</v>
      </c>
      <c r="F8" s="257">
        <v>44926</v>
      </c>
      <c r="H8" s="258">
        <v>43465</v>
      </c>
    </row>
    <row r="9" spans="1:9" ht="21.75" customHeight="1" x14ac:dyDescent="0.2">
      <c r="A9" s="249" t="s">
        <v>402</v>
      </c>
      <c r="B9" s="259">
        <v>50000</v>
      </c>
      <c r="C9" s="260">
        <v>50000</v>
      </c>
      <c r="E9" s="260">
        <v>500000</v>
      </c>
      <c r="F9" s="259">
        <v>400000</v>
      </c>
      <c r="H9" s="261">
        <f>E9+C9</f>
        <v>550000</v>
      </c>
      <c r="I9" s="262"/>
    </row>
    <row r="10" spans="1:9" ht="6" customHeight="1" x14ac:dyDescent="0.2">
      <c r="B10" s="259"/>
      <c r="E10" s="260"/>
      <c r="F10" s="259"/>
      <c r="H10" s="263"/>
    </row>
    <row r="11" spans="1:9" ht="21.75" customHeight="1" x14ac:dyDescent="0.2">
      <c r="A11" s="249" t="s">
        <v>403</v>
      </c>
      <c r="B11" s="259">
        <v>2000000</v>
      </c>
      <c r="C11" s="260">
        <v>3000000</v>
      </c>
      <c r="E11" s="260">
        <v>9000000</v>
      </c>
      <c r="F11" s="259">
        <v>8000000</v>
      </c>
      <c r="H11" s="261">
        <f>E11+C11</f>
        <v>12000000</v>
      </c>
      <c r="I11" s="262"/>
    </row>
    <row r="12" spans="1:9" ht="6" customHeight="1" x14ac:dyDescent="0.2">
      <c r="B12" s="259"/>
      <c r="E12" s="260"/>
      <c r="F12" s="259"/>
      <c r="H12" s="264"/>
    </row>
    <row r="13" spans="1:9" ht="21.75" customHeight="1" x14ac:dyDescent="0.2">
      <c r="A13" s="249" t="s">
        <v>42</v>
      </c>
      <c r="B13" s="259">
        <v>0</v>
      </c>
      <c r="C13" s="260">
        <v>0</v>
      </c>
      <c r="E13" s="260">
        <v>0</v>
      </c>
      <c r="F13" s="259">
        <v>0</v>
      </c>
      <c r="H13" s="265">
        <f>C31*C29-C23</f>
        <v>500000</v>
      </c>
      <c r="I13" s="262"/>
    </row>
    <row r="14" spans="1:9" ht="6" customHeight="1" x14ac:dyDescent="0.2">
      <c r="B14" s="259"/>
      <c r="E14" s="260"/>
      <c r="F14" s="259"/>
      <c r="H14" s="264"/>
    </row>
    <row r="15" spans="1:9" ht="21.75" customHeight="1" x14ac:dyDescent="0.3">
      <c r="A15" s="249" t="s">
        <v>404</v>
      </c>
      <c r="B15" s="266">
        <v>200000</v>
      </c>
      <c r="C15" s="267">
        <v>300000</v>
      </c>
      <c r="E15" s="267">
        <v>800000</v>
      </c>
      <c r="F15" s="266">
        <v>750000</v>
      </c>
      <c r="H15" s="268">
        <f>E15+C15</f>
        <v>1100000</v>
      </c>
      <c r="I15" s="262"/>
    </row>
    <row r="16" spans="1:9" ht="6" customHeight="1" x14ac:dyDescent="0.2">
      <c r="B16" s="259"/>
      <c r="E16" s="260"/>
      <c r="F16" s="259"/>
      <c r="H16" s="264"/>
    </row>
    <row r="17" spans="1:10" ht="21.75" customHeight="1" x14ac:dyDescent="0.2">
      <c r="A17" s="249" t="s">
        <v>405</v>
      </c>
      <c r="B17" s="259">
        <f>SUM(B9:B15)</f>
        <v>2250000</v>
      </c>
      <c r="C17" s="260">
        <f>SUM(C9:C15)</f>
        <v>3350000</v>
      </c>
      <c r="E17" s="260">
        <f>SUM(E9:E15)</f>
        <v>10300000</v>
      </c>
      <c r="F17" s="259">
        <f>SUM(F9:F15)</f>
        <v>9150000</v>
      </c>
      <c r="H17" s="269">
        <f>H15+H13+H11+H9</f>
        <v>14150000</v>
      </c>
      <c r="I17" s="262"/>
    </row>
    <row r="18" spans="1:10" ht="6" customHeight="1" x14ac:dyDescent="0.2">
      <c r="B18" s="259"/>
      <c r="E18" s="260"/>
      <c r="F18" s="259"/>
      <c r="H18" s="264"/>
    </row>
    <row r="19" spans="1:10" ht="21.75" customHeight="1" x14ac:dyDescent="0.2">
      <c r="A19" s="249" t="s">
        <v>406</v>
      </c>
      <c r="B19" s="259">
        <v>50000</v>
      </c>
      <c r="C19" s="260">
        <v>50000</v>
      </c>
      <c r="E19" s="260">
        <v>50000</v>
      </c>
      <c r="F19" s="259">
        <f>E19</f>
        <v>50000</v>
      </c>
      <c r="H19" s="261">
        <f>E19+C19</f>
        <v>100000</v>
      </c>
      <c r="I19" s="262"/>
    </row>
    <row r="20" spans="1:10" ht="6" customHeight="1" x14ac:dyDescent="0.2">
      <c r="B20" s="259"/>
      <c r="E20" s="260"/>
      <c r="F20" s="259"/>
      <c r="H20" s="263"/>
    </row>
    <row r="21" spans="1:10" ht="21.75" customHeight="1" x14ac:dyDescent="0.2">
      <c r="A21" s="249" t="s">
        <v>407</v>
      </c>
      <c r="B21" s="259">
        <v>1000000</v>
      </c>
      <c r="C21" s="260">
        <v>1300000</v>
      </c>
      <c r="E21" s="260">
        <v>4000000</v>
      </c>
      <c r="F21" s="259">
        <v>4100000</v>
      </c>
      <c r="H21" s="261">
        <f>E21+C21+C31*C29*B36</f>
        <v>6300000</v>
      </c>
      <c r="I21" s="262"/>
    </row>
    <row r="22" spans="1:10" ht="6" customHeight="1" x14ac:dyDescent="0.2">
      <c r="B22" s="259"/>
      <c r="E22" s="260"/>
      <c r="F22" s="259"/>
      <c r="H22" s="263"/>
    </row>
    <row r="23" spans="1:10" ht="21.75" customHeight="1" x14ac:dyDescent="0.2">
      <c r="A23" s="249" t="s">
        <v>408</v>
      </c>
      <c r="B23" s="259">
        <f>B17-B21-B19</f>
        <v>1200000</v>
      </c>
      <c r="C23" s="260">
        <f>C17-C21-C19</f>
        <v>2000000</v>
      </c>
      <c r="E23" s="260">
        <f>E17-E21-E19</f>
        <v>6250000</v>
      </c>
      <c r="F23" s="259">
        <f>F17-F21-F19</f>
        <v>5000000</v>
      </c>
      <c r="H23" s="261">
        <f>E23+C31*C29*(1-B36)</f>
        <v>7750000</v>
      </c>
      <c r="I23" s="270"/>
    </row>
    <row r="24" spans="1:10" ht="9.75" customHeight="1" x14ac:dyDescent="0.2">
      <c r="B24" s="259"/>
      <c r="H24" s="271"/>
    </row>
    <row r="25" spans="1:10" ht="20.25" customHeight="1" x14ac:dyDescent="0.2">
      <c r="A25" s="249" t="s">
        <v>409</v>
      </c>
      <c r="B25" s="259">
        <f>SUM(B19:B23)</f>
        <v>2250000</v>
      </c>
      <c r="C25" s="259">
        <f>SUM(C19:C23)</f>
        <v>3350000</v>
      </c>
      <c r="E25" s="259">
        <f>SUM(E19:E23)</f>
        <v>10300000</v>
      </c>
      <c r="F25" s="259">
        <f>SUM(F19:F23)</f>
        <v>9150000</v>
      </c>
      <c r="H25" s="271">
        <f>H23+H21+H19</f>
        <v>14150000</v>
      </c>
      <c r="I25" s="250" t="s">
        <v>410</v>
      </c>
    </row>
    <row r="26" spans="1:10" ht="20.25" customHeight="1" x14ac:dyDescent="0.15">
      <c r="A26" s="272"/>
      <c r="B26" s="273"/>
      <c r="C26" s="272"/>
      <c r="D26" s="272"/>
      <c r="E26" s="272"/>
      <c r="F26" s="272"/>
      <c r="G26" s="272"/>
      <c r="H26" s="274"/>
      <c r="I26" s="250" t="s">
        <v>411</v>
      </c>
      <c r="J26" s="250" t="s">
        <v>412</v>
      </c>
    </row>
    <row r="27" spans="1:10" ht="16" x14ac:dyDescent="0.2">
      <c r="A27" s="249" t="s">
        <v>413</v>
      </c>
      <c r="B27" s="259"/>
      <c r="C27" s="275">
        <v>1</v>
      </c>
      <c r="F27" s="275">
        <v>3</v>
      </c>
      <c r="H27" s="276"/>
    </row>
    <row r="28" spans="1:10" ht="17" thickBot="1" x14ac:dyDescent="0.25">
      <c r="B28" s="259"/>
      <c r="H28" s="277"/>
    </row>
    <row r="29" spans="1:10" ht="21" customHeight="1" thickBot="1" x14ac:dyDescent="0.25">
      <c r="A29" s="249" t="s">
        <v>414</v>
      </c>
      <c r="B29" s="259"/>
      <c r="C29" s="260">
        <v>100000</v>
      </c>
      <c r="F29" s="259">
        <v>30000</v>
      </c>
      <c r="H29" s="278">
        <f>F29+C31/F31*C29*(1-B36)</f>
        <v>80000</v>
      </c>
    </row>
    <row r="30" spans="1:10" ht="16" x14ac:dyDescent="0.2">
      <c r="B30" s="259"/>
      <c r="H30" s="279"/>
    </row>
    <row r="31" spans="1:10" ht="16" x14ac:dyDescent="0.2">
      <c r="A31" s="249" t="s">
        <v>415</v>
      </c>
      <c r="B31" s="259"/>
      <c r="C31" s="280">
        <v>25</v>
      </c>
      <c r="F31" s="280">
        <v>30</v>
      </c>
    </row>
    <row r="32" spans="1:10" ht="16" x14ac:dyDescent="0.2">
      <c r="A32" s="249" t="s">
        <v>416</v>
      </c>
      <c r="B32" s="259"/>
      <c r="C32" s="281" t="str">
        <f>ROUND(C31/C27,2)&amp;"x"</f>
        <v>25x</v>
      </c>
      <c r="F32" s="281" t="str">
        <f>ROUND(F31/F27,2)&amp;"x"</f>
        <v>10x</v>
      </c>
    </row>
    <row r="33" spans="1:11" x14ac:dyDescent="0.15">
      <c r="A33" s="272"/>
      <c r="B33" s="273"/>
      <c r="C33" s="282"/>
      <c r="D33" s="272"/>
      <c r="E33" s="283"/>
      <c r="F33" s="282"/>
      <c r="G33" s="272"/>
      <c r="H33" s="272"/>
    </row>
    <row r="34" spans="1:11" ht="21.75" customHeight="1" x14ac:dyDescent="0.2">
      <c r="A34" s="249" t="s">
        <v>417</v>
      </c>
      <c r="B34" s="284">
        <f>(B21/(B21+B23))</f>
        <v>0.45454545454545453</v>
      </c>
      <c r="C34" s="285"/>
      <c r="E34" s="286">
        <f>(E21/(E21+E23))</f>
        <v>0.3902439024390244</v>
      </c>
      <c r="F34" s="285"/>
    </row>
    <row r="35" spans="1:11" x14ac:dyDescent="0.15">
      <c r="A35" s="249" t="s">
        <v>418</v>
      </c>
      <c r="B35" s="287">
        <v>0.12</v>
      </c>
    </row>
    <row r="36" spans="1:11" x14ac:dyDescent="0.15">
      <c r="A36" s="249" t="s">
        <v>419</v>
      </c>
      <c r="B36" s="287">
        <v>0.4</v>
      </c>
      <c r="C36" s="288"/>
      <c r="H36" s="285"/>
    </row>
    <row r="37" spans="1:11" x14ac:dyDescent="0.15">
      <c r="H37" s="285"/>
    </row>
    <row r="38" spans="1:11" ht="16" x14ac:dyDescent="0.2">
      <c r="A38" s="249" t="s">
        <v>420</v>
      </c>
      <c r="B38" s="287">
        <v>0.25</v>
      </c>
      <c r="H38" s="289"/>
    </row>
    <row r="39" spans="1:11" x14ac:dyDescent="0.15">
      <c r="H39" s="285"/>
    </row>
    <row r="40" spans="1:11" x14ac:dyDescent="0.15">
      <c r="A40" s="249" t="s">
        <v>421</v>
      </c>
      <c r="H40" s="285"/>
    </row>
    <row r="41" spans="1:11" x14ac:dyDescent="0.15">
      <c r="A41" s="249" t="s">
        <v>422</v>
      </c>
    </row>
    <row r="42" spans="1:11" x14ac:dyDescent="0.15">
      <c r="A42" s="249" t="s">
        <v>423</v>
      </c>
      <c r="E42" s="290"/>
      <c r="F42" s="291"/>
      <c r="H42" s="285"/>
    </row>
    <row r="43" spans="1:11" x14ac:dyDescent="0.15">
      <c r="A43" s="249" t="s">
        <v>424</v>
      </c>
      <c r="F43" s="291"/>
      <c r="I43" s="292"/>
    </row>
    <row r="44" spans="1:11" x14ac:dyDescent="0.15">
      <c r="A44" s="249" t="s">
        <v>425</v>
      </c>
      <c r="F44" s="291"/>
      <c r="I44" s="292"/>
    </row>
    <row r="45" spans="1:11" ht="14" thickBot="1" x14ac:dyDescent="0.2">
      <c r="H45" s="293">
        <f>F27*F29+C27*C29-(C31*C29*B36*B35*(1-B38))</f>
        <v>100000</v>
      </c>
    </row>
    <row r="46" spans="1:11" ht="24.75" customHeight="1" thickBot="1" x14ac:dyDescent="0.2">
      <c r="C46" s="294"/>
      <c r="F46" s="255" t="s">
        <v>426</v>
      </c>
      <c r="G46" s="295" t="s">
        <v>427</v>
      </c>
      <c r="H46" s="296">
        <f>H45/H29</f>
        <v>1.25</v>
      </c>
      <c r="J46" s="250" t="s">
        <v>428</v>
      </c>
      <c r="K46" s="297"/>
    </row>
    <row r="47" spans="1:11" x14ac:dyDescent="0.15">
      <c r="H47" s="290"/>
      <c r="K47" s="297"/>
    </row>
    <row r="48" spans="1:11" x14ac:dyDescent="0.15">
      <c r="K48" s="298"/>
    </row>
    <row r="49" spans="1:12" x14ac:dyDescent="0.15">
      <c r="A49" s="249" t="s">
        <v>429</v>
      </c>
      <c r="K49" s="299"/>
    </row>
    <row r="50" spans="1:12" x14ac:dyDescent="0.15">
      <c r="A50" s="249" t="s">
        <v>430</v>
      </c>
      <c r="K50" s="300"/>
    </row>
    <row r="51" spans="1:12" ht="14" thickBot="1" x14ac:dyDescent="0.2">
      <c r="H51" s="301">
        <f>(F27-H46)*H29</f>
        <v>140000</v>
      </c>
      <c r="K51" s="302"/>
    </row>
    <row r="52" spans="1:12" ht="27" customHeight="1" thickBot="1" x14ac:dyDescent="0.2">
      <c r="C52" s="285"/>
      <c r="E52" s="249" t="s">
        <v>431</v>
      </c>
      <c r="H52" s="303">
        <f>H51/(1-B38)</f>
        <v>186666.66666666666</v>
      </c>
      <c r="K52" s="298"/>
    </row>
    <row r="53" spans="1:12" x14ac:dyDescent="0.15">
      <c r="E53" s="285"/>
    </row>
    <row r="55" spans="1:12" x14ac:dyDescent="0.15">
      <c r="A55" s="249" t="s">
        <v>432</v>
      </c>
    </row>
    <row r="56" spans="1:12" x14ac:dyDescent="0.15">
      <c r="A56" s="249" t="s">
        <v>433</v>
      </c>
      <c r="H56" s="304" t="s">
        <v>434</v>
      </c>
    </row>
    <row r="58" spans="1:12" ht="14" thickBot="1" x14ac:dyDescent="0.2"/>
    <row r="59" spans="1:12" ht="14" thickBot="1" x14ac:dyDescent="0.2">
      <c r="A59" s="249" t="s">
        <v>435</v>
      </c>
      <c r="H59" s="305" t="s">
        <v>436</v>
      </c>
      <c r="I59" s="306"/>
      <c r="J59" s="306"/>
      <c r="K59" s="306"/>
      <c r="L59" s="307"/>
    </row>
    <row r="60" spans="1:12" ht="22.5" customHeight="1" thickBot="1" x14ac:dyDescent="0.2">
      <c r="F60" s="295"/>
      <c r="H60" s="308">
        <f>C31*C29*B36/C29</f>
        <v>10</v>
      </c>
      <c r="I60" s="309" t="s">
        <v>437</v>
      </c>
      <c r="J60" s="310"/>
      <c r="K60" s="310"/>
      <c r="L60" s="311"/>
    </row>
    <row r="61" spans="1:12" ht="25.5" customHeight="1" thickBot="1" x14ac:dyDescent="0.2">
      <c r="H61" s="312">
        <f>C31/F31*(1-B36)</f>
        <v>0.5</v>
      </c>
      <c r="I61" s="309" t="s">
        <v>438</v>
      </c>
      <c r="J61" s="310"/>
      <c r="K61" s="310"/>
      <c r="L61" s="311"/>
    </row>
    <row r="62" spans="1:12" ht="14" thickBot="1" x14ac:dyDescent="0.2">
      <c r="H62" s="313"/>
      <c r="I62" s="314"/>
      <c r="J62" s="314"/>
      <c r="K62" s="314"/>
      <c r="L62" s="315"/>
    </row>
    <row r="63" spans="1:12" ht="14" thickBot="1" x14ac:dyDescent="0.2"/>
    <row r="64" spans="1:12" ht="22.5" customHeight="1" thickBot="1" x14ac:dyDescent="0.2">
      <c r="A64" s="249" t="s">
        <v>439</v>
      </c>
      <c r="H64" s="316">
        <f>H21/(H21+H23)</f>
        <v>0.44839857651245552</v>
      </c>
    </row>
    <row r="65" spans="1:9" ht="14" thickBot="1" x14ac:dyDescent="0.2"/>
    <row r="66" spans="1:9" ht="25.5" customHeight="1" thickBot="1" x14ac:dyDescent="0.2">
      <c r="A66" s="249" t="s">
        <v>440</v>
      </c>
      <c r="H66" s="316">
        <f>F29/H29</f>
        <v>0.375</v>
      </c>
    </row>
    <row r="71" spans="1:9" x14ac:dyDescent="0.15">
      <c r="A71" s="317"/>
      <c r="I71" s="298"/>
    </row>
    <row r="74" spans="1:9" ht="16" x14ac:dyDescent="0.2">
      <c r="B74" s="318"/>
    </row>
    <row r="75" spans="1:9" x14ac:dyDescent="0.15">
      <c r="B75" s="319"/>
    </row>
    <row r="78" spans="1:9" ht="16" x14ac:dyDescent="0.2">
      <c r="C78" s="320"/>
    </row>
    <row r="79" spans="1:9" ht="16" x14ac:dyDescent="0.3">
      <c r="C79" s="321"/>
    </row>
    <row r="80" spans="1:9" x14ac:dyDescent="0.15">
      <c r="C80" s="322"/>
    </row>
    <row r="87" spans="8:8" ht="16" x14ac:dyDescent="0.2">
      <c r="H87" s="323"/>
    </row>
    <row r="88" spans="8:8" x14ac:dyDescent="0.15">
      <c r="H88" s="324"/>
    </row>
  </sheetData>
  <mergeCells count="2">
    <mergeCell ref="B6:C6"/>
    <mergeCell ref="E6:F6"/>
  </mergeCells>
  <pageMargins left="0.5" right="0.5" top="0.25" bottom="0.5" header="0.5" footer="0.5"/>
  <pageSetup scale="88"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36C68-2901-F24F-977D-9EEB9CCFC8D5}">
  <sheetPr>
    <tabColor theme="4" tint="0.79998168889431442"/>
    <outlinePr summaryBelow="0" summaryRight="0"/>
    <pageSetUpPr autoPageBreaks="0"/>
  </sheetPr>
  <dimension ref="A1:M71"/>
  <sheetViews>
    <sheetView workbookViewId="0">
      <selection activeCell="A32" sqref="A32"/>
    </sheetView>
  </sheetViews>
  <sheetFormatPr baseColWidth="10" defaultColWidth="11" defaultRowHeight="14" x14ac:dyDescent="0.15"/>
  <cols>
    <col min="1" max="1" width="39.6640625" style="51" bestFit="1" customWidth="1"/>
    <col min="2" max="2" width="17.83203125" style="168" bestFit="1" customWidth="1"/>
    <col min="3" max="8" width="15.83203125" style="168" customWidth="1"/>
    <col min="9" max="9" width="11.1640625" style="168" bestFit="1" customWidth="1"/>
    <col min="10" max="10" width="8.6640625" style="168" bestFit="1" customWidth="1"/>
    <col min="11" max="11" width="17.83203125" style="168" bestFit="1" customWidth="1"/>
    <col min="12" max="253" width="8.83203125" style="51" customWidth="1"/>
    <col min="254" max="254" width="47.83203125" style="51" customWidth="1"/>
    <col min="255" max="267" width="20.83203125" style="51" customWidth="1"/>
    <col min="268" max="509" width="8.83203125" style="51" customWidth="1"/>
    <col min="510" max="510" width="47.83203125" style="51" customWidth="1"/>
    <col min="511" max="523" width="20.83203125" style="51" customWidth="1"/>
    <col min="524" max="765" width="8.83203125" style="51" customWidth="1"/>
    <col min="766" max="766" width="47.83203125" style="51" customWidth="1"/>
    <col min="767" max="779" width="20.83203125" style="51" customWidth="1"/>
    <col min="780" max="1021" width="8.83203125" style="51" customWidth="1"/>
    <col min="1022" max="1022" width="47.83203125" style="51" customWidth="1"/>
    <col min="1023" max="1035" width="20.83203125" style="51" customWidth="1"/>
    <col min="1036" max="1277" width="8.83203125" style="51" customWidth="1"/>
    <col min="1278" max="1278" width="47.83203125" style="51" customWidth="1"/>
    <col min="1279" max="1291" width="20.83203125" style="51" customWidth="1"/>
    <col min="1292" max="1533" width="8.83203125" style="51" customWidth="1"/>
    <col min="1534" max="1534" width="47.83203125" style="51" customWidth="1"/>
    <col min="1535" max="1547" width="20.83203125" style="51" customWidth="1"/>
    <col min="1548" max="1789" width="8.83203125" style="51" customWidth="1"/>
    <col min="1790" max="1790" width="47.83203125" style="51" customWidth="1"/>
    <col min="1791" max="1803" width="20.83203125" style="51" customWidth="1"/>
    <col min="1804" max="2045" width="8.83203125" style="51" customWidth="1"/>
    <col min="2046" max="2046" width="47.83203125" style="51" customWidth="1"/>
    <col min="2047" max="2059" width="20.83203125" style="51" customWidth="1"/>
    <col min="2060" max="2301" width="8.83203125" style="51" customWidth="1"/>
    <col min="2302" max="2302" width="47.83203125" style="51" customWidth="1"/>
    <col min="2303" max="2315" width="20.83203125" style="51" customWidth="1"/>
    <col min="2316" max="2557" width="8.83203125" style="51" customWidth="1"/>
    <col min="2558" max="2558" width="47.83203125" style="51" customWidth="1"/>
    <col min="2559" max="2571" width="20.83203125" style="51" customWidth="1"/>
    <col min="2572" max="2813" width="8.83203125" style="51" customWidth="1"/>
    <col min="2814" max="2814" width="47.83203125" style="51" customWidth="1"/>
    <col min="2815" max="2827" width="20.83203125" style="51" customWidth="1"/>
    <col min="2828" max="3069" width="8.83203125" style="51" customWidth="1"/>
    <col min="3070" max="3070" width="47.83203125" style="51" customWidth="1"/>
    <col min="3071" max="3083" width="20.83203125" style="51" customWidth="1"/>
    <col min="3084" max="3325" width="8.83203125" style="51" customWidth="1"/>
    <col min="3326" max="3326" width="47.83203125" style="51" customWidth="1"/>
    <col min="3327" max="3339" width="20.83203125" style="51" customWidth="1"/>
    <col min="3340" max="3581" width="8.83203125" style="51" customWidth="1"/>
    <col min="3582" max="3582" width="47.83203125" style="51" customWidth="1"/>
    <col min="3583" max="3595" width="20.83203125" style="51" customWidth="1"/>
    <col min="3596" max="3837" width="8.83203125" style="51" customWidth="1"/>
    <col min="3838" max="3838" width="47.83203125" style="51" customWidth="1"/>
    <col min="3839" max="3851" width="20.83203125" style="51" customWidth="1"/>
    <col min="3852" max="4093" width="8.83203125" style="51" customWidth="1"/>
    <col min="4094" max="4094" width="47.83203125" style="51" customWidth="1"/>
    <col min="4095" max="4107" width="20.83203125" style="51" customWidth="1"/>
    <col min="4108" max="4349" width="8.83203125" style="51" customWidth="1"/>
    <col min="4350" max="4350" width="47.83203125" style="51" customWidth="1"/>
    <col min="4351" max="4363" width="20.83203125" style="51" customWidth="1"/>
    <col min="4364" max="4605" width="8.83203125" style="51" customWidth="1"/>
    <col min="4606" max="4606" width="47.83203125" style="51" customWidth="1"/>
    <col min="4607" max="4619" width="20.83203125" style="51" customWidth="1"/>
    <col min="4620" max="4861" width="8.83203125" style="51" customWidth="1"/>
    <col min="4862" max="4862" width="47.83203125" style="51" customWidth="1"/>
    <col min="4863" max="4875" width="20.83203125" style="51" customWidth="1"/>
    <col min="4876" max="5117" width="8.83203125" style="51" customWidth="1"/>
    <col min="5118" max="5118" width="47.83203125" style="51" customWidth="1"/>
    <col min="5119" max="5131" width="20.83203125" style="51" customWidth="1"/>
    <col min="5132" max="5373" width="8.83203125" style="51" customWidth="1"/>
    <col min="5374" max="5374" width="47.83203125" style="51" customWidth="1"/>
    <col min="5375" max="5387" width="20.83203125" style="51" customWidth="1"/>
    <col min="5388" max="5629" width="8.83203125" style="51" customWidth="1"/>
    <col min="5630" max="5630" width="47.83203125" style="51" customWidth="1"/>
    <col min="5631" max="5643" width="20.83203125" style="51" customWidth="1"/>
    <col min="5644" max="5885" width="8.83203125" style="51" customWidth="1"/>
    <col min="5886" max="5886" width="47.83203125" style="51" customWidth="1"/>
    <col min="5887" max="5899" width="20.83203125" style="51" customWidth="1"/>
    <col min="5900" max="6141" width="8.83203125" style="51" customWidth="1"/>
    <col min="6142" max="6142" width="47.83203125" style="51" customWidth="1"/>
    <col min="6143" max="6155" width="20.83203125" style="51" customWidth="1"/>
    <col min="6156" max="6397" width="8.83203125" style="51" customWidth="1"/>
    <col min="6398" max="6398" width="47.83203125" style="51" customWidth="1"/>
    <col min="6399" max="6411" width="20.83203125" style="51" customWidth="1"/>
    <col min="6412" max="6653" width="8.83203125" style="51" customWidth="1"/>
    <col min="6654" max="6654" width="47.83203125" style="51" customWidth="1"/>
    <col min="6655" max="6667" width="20.83203125" style="51" customWidth="1"/>
    <col min="6668" max="6909" width="8.83203125" style="51" customWidth="1"/>
    <col min="6910" max="6910" width="47.83203125" style="51" customWidth="1"/>
    <col min="6911" max="6923" width="20.83203125" style="51" customWidth="1"/>
    <col min="6924" max="7165" width="8.83203125" style="51" customWidth="1"/>
    <col min="7166" max="7166" width="47.83203125" style="51" customWidth="1"/>
    <col min="7167" max="7179" width="20.83203125" style="51" customWidth="1"/>
    <col min="7180" max="7421" width="8.83203125" style="51" customWidth="1"/>
    <col min="7422" max="7422" width="47.83203125" style="51" customWidth="1"/>
    <col min="7423" max="7435" width="20.83203125" style="51" customWidth="1"/>
    <col min="7436" max="7677" width="8.83203125" style="51" customWidth="1"/>
    <col min="7678" max="7678" width="47.83203125" style="51" customWidth="1"/>
    <col min="7679" max="7691" width="20.83203125" style="51" customWidth="1"/>
    <col min="7692" max="7933" width="8.83203125" style="51" customWidth="1"/>
    <col min="7934" max="7934" width="47.83203125" style="51" customWidth="1"/>
    <col min="7935" max="7947" width="20.83203125" style="51" customWidth="1"/>
    <col min="7948" max="8189" width="8.83203125" style="51" customWidth="1"/>
    <col min="8190" max="8190" width="47.83203125" style="51" customWidth="1"/>
    <col min="8191" max="8203" width="20.83203125" style="51" customWidth="1"/>
    <col min="8204" max="8445" width="8.83203125" style="51" customWidth="1"/>
    <col min="8446" max="8446" width="47.83203125" style="51" customWidth="1"/>
    <col min="8447" max="8459" width="20.83203125" style="51" customWidth="1"/>
    <col min="8460" max="8701" width="8.83203125" style="51" customWidth="1"/>
    <col min="8702" max="8702" width="47.83203125" style="51" customWidth="1"/>
    <col min="8703" max="8715" width="20.83203125" style="51" customWidth="1"/>
    <col min="8716" max="8957" width="8.83203125" style="51" customWidth="1"/>
    <col min="8958" max="8958" width="47.83203125" style="51" customWidth="1"/>
    <col min="8959" max="8971" width="20.83203125" style="51" customWidth="1"/>
    <col min="8972" max="9213" width="8.83203125" style="51" customWidth="1"/>
    <col min="9214" max="9214" width="47.83203125" style="51" customWidth="1"/>
    <col min="9215" max="9227" width="20.83203125" style="51" customWidth="1"/>
    <col min="9228" max="9469" width="8.83203125" style="51" customWidth="1"/>
    <col min="9470" max="9470" width="47.83203125" style="51" customWidth="1"/>
    <col min="9471" max="9483" width="20.83203125" style="51" customWidth="1"/>
    <col min="9484" max="9725" width="8.83203125" style="51" customWidth="1"/>
    <col min="9726" max="9726" width="47.83203125" style="51" customWidth="1"/>
    <col min="9727" max="9739" width="20.83203125" style="51" customWidth="1"/>
    <col min="9740" max="9981" width="8.83203125" style="51" customWidth="1"/>
    <col min="9982" max="9982" width="47.83203125" style="51" customWidth="1"/>
    <col min="9983" max="9995" width="20.83203125" style="51" customWidth="1"/>
    <col min="9996" max="10237" width="8.83203125" style="51" customWidth="1"/>
    <col min="10238" max="10238" width="47.83203125" style="51" customWidth="1"/>
    <col min="10239" max="10251" width="20.83203125" style="51" customWidth="1"/>
    <col min="10252" max="10493" width="8.83203125" style="51" customWidth="1"/>
    <col min="10494" max="10494" width="47.83203125" style="51" customWidth="1"/>
    <col min="10495" max="10507" width="20.83203125" style="51" customWidth="1"/>
    <col min="10508" max="10749" width="8.83203125" style="51" customWidth="1"/>
    <col min="10750" max="10750" width="47.83203125" style="51" customWidth="1"/>
    <col min="10751" max="10763" width="20.83203125" style="51" customWidth="1"/>
    <col min="10764" max="11005" width="8.83203125" style="51" customWidth="1"/>
    <col min="11006" max="11006" width="47.83203125" style="51" customWidth="1"/>
    <col min="11007" max="11019" width="20.83203125" style="51" customWidth="1"/>
    <col min="11020" max="11261" width="8.83203125" style="51" customWidth="1"/>
    <col min="11262" max="11262" width="47.83203125" style="51" customWidth="1"/>
    <col min="11263" max="11275" width="20.83203125" style="51" customWidth="1"/>
    <col min="11276" max="11517" width="8.83203125" style="51" customWidth="1"/>
    <col min="11518" max="11518" width="47.83203125" style="51" customWidth="1"/>
    <col min="11519" max="11531" width="20.83203125" style="51" customWidth="1"/>
    <col min="11532" max="11773" width="8.83203125" style="51" customWidth="1"/>
    <col min="11774" max="11774" width="47.83203125" style="51" customWidth="1"/>
    <col min="11775" max="11787" width="20.83203125" style="51" customWidth="1"/>
    <col min="11788" max="12029" width="8.83203125" style="51" customWidth="1"/>
    <col min="12030" max="12030" width="47.83203125" style="51" customWidth="1"/>
    <col min="12031" max="12043" width="20.83203125" style="51" customWidth="1"/>
    <col min="12044" max="12285" width="8.83203125" style="51" customWidth="1"/>
    <col min="12286" max="12286" width="47.83203125" style="51" customWidth="1"/>
    <col min="12287" max="12299" width="20.83203125" style="51" customWidth="1"/>
    <col min="12300" max="12541" width="8.83203125" style="51" customWidth="1"/>
    <col min="12542" max="12542" width="47.83203125" style="51" customWidth="1"/>
    <col min="12543" max="12555" width="20.83203125" style="51" customWidth="1"/>
    <col min="12556" max="12797" width="8.83203125" style="51" customWidth="1"/>
    <col min="12798" max="12798" width="47.83203125" style="51" customWidth="1"/>
    <col min="12799" max="12811" width="20.83203125" style="51" customWidth="1"/>
    <col min="12812" max="13053" width="8.83203125" style="51" customWidth="1"/>
    <col min="13054" max="13054" width="47.83203125" style="51" customWidth="1"/>
    <col min="13055" max="13067" width="20.83203125" style="51" customWidth="1"/>
    <col min="13068" max="13309" width="8.83203125" style="51" customWidth="1"/>
    <col min="13310" max="13310" width="47.83203125" style="51" customWidth="1"/>
    <col min="13311" max="13323" width="20.83203125" style="51" customWidth="1"/>
    <col min="13324" max="13565" width="8.83203125" style="51" customWidth="1"/>
    <col min="13566" max="13566" width="47.83203125" style="51" customWidth="1"/>
    <col min="13567" max="13579" width="20.83203125" style="51" customWidth="1"/>
    <col min="13580" max="13821" width="8.83203125" style="51" customWidth="1"/>
    <col min="13822" max="13822" width="47.83203125" style="51" customWidth="1"/>
    <col min="13823" max="13835" width="20.83203125" style="51" customWidth="1"/>
    <col min="13836" max="14077" width="8.83203125" style="51" customWidth="1"/>
    <col min="14078" max="14078" width="47.83203125" style="51" customWidth="1"/>
    <col min="14079" max="14091" width="20.83203125" style="51" customWidth="1"/>
    <col min="14092" max="14333" width="8.83203125" style="51" customWidth="1"/>
    <col min="14334" max="14334" width="47.83203125" style="51" customWidth="1"/>
    <col min="14335" max="14347" width="20.83203125" style="51" customWidth="1"/>
    <col min="14348" max="14589" width="8.83203125" style="51" customWidth="1"/>
    <col min="14590" max="14590" width="47.83203125" style="51" customWidth="1"/>
    <col min="14591" max="14603" width="20.83203125" style="51" customWidth="1"/>
    <col min="14604" max="14845" width="8.83203125" style="51" customWidth="1"/>
    <col min="14846" max="14846" width="47.83203125" style="51" customWidth="1"/>
    <col min="14847" max="14859" width="20.83203125" style="51" customWidth="1"/>
    <col min="14860" max="15101" width="8.83203125" style="51" customWidth="1"/>
    <col min="15102" max="15102" width="47.83203125" style="51" customWidth="1"/>
    <col min="15103" max="15115" width="20.83203125" style="51" customWidth="1"/>
    <col min="15116" max="15357" width="8.83203125" style="51" customWidth="1"/>
    <col min="15358" max="15358" width="47.83203125" style="51" customWidth="1"/>
    <col min="15359" max="15371" width="20.83203125" style="51" customWidth="1"/>
    <col min="15372" max="15613" width="8.83203125" style="51" customWidth="1"/>
    <col min="15614" max="15614" width="47.83203125" style="51" customWidth="1"/>
    <col min="15615" max="15627" width="20.83203125" style="51" customWidth="1"/>
    <col min="15628" max="15869" width="8.83203125" style="51" customWidth="1"/>
    <col min="15870" max="15870" width="47.83203125" style="51" customWidth="1"/>
    <col min="15871" max="15883" width="20.83203125" style="51" customWidth="1"/>
    <col min="15884" max="16125" width="8.83203125" style="51" customWidth="1"/>
    <col min="16126" max="16126" width="47.83203125" style="51" customWidth="1"/>
    <col min="16127" max="16139" width="20.83203125" style="51" customWidth="1"/>
    <col min="16140" max="16384" width="8.83203125" style="51" customWidth="1"/>
  </cols>
  <sheetData>
    <row r="1" spans="1:13" ht="17" x14ac:dyDescent="0.2">
      <c r="A1" s="575" t="s">
        <v>298</v>
      </c>
      <c r="B1" s="575"/>
      <c r="C1" s="575"/>
      <c r="D1" s="575"/>
      <c r="E1" s="575"/>
      <c r="F1" s="575"/>
      <c r="G1" s="575"/>
      <c r="H1" s="575"/>
      <c r="I1" s="575"/>
      <c r="J1" s="575"/>
      <c r="K1" s="575"/>
      <c r="L1" s="575"/>
      <c r="M1" s="575"/>
    </row>
    <row r="2" spans="1:13" ht="17" x14ac:dyDescent="0.2">
      <c r="A2" s="575" t="s">
        <v>380</v>
      </c>
      <c r="B2" s="575"/>
      <c r="C2" s="575"/>
      <c r="D2" s="575"/>
      <c r="E2" s="575"/>
      <c r="F2" s="575"/>
      <c r="G2" s="575"/>
      <c r="H2" s="575"/>
      <c r="I2" s="575"/>
      <c r="J2" s="575"/>
      <c r="K2" s="575"/>
      <c r="L2" s="575"/>
      <c r="M2" s="575"/>
    </row>
    <row r="3" spans="1:13" ht="16" x14ac:dyDescent="0.2">
      <c r="A3" s="576" t="s">
        <v>381</v>
      </c>
      <c r="B3" s="576"/>
      <c r="C3" s="576"/>
      <c r="D3" s="576"/>
      <c r="E3" s="576"/>
      <c r="F3" s="576"/>
      <c r="G3" s="576"/>
      <c r="H3" s="576"/>
      <c r="I3" s="576"/>
      <c r="J3" s="576"/>
      <c r="K3" s="576"/>
      <c r="L3" s="576"/>
      <c r="M3" s="576"/>
    </row>
    <row r="4" spans="1:13" x14ac:dyDescent="0.15">
      <c r="A4" s="53"/>
    </row>
    <row r="5" spans="1:13" ht="17" x14ac:dyDescent="0.2">
      <c r="A5" s="585" t="s">
        <v>388</v>
      </c>
      <c r="B5" s="585"/>
      <c r="C5" s="585"/>
      <c r="D5" s="585"/>
      <c r="E5" s="585"/>
      <c r="F5" s="585"/>
      <c r="G5" s="585"/>
      <c r="H5" s="585"/>
      <c r="I5" s="585"/>
      <c r="J5" s="585"/>
      <c r="K5" s="585"/>
      <c r="L5" s="83"/>
      <c r="M5" s="83"/>
    </row>
    <row r="6" spans="1:13" ht="45" x14ac:dyDescent="0.15">
      <c r="A6" s="205" t="s">
        <v>166</v>
      </c>
      <c r="B6" s="206" t="s">
        <v>167</v>
      </c>
      <c r="C6" s="206" t="s">
        <v>168</v>
      </c>
      <c r="D6" s="206" t="s">
        <v>169</v>
      </c>
      <c r="E6" s="206" t="s">
        <v>170</v>
      </c>
      <c r="F6" s="206" t="s">
        <v>171</v>
      </c>
      <c r="G6" s="206" t="s">
        <v>172</v>
      </c>
      <c r="H6" s="206" t="s">
        <v>173</v>
      </c>
      <c r="I6" s="206" t="s">
        <v>174</v>
      </c>
      <c r="J6" s="206" t="s">
        <v>175</v>
      </c>
      <c r="K6" s="206" t="s">
        <v>176</v>
      </c>
    </row>
    <row r="7" spans="1:13" ht="18" customHeight="1" x14ac:dyDescent="0.15">
      <c r="A7" s="84" t="s">
        <v>177</v>
      </c>
      <c r="B7" s="207">
        <v>102.91</v>
      </c>
      <c r="C7" s="208">
        <v>845.1</v>
      </c>
      <c r="D7" s="208">
        <v>86969.600000000006</v>
      </c>
      <c r="E7" s="208">
        <v>1878.4</v>
      </c>
      <c r="F7" s="208">
        <v>88848</v>
      </c>
      <c r="G7" s="207">
        <v>10.06</v>
      </c>
      <c r="H7" s="208">
        <v>23811.5</v>
      </c>
      <c r="I7" s="208">
        <v>7511.8</v>
      </c>
      <c r="J7" s="208">
        <v>7092.7</v>
      </c>
      <c r="K7" s="207">
        <v>6.76</v>
      </c>
    </row>
    <row r="8" spans="1:13" ht="18" customHeight="1" x14ac:dyDescent="0.15">
      <c r="A8" s="84" t="s">
        <v>178</v>
      </c>
      <c r="B8" s="207">
        <v>348.15</v>
      </c>
      <c r="C8" s="208">
        <v>49.3</v>
      </c>
      <c r="D8" s="208">
        <v>17173</v>
      </c>
      <c r="E8" s="208">
        <v>-391.2</v>
      </c>
      <c r="F8" s="208">
        <v>16781.8</v>
      </c>
      <c r="G8" s="207">
        <v>43.08</v>
      </c>
      <c r="H8" s="208">
        <v>2410.9</v>
      </c>
      <c r="I8" s="208">
        <v>697.6</v>
      </c>
      <c r="J8" s="208">
        <v>621.79999999999995</v>
      </c>
      <c r="K8" s="207">
        <v>7.93</v>
      </c>
    </row>
    <row r="9" spans="1:13" ht="18" customHeight="1" x14ac:dyDescent="0.15">
      <c r="A9" s="84" t="s">
        <v>179</v>
      </c>
      <c r="B9" s="207">
        <v>469.09</v>
      </c>
      <c r="C9" s="208">
        <v>134.69999999999999</v>
      </c>
      <c r="D9" s="208">
        <v>63182.8</v>
      </c>
      <c r="E9" s="208">
        <v>-330.3</v>
      </c>
      <c r="F9" s="208">
        <v>62852.6</v>
      </c>
      <c r="G9" s="207">
        <v>44.48</v>
      </c>
      <c r="H9" s="208">
        <v>17103.099999999999</v>
      </c>
      <c r="I9" s="208">
        <v>5666.5</v>
      </c>
      <c r="J9" s="208">
        <v>5357.4</v>
      </c>
      <c r="K9" s="207">
        <v>32.6</v>
      </c>
    </row>
    <row r="10" spans="1:13" ht="18" customHeight="1" x14ac:dyDescent="0.15">
      <c r="A10" s="84" t="s">
        <v>180</v>
      </c>
      <c r="B10" s="207">
        <v>337.38</v>
      </c>
      <c r="C10" s="208">
        <v>138.5</v>
      </c>
      <c r="D10" s="208">
        <v>46719.9</v>
      </c>
      <c r="E10" s="208">
        <v>3047.5</v>
      </c>
      <c r="F10" s="208">
        <v>49767.4</v>
      </c>
      <c r="G10" s="207">
        <v>-4.8499999999999996</v>
      </c>
      <c r="H10" s="208">
        <v>9508.7000000000007</v>
      </c>
      <c r="I10" s="208">
        <v>4149.7</v>
      </c>
      <c r="J10" s="208">
        <v>3788.3</v>
      </c>
      <c r="K10" s="207">
        <v>21.96</v>
      </c>
    </row>
    <row r="11" spans="1:13" ht="18" customHeight="1" x14ac:dyDescent="0.15">
      <c r="A11" s="84" t="s">
        <v>181</v>
      </c>
      <c r="B11" s="207">
        <v>34.64</v>
      </c>
      <c r="C11" s="208">
        <v>1302.2</v>
      </c>
      <c r="D11" s="208">
        <v>45109.3</v>
      </c>
      <c r="E11" s="208">
        <v>2119</v>
      </c>
      <c r="F11" s="208">
        <v>47228.3</v>
      </c>
      <c r="G11" s="207">
        <v>4.0599999999999996</v>
      </c>
      <c r="H11" s="208">
        <v>15010</v>
      </c>
      <c r="I11" s="208">
        <v>4950</v>
      </c>
      <c r="J11" s="208">
        <v>3424</v>
      </c>
      <c r="K11" s="207">
        <v>1.85</v>
      </c>
    </row>
    <row r="12" spans="1:13" ht="30" x14ac:dyDescent="0.15">
      <c r="A12" s="84" t="s">
        <v>182</v>
      </c>
      <c r="B12" s="207">
        <v>77.12</v>
      </c>
      <c r="C12" s="208">
        <v>78.5</v>
      </c>
      <c r="D12" s="208">
        <v>6053</v>
      </c>
      <c r="E12" s="208">
        <v>-328.8</v>
      </c>
      <c r="F12" s="208">
        <v>5724.2</v>
      </c>
      <c r="G12" s="207">
        <v>7.42</v>
      </c>
      <c r="H12" s="208">
        <v>722.9</v>
      </c>
      <c r="I12" s="208">
        <v>300.8</v>
      </c>
      <c r="J12" s="208">
        <v>294.10000000000002</v>
      </c>
      <c r="K12" s="207">
        <v>2.9</v>
      </c>
    </row>
    <row r="13" spans="1:13" ht="18" customHeight="1" x14ac:dyDescent="0.15">
      <c r="A13" s="84" t="s">
        <v>183</v>
      </c>
      <c r="B13" s="207">
        <v>28.01</v>
      </c>
      <c r="C13" s="208">
        <v>112.4</v>
      </c>
      <c r="D13" s="208">
        <v>3147.9</v>
      </c>
      <c r="E13" s="208">
        <v>-317.10000000000002</v>
      </c>
      <c r="F13" s="208">
        <v>2831</v>
      </c>
      <c r="G13" s="207">
        <v>5.23</v>
      </c>
      <c r="H13" s="208">
        <v>463.2</v>
      </c>
      <c r="I13" s="208">
        <v>110.1</v>
      </c>
      <c r="J13" s="208">
        <v>102.7</v>
      </c>
      <c r="K13" s="207">
        <v>0.89</v>
      </c>
    </row>
    <row r="14" spans="1:13" ht="18" customHeight="1" x14ac:dyDescent="0.15">
      <c r="A14" s="84" t="s">
        <v>184</v>
      </c>
      <c r="B14" s="207">
        <v>105.21</v>
      </c>
      <c r="C14" s="208">
        <v>468.3</v>
      </c>
      <c r="D14" s="208">
        <v>49265.3</v>
      </c>
      <c r="E14" s="208">
        <v>-2614.6999999999998</v>
      </c>
      <c r="F14" s="208">
        <v>46650.6</v>
      </c>
      <c r="G14" s="207">
        <v>20.28</v>
      </c>
      <c r="H14" s="208">
        <v>14951.3</v>
      </c>
      <c r="I14" s="208">
        <v>4560.5</v>
      </c>
      <c r="J14" s="208">
        <v>4275.2</v>
      </c>
      <c r="K14" s="207">
        <v>6.89</v>
      </c>
    </row>
    <row r="15" spans="1:13" ht="18" customHeight="1" x14ac:dyDescent="0.15">
      <c r="A15" s="84" t="s">
        <v>185</v>
      </c>
      <c r="B15" s="207">
        <v>14.31</v>
      </c>
      <c r="C15" s="208">
        <v>29</v>
      </c>
      <c r="D15" s="208">
        <v>414.4</v>
      </c>
      <c r="E15" s="208">
        <v>-126.2</v>
      </c>
      <c r="F15" s="208">
        <v>288.2</v>
      </c>
      <c r="G15" s="207">
        <v>8.0399999999999991</v>
      </c>
      <c r="H15" s="208">
        <v>313.2</v>
      </c>
      <c r="I15" s="208">
        <v>66.3</v>
      </c>
      <c r="J15" s="208">
        <v>62.4</v>
      </c>
      <c r="K15" s="207">
        <v>1.81</v>
      </c>
    </row>
    <row r="16" spans="1:13" ht="18" customHeight="1" x14ac:dyDescent="0.15">
      <c r="A16" s="84" t="s">
        <v>186</v>
      </c>
      <c r="B16" s="207">
        <v>20.76</v>
      </c>
      <c r="C16" s="208">
        <v>47.9</v>
      </c>
      <c r="D16" s="208">
        <v>993.6</v>
      </c>
      <c r="E16" s="208">
        <v>-103.7</v>
      </c>
      <c r="F16" s="208">
        <v>889.9</v>
      </c>
      <c r="G16" s="207">
        <v>11.87</v>
      </c>
      <c r="H16" s="208">
        <v>687.4</v>
      </c>
      <c r="I16" s="208">
        <v>93.9</v>
      </c>
      <c r="J16" s="208">
        <v>66.3</v>
      </c>
      <c r="K16" s="207">
        <v>1.26</v>
      </c>
    </row>
    <row r="17" spans="1:11" ht="18" customHeight="1" x14ac:dyDescent="0.15">
      <c r="A17" s="85"/>
      <c r="B17" s="203"/>
      <c r="C17" s="203"/>
      <c r="D17" s="203"/>
      <c r="E17" s="203"/>
      <c r="F17" s="203"/>
      <c r="G17" s="203"/>
      <c r="H17" s="203"/>
      <c r="I17" s="203"/>
      <c r="J17" s="203"/>
      <c r="K17" s="203"/>
    </row>
    <row r="18" spans="1:11" ht="18" customHeight="1" x14ac:dyDescent="0.15">
      <c r="A18" s="204" t="s">
        <v>187</v>
      </c>
      <c r="B18" s="209">
        <f>'Financial Statement Ratios'!G11</f>
        <v>519.62639999999999</v>
      </c>
      <c r="C18" s="210">
        <f>'Financial Statement Ratios'!G13</f>
        <v>397.7</v>
      </c>
      <c r="D18" s="210">
        <f>C18*B18</f>
        <v>206655.41928</v>
      </c>
      <c r="E18" s="210">
        <f>'Balance Sheets (Original)'!F38+'Balance Sheets (Original)'!F42-'Balance Sheets (Original)'!F10</f>
        <v>-3007.9000000000005</v>
      </c>
      <c r="F18" s="210">
        <f>E18+D18</f>
        <v>203647.51928000001</v>
      </c>
      <c r="G18" s="209">
        <f>(E18+'Balance Sheets (Original)'!F58)/C18</f>
        <v>14.591149107367359</v>
      </c>
      <c r="H18" s="210">
        <f>'Statements of Income (Original)'!F7</f>
        <v>21173.4</v>
      </c>
      <c r="I18" s="210">
        <f>'Financial Statement Ratios'!G7</f>
        <v>7084.3000000000029</v>
      </c>
      <c r="J18" s="210">
        <f>'Financial Statement Ratios'!G6</f>
        <v>6500.7000000000025</v>
      </c>
      <c r="K18" s="209">
        <f>'Financial Statement Ratios'!G10</f>
        <v>14.131155778894479</v>
      </c>
    </row>
    <row r="19" spans="1:11" ht="18" customHeight="1" x14ac:dyDescent="0.15">
      <c r="A19" s="85"/>
      <c r="B19" s="203"/>
      <c r="C19" s="203"/>
      <c r="D19" s="203"/>
      <c r="E19" s="203"/>
      <c r="F19" s="203"/>
      <c r="G19" s="203"/>
      <c r="H19" s="203"/>
      <c r="I19" s="203"/>
      <c r="J19" s="203"/>
      <c r="K19" s="203"/>
    </row>
    <row r="20" spans="1:11" ht="45" x14ac:dyDescent="0.15">
      <c r="A20" s="84" t="s">
        <v>188</v>
      </c>
      <c r="B20" s="203" t="s">
        <v>167</v>
      </c>
      <c r="C20" s="203" t="s">
        <v>168</v>
      </c>
      <c r="D20" s="203" t="s">
        <v>169</v>
      </c>
      <c r="E20" s="203" t="s">
        <v>170</v>
      </c>
      <c r="F20" s="203" t="s">
        <v>171</v>
      </c>
      <c r="G20" s="203" t="s">
        <v>172</v>
      </c>
      <c r="H20" s="203" t="s">
        <v>173</v>
      </c>
      <c r="I20" s="203" t="s">
        <v>174</v>
      </c>
      <c r="J20" s="203" t="s">
        <v>175</v>
      </c>
      <c r="K20" s="203" t="s">
        <v>176</v>
      </c>
    </row>
    <row r="21" spans="1:11" ht="18" customHeight="1" x14ac:dyDescent="0.15">
      <c r="A21" s="84" t="s">
        <v>189</v>
      </c>
      <c r="B21" s="211">
        <f t="shared" ref="B21:K21" si="0">MAX(B7:B16)</f>
        <v>469.09</v>
      </c>
      <c r="C21" s="211">
        <f t="shared" si="0"/>
        <v>1302.2</v>
      </c>
      <c r="D21" s="211">
        <f t="shared" si="0"/>
        <v>86969.600000000006</v>
      </c>
      <c r="E21" s="211">
        <f t="shared" si="0"/>
        <v>3047.5</v>
      </c>
      <c r="F21" s="211">
        <f t="shared" si="0"/>
        <v>88848</v>
      </c>
      <c r="G21" s="211">
        <f t="shared" si="0"/>
        <v>44.48</v>
      </c>
      <c r="H21" s="211">
        <f t="shared" si="0"/>
        <v>23811.5</v>
      </c>
      <c r="I21" s="211">
        <f t="shared" si="0"/>
        <v>7511.8</v>
      </c>
      <c r="J21" s="211">
        <f t="shared" si="0"/>
        <v>7092.7</v>
      </c>
      <c r="K21" s="211">
        <f t="shared" si="0"/>
        <v>32.6</v>
      </c>
    </row>
    <row r="22" spans="1:11" ht="18" customHeight="1" x14ac:dyDescent="0.15">
      <c r="A22" s="84" t="s">
        <v>190</v>
      </c>
      <c r="B22" s="211">
        <f t="shared" ref="B22:K22" si="1">MIN(B7:B16)</f>
        <v>14.31</v>
      </c>
      <c r="C22" s="211">
        <f t="shared" si="1"/>
        <v>29</v>
      </c>
      <c r="D22" s="211">
        <f t="shared" si="1"/>
        <v>414.4</v>
      </c>
      <c r="E22" s="211">
        <f t="shared" si="1"/>
        <v>-2614.6999999999998</v>
      </c>
      <c r="F22" s="211">
        <f t="shared" si="1"/>
        <v>288.2</v>
      </c>
      <c r="G22" s="211">
        <f t="shared" si="1"/>
        <v>-4.8499999999999996</v>
      </c>
      <c r="H22" s="211">
        <f t="shared" si="1"/>
        <v>313.2</v>
      </c>
      <c r="I22" s="211">
        <f t="shared" si="1"/>
        <v>66.3</v>
      </c>
      <c r="J22" s="211">
        <f t="shared" si="1"/>
        <v>62.4</v>
      </c>
      <c r="K22" s="211">
        <f t="shared" si="1"/>
        <v>0.89</v>
      </c>
    </row>
    <row r="23" spans="1:11" ht="18" customHeight="1" x14ac:dyDescent="0.15">
      <c r="A23" s="84" t="s">
        <v>191</v>
      </c>
      <c r="B23" s="211">
        <f t="shared" ref="B23:K23" si="2">AVERAGE(B7:B16)</f>
        <v>153.75799999999998</v>
      </c>
      <c r="C23" s="211">
        <f t="shared" si="2"/>
        <v>320.59000000000003</v>
      </c>
      <c r="D23" s="211">
        <f t="shared" si="2"/>
        <v>31902.880000000005</v>
      </c>
      <c r="E23" s="211">
        <f t="shared" si="2"/>
        <v>283.28999999999996</v>
      </c>
      <c r="F23" s="211">
        <f t="shared" si="2"/>
        <v>32186.2</v>
      </c>
      <c r="G23" s="211">
        <f t="shared" si="2"/>
        <v>14.967000000000002</v>
      </c>
      <c r="H23" s="211">
        <f t="shared" si="2"/>
        <v>8498.2199999999975</v>
      </c>
      <c r="I23" s="211">
        <f t="shared" si="2"/>
        <v>2810.72</v>
      </c>
      <c r="J23" s="211">
        <f t="shared" si="2"/>
        <v>2508.4900000000002</v>
      </c>
      <c r="K23" s="211">
        <f t="shared" si="2"/>
        <v>8.4850000000000012</v>
      </c>
    </row>
    <row r="24" spans="1:11" ht="18" customHeight="1" x14ac:dyDescent="0.15">
      <c r="A24" s="84" t="s">
        <v>192</v>
      </c>
      <c r="B24" s="211">
        <f t="shared" ref="B24:K24" si="3">MEDIAN(B7:B16)</f>
        <v>90.015000000000001</v>
      </c>
      <c r="C24" s="211">
        <f t="shared" si="3"/>
        <v>123.55</v>
      </c>
      <c r="D24" s="211">
        <f t="shared" si="3"/>
        <v>31141.15</v>
      </c>
      <c r="E24" s="211">
        <f t="shared" si="3"/>
        <v>-221.65</v>
      </c>
      <c r="F24" s="211">
        <f t="shared" si="3"/>
        <v>31716.199999999997</v>
      </c>
      <c r="G24" s="211">
        <f t="shared" si="3"/>
        <v>9.0500000000000007</v>
      </c>
      <c r="H24" s="211">
        <f t="shared" si="3"/>
        <v>5959.8000000000011</v>
      </c>
      <c r="I24" s="211">
        <f t="shared" si="3"/>
        <v>2423.65</v>
      </c>
      <c r="J24" s="211">
        <f t="shared" si="3"/>
        <v>2022.8999999999999</v>
      </c>
      <c r="K24" s="211">
        <f t="shared" si="3"/>
        <v>4.83</v>
      </c>
    </row>
    <row r="25" spans="1:11" ht="18" customHeight="1" x14ac:dyDescent="0.15">
      <c r="A25" s="84"/>
      <c r="B25" s="211"/>
      <c r="C25" s="211"/>
      <c r="D25" s="211"/>
      <c r="E25" s="211"/>
      <c r="F25" s="211"/>
      <c r="G25" s="211"/>
      <c r="H25" s="211"/>
      <c r="I25" s="211"/>
      <c r="J25" s="211"/>
      <c r="K25" s="211"/>
    </row>
    <row r="26" spans="1:11" ht="18" customHeight="1" x14ac:dyDescent="0.2">
      <c r="A26" s="584" t="s">
        <v>387</v>
      </c>
      <c r="B26" s="584"/>
      <c r="C26" s="584"/>
      <c r="D26" s="584"/>
      <c r="E26" s="584"/>
      <c r="F26" s="584"/>
      <c r="G26" s="584"/>
      <c r="H26" s="584"/>
      <c r="I26" s="584"/>
      <c r="J26" s="584"/>
      <c r="K26" s="584"/>
    </row>
    <row r="27" spans="1:11" ht="18" customHeight="1" x14ac:dyDescent="0.15">
      <c r="A27" s="205" t="s">
        <v>166</v>
      </c>
      <c r="B27" s="206" t="s">
        <v>167</v>
      </c>
      <c r="C27" s="215" t="s">
        <v>206</v>
      </c>
      <c r="D27" s="215" t="s">
        <v>158</v>
      </c>
      <c r="E27" s="215" t="s">
        <v>159</v>
      </c>
      <c r="F27" s="215" t="s">
        <v>160</v>
      </c>
      <c r="G27" s="215" t="s">
        <v>161</v>
      </c>
      <c r="H27" s="216" t="s">
        <v>157</v>
      </c>
      <c r="I27" s="217"/>
      <c r="J27" s="217"/>
      <c r="K27" s="217"/>
    </row>
    <row r="28" spans="1:11" ht="18" customHeight="1" x14ac:dyDescent="0.15">
      <c r="A28" s="84" t="s">
        <v>177</v>
      </c>
      <c r="B28" s="207">
        <v>102.91</v>
      </c>
      <c r="C28" s="218">
        <f t="shared" ref="C28:C37" si="4">B28/K7</f>
        <v>15.223372781065089</v>
      </c>
      <c r="D28" s="218">
        <f t="shared" ref="D28:D37" si="5">F7/H7</f>
        <v>3.7313063015769692</v>
      </c>
      <c r="E28" s="219">
        <f t="shared" ref="E28:E37" si="6">F7/J7</f>
        <v>12.526682363556898</v>
      </c>
      <c r="F28" s="219">
        <f t="shared" ref="F28:F37" si="7">F7/I7</f>
        <v>11.827790942250859</v>
      </c>
      <c r="G28" s="219">
        <f>B7/G7</f>
        <v>10.22962226640159</v>
      </c>
      <c r="H28" s="219">
        <f t="shared" ref="H28:H37" si="8">B28/(H7/C7)</f>
        <v>3.6524049723872918</v>
      </c>
    </row>
    <row r="29" spans="1:11" ht="18" customHeight="1" x14ac:dyDescent="0.15">
      <c r="A29" s="84" t="s">
        <v>178</v>
      </c>
      <c r="B29" s="207">
        <v>348.15</v>
      </c>
      <c r="C29" s="218">
        <f t="shared" si="4"/>
        <v>43.902900378310214</v>
      </c>
      <c r="D29" s="218">
        <f t="shared" si="5"/>
        <v>6.9608030196192292</v>
      </c>
      <c r="E29" s="219">
        <f t="shared" si="6"/>
        <v>26.989064007719524</v>
      </c>
      <c r="F29" s="219">
        <f t="shared" si="7"/>
        <v>24.056479357798164</v>
      </c>
      <c r="G29" s="219">
        <f t="shared" ref="G29:G37" si="9">B8/G8</f>
        <v>8.0814763231197766</v>
      </c>
      <c r="H29" s="219">
        <f t="shared" si="8"/>
        <v>7.1192479986726935</v>
      </c>
    </row>
    <row r="30" spans="1:11" ht="18" customHeight="1" x14ac:dyDescent="0.15">
      <c r="A30" s="84" t="s">
        <v>179</v>
      </c>
      <c r="B30" s="207">
        <v>469.09</v>
      </c>
      <c r="C30" s="218">
        <f t="shared" si="4"/>
        <v>14.389263803680981</v>
      </c>
      <c r="D30" s="218">
        <f t="shared" si="5"/>
        <v>3.6749244289047018</v>
      </c>
      <c r="E30" s="219">
        <f t="shared" si="6"/>
        <v>11.731922201067682</v>
      </c>
      <c r="F30" s="219">
        <f t="shared" si="7"/>
        <v>11.091961528280244</v>
      </c>
      <c r="G30" s="219">
        <f t="shared" si="9"/>
        <v>10.546088129496402</v>
      </c>
      <c r="H30" s="219">
        <f t="shared" si="8"/>
        <v>3.6944427033695644</v>
      </c>
    </row>
    <row r="31" spans="1:11" ht="18" customHeight="1" x14ac:dyDescent="0.15">
      <c r="A31" s="84" t="s">
        <v>180</v>
      </c>
      <c r="B31" s="207">
        <v>337.38</v>
      </c>
      <c r="C31" s="218">
        <f t="shared" si="4"/>
        <v>15.363387978142075</v>
      </c>
      <c r="D31" s="218">
        <f t="shared" si="5"/>
        <v>5.2338805514949467</v>
      </c>
      <c r="E31" s="219">
        <f t="shared" si="6"/>
        <v>13.137132750838106</v>
      </c>
      <c r="F31" s="219">
        <f t="shared" si="7"/>
        <v>11.99301154300311</v>
      </c>
      <c r="G31" s="219">
        <f t="shared" si="9"/>
        <v>-69.562886597938146</v>
      </c>
      <c r="H31" s="219">
        <f t="shared" si="8"/>
        <v>4.9141449409488143</v>
      </c>
    </row>
    <row r="32" spans="1:11" ht="18" customHeight="1" x14ac:dyDescent="0.15">
      <c r="A32" s="84" t="s">
        <v>181</v>
      </c>
      <c r="B32" s="207">
        <v>34.64</v>
      </c>
      <c r="C32" s="218">
        <f t="shared" si="4"/>
        <v>18.724324324324325</v>
      </c>
      <c r="D32" s="218">
        <f t="shared" si="5"/>
        <v>3.1464556962025316</v>
      </c>
      <c r="E32" s="219">
        <f t="shared" si="6"/>
        <v>13.793311915887852</v>
      </c>
      <c r="F32" s="219">
        <f t="shared" si="7"/>
        <v>9.5410707070707073</v>
      </c>
      <c r="G32" s="219">
        <f t="shared" si="9"/>
        <v>8.5320197044334982</v>
      </c>
      <c r="H32" s="219">
        <f t="shared" si="8"/>
        <v>3.0052103930712857</v>
      </c>
    </row>
    <row r="33" spans="1:11" ht="30" x14ac:dyDescent="0.15">
      <c r="A33" s="84" t="s">
        <v>182</v>
      </c>
      <c r="B33" s="207">
        <v>77.12</v>
      </c>
      <c r="C33" s="218">
        <f t="shared" si="4"/>
        <v>26.593103448275865</v>
      </c>
      <c r="D33" s="218">
        <f t="shared" si="5"/>
        <v>7.9183842855166686</v>
      </c>
      <c r="E33" s="219">
        <f t="shared" si="6"/>
        <v>19.463447806868409</v>
      </c>
      <c r="F33" s="219">
        <f t="shared" si="7"/>
        <v>19.029920212765955</v>
      </c>
      <c r="G33" s="219">
        <f t="shared" si="9"/>
        <v>10.393530997304582</v>
      </c>
      <c r="H33" s="219">
        <f t="shared" si="8"/>
        <v>8.374491630930974</v>
      </c>
    </row>
    <row r="34" spans="1:11" ht="18" customHeight="1" x14ac:dyDescent="0.15">
      <c r="A34" s="84" t="s">
        <v>183</v>
      </c>
      <c r="B34" s="207">
        <v>28.01</v>
      </c>
      <c r="C34" s="218">
        <f t="shared" si="4"/>
        <v>31.471910112359552</v>
      </c>
      <c r="D34" s="218">
        <f t="shared" si="5"/>
        <v>6.111830742659758</v>
      </c>
      <c r="E34" s="219">
        <f t="shared" si="6"/>
        <v>27.56572541382668</v>
      </c>
      <c r="F34" s="219">
        <f t="shared" si="7"/>
        <v>25.712988192552228</v>
      </c>
      <c r="G34" s="219">
        <f t="shared" si="9"/>
        <v>5.3556405353728485</v>
      </c>
      <c r="H34" s="219">
        <f t="shared" si="8"/>
        <v>6.7968998272884287</v>
      </c>
    </row>
    <row r="35" spans="1:11" ht="18" customHeight="1" x14ac:dyDescent="0.15">
      <c r="A35" s="84" t="s">
        <v>184</v>
      </c>
      <c r="B35" s="207">
        <v>105.21</v>
      </c>
      <c r="C35" s="218">
        <f t="shared" si="4"/>
        <v>15.269956458635704</v>
      </c>
      <c r="D35" s="218">
        <f t="shared" si="5"/>
        <v>3.120170152428217</v>
      </c>
      <c r="E35" s="219">
        <f t="shared" si="6"/>
        <v>10.911910553892216</v>
      </c>
      <c r="F35" s="219">
        <f t="shared" si="7"/>
        <v>10.229273106019077</v>
      </c>
      <c r="G35" s="219">
        <f t="shared" si="9"/>
        <v>5.1878698224852062</v>
      </c>
      <c r="H35" s="219">
        <f t="shared" si="8"/>
        <v>3.2953551196217052</v>
      </c>
    </row>
    <row r="36" spans="1:11" ht="18" customHeight="1" x14ac:dyDescent="0.15">
      <c r="A36" s="84" t="s">
        <v>185</v>
      </c>
      <c r="B36" s="207">
        <v>14.31</v>
      </c>
      <c r="C36" s="218">
        <f t="shared" si="4"/>
        <v>7.9060773480662982</v>
      </c>
      <c r="D36" s="218">
        <f t="shared" si="5"/>
        <v>0.92017879948914427</v>
      </c>
      <c r="E36" s="219">
        <f t="shared" si="6"/>
        <v>4.6185897435897436</v>
      </c>
      <c r="F36" s="219">
        <f t="shared" si="7"/>
        <v>4.3469079939668172</v>
      </c>
      <c r="G36" s="219">
        <f t="shared" si="9"/>
        <v>1.779850746268657</v>
      </c>
      <c r="H36" s="219">
        <f t="shared" si="8"/>
        <v>1.3250000000000002</v>
      </c>
    </row>
    <row r="37" spans="1:11" ht="18" customHeight="1" x14ac:dyDescent="0.15">
      <c r="A37" s="204" t="s">
        <v>186</v>
      </c>
      <c r="B37" s="212">
        <v>20.76</v>
      </c>
      <c r="C37" s="220">
        <f t="shared" si="4"/>
        <v>16.476190476190478</v>
      </c>
      <c r="D37" s="220">
        <f t="shared" si="5"/>
        <v>1.2945883037532733</v>
      </c>
      <c r="E37" s="221">
        <f t="shared" si="6"/>
        <v>13.422322775263952</v>
      </c>
      <c r="F37" s="221">
        <f t="shared" si="7"/>
        <v>9.4771033013844512</v>
      </c>
      <c r="G37" s="221">
        <f t="shared" si="9"/>
        <v>1.7489469250210616</v>
      </c>
      <c r="H37" s="221">
        <f t="shared" si="8"/>
        <v>1.4466162350887402</v>
      </c>
      <c r="I37" s="222"/>
      <c r="J37" s="222"/>
      <c r="K37" s="222"/>
    </row>
    <row r="38" spans="1:11" ht="18" customHeight="1" x14ac:dyDescent="0.15">
      <c r="A38" s="85"/>
      <c r="B38" s="203"/>
      <c r="C38" s="214"/>
      <c r="D38" s="214"/>
    </row>
    <row r="39" spans="1:11" ht="18" customHeight="1" x14ac:dyDescent="0.15">
      <c r="A39" s="325" t="s">
        <v>187</v>
      </c>
      <c r="B39" s="326">
        <f>B18</f>
        <v>519.62639999999999</v>
      </c>
      <c r="C39" s="327">
        <f>B39/K18</f>
        <v>36.771684363998418</v>
      </c>
      <c r="D39" s="327">
        <f>F18/H18</f>
        <v>9.6180830324841544</v>
      </c>
      <c r="E39" s="328">
        <f>F18/J18</f>
        <v>31.327013903118115</v>
      </c>
      <c r="F39" s="328">
        <f>F18/I18</f>
        <v>28.746314989483778</v>
      </c>
      <c r="G39" s="328">
        <f>B18/G18</f>
        <v>35.61243848420618</v>
      </c>
      <c r="H39" s="329">
        <f>B39/('Financial Statement Ratios'!G9/'Financial Statement Ratios'!G14)</f>
        <v>9.7675057950069419</v>
      </c>
    </row>
    <row r="40" spans="1:11" ht="18" customHeight="1" x14ac:dyDescent="0.15">
      <c r="A40" s="85"/>
      <c r="B40" s="203"/>
      <c r="C40" s="214"/>
      <c r="D40" s="214"/>
    </row>
    <row r="41" spans="1:11" ht="18" customHeight="1" thickBot="1" x14ac:dyDescent="0.2">
      <c r="A41" s="84" t="s">
        <v>188</v>
      </c>
      <c r="B41" s="203"/>
      <c r="C41" s="214"/>
      <c r="D41" s="214"/>
    </row>
    <row r="42" spans="1:11" ht="18" customHeight="1" thickBot="1" x14ac:dyDescent="0.2">
      <c r="A42" s="84" t="s">
        <v>189</v>
      </c>
      <c r="B42" s="213">
        <f t="shared" ref="B42:H42" si="10">MAX(B28:B37)</f>
        <v>469.09</v>
      </c>
      <c r="C42" s="213">
        <f t="shared" si="10"/>
        <v>43.902900378310214</v>
      </c>
      <c r="D42" s="213">
        <f t="shared" si="10"/>
        <v>7.9183842855166686</v>
      </c>
      <c r="E42" s="498">
        <f t="shared" si="10"/>
        <v>27.56572541382668</v>
      </c>
      <c r="F42" s="213">
        <f t="shared" si="10"/>
        <v>25.712988192552228</v>
      </c>
      <c r="G42" s="213">
        <f t="shared" si="10"/>
        <v>10.546088129496402</v>
      </c>
      <c r="H42" s="213">
        <f t="shared" si="10"/>
        <v>8.374491630930974</v>
      </c>
    </row>
    <row r="43" spans="1:11" ht="18" customHeight="1" x14ac:dyDescent="0.15">
      <c r="A43" s="84" t="s">
        <v>190</v>
      </c>
      <c r="B43" s="213">
        <f t="shared" ref="B43:H43" si="11">MIN(B28:B37)</f>
        <v>14.31</v>
      </c>
      <c r="C43" s="213">
        <f t="shared" si="11"/>
        <v>7.9060773480662982</v>
      </c>
      <c r="D43" s="213">
        <f t="shared" si="11"/>
        <v>0.92017879948914427</v>
      </c>
      <c r="E43" s="213">
        <f t="shared" si="11"/>
        <v>4.6185897435897436</v>
      </c>
      <c r="F43" s="213">
        <f t="shared" si="11"/>
        <v>4.3469079939668172</v>
      </c>
      <c r="G43" s="213">
        <f t="shared" si="11"/>
        <v>-69.562886597938146</v>
      </c>
      <c r="H43" s="213">
        <f t="shared" si="11"/>
        <v>1.3250000000000002</v>
      </c>
    </row>
    <row r="44" spans="1:11" ht="18" customHeight="1" x14ac:dyDescent="0.15">
      <c r="A44" s="84" t="s">
        <v>191</v>
      </c>
      <c r="B44" s="213">
        <f t="shared" ref="B44:H44" si="12">AVERAGE(B28:B37)</f>
        <v>153.75799999999998</v>
      </c>
      <c r="C44" s="213">
        <f t="shared" si="12"/>
        <v>20.532048710905059</v>
      </c>
      <c r="D44" s="213">
        <f t="shared" si="12"/>
        <v>4.2112522281645441</v>
      </c>
      <c r="E44" s="213">
        <f t="shared" si="12"/>
        <v>15.416010953251108</v>
      </c>
      <c r="F44" s="213">
        <f t="shared" si="12"/>
        <v>13.730650688509163</v>
      </c>
      <c r="G44" s="213">
        <f t="shared" si="12"/>
        <v>-0.7707841148034521</v>
      </c>
      <c r="H44" s="213">
        <f t="shared" si="12"/>
        <v>4.3623813821379498</v>
      </c>
    </row>
    <row r="45" spans="1:11" ht="18" customHeight="1" x14ac:dyDescent="0.15">
      <c r="A45" s="84" t="s">
        <v>192</v>
      </c>
      <c r="B45" s="213">
        <f t="shared" ref="B45:H45" si="13">MEDIAN(B28:B37)</f>
        <v>90.015000000000001</v>
      </c>
      <c r="C45" s="213">
        <f t="shared" si="13"/>
        <v>15.919789227166277</v>
      </c>
      <c r="D45" s="213">
        <f t="shared" si="13"/>
        <v>3.7031153652408353</v>
      </c>
      <c r="E45" s="213">
        <f t="shared" si="13"/>
        <v>13.279727763051028</v>
      </c>
      <c r="F45" s="213">
        <f t="shared" si="13"/>
        <v>11.459876235265551</v>
      </c>
      <c r="G45" s="213">
        <f t="shared" si="13"/>
        <v>6.718558429246313</v>
      </c>
      <c r="H45" s="213">
        <f t="shared" si="13"/>
        <v>3.6734238378784281</v>
      </c>
    </row>
    <row r="46" spans="1:11" ht="18" customHeight="1" x14ac:dyDescent="0.15">
      <c r="A46" s="202" t="s">
        <v>207</v>
      </c>
      <c r="B46" s="214"/>
      <c r="C46" s="223">
        <f t="shared" ref="C46:H46" si="14">_xlfn.QUARTILE.INC(C28:C37, 1)</f>
        <v>15.235018700457744</v>
      </c>
      <c r="D46" s="223">
        <f t="shared" si="14"/>
        <v>3.1267415383717956</v>
      </c>
      <c r="E46" s="223">
        <f t="shared" si="14"/>
        <v>11.930612241689985</v>
      </c>
      <c r="F46" s="223">
        <f t="shared" si="14"/>
        <v>9.7131213068077997</v>
      </c>
      <c r="G46" s="223">
        <f t="shared" si="14"/>
        <v>2.631855515322794</v>
      </c>
      <c r="H46" s="223">
        <f t="shared" si="14"/>
        <v>3.0777465747088906</v>
      </c>
    </row>
    <row r="47" spans="1:11" ht="18" customHeight="1" x14ac:dyDescent="0.15">
      <c r="A47" s="202" t="s">
        <v>208</v>
      </c>
      <c r="B47" s="214"/>
      <c r="C47" s="223">
        <f t="shared" ref="C47:H47" si="15">_xlfn.QUARTILE.INC(C28:C37, 3)</f>
        <v>24.62590866728798</v>
      </c>
      <c r="D47" s="223">
        <f t="shared" si="15"/>
        <v>5.8923431948685554</v>
      </c>
      <c r="E47" s="223">
        <f t="shared" si="15"/>
        <v>18.045913834123269</v>
      </c>
      <c r="F47" s="223">
        <f t="shared" si="15"/>
        <v>17.270693045325245</v>
      </c>
      <c r="G47" s="223">
        <f t="shared" si="15"/>
        <v>9.8052216259095673</v>
      </c>
      <c r="H47" s="223">
        <f t="shared" si="15"/>
        <v>6.3262111057035249</v>
      </c>
    </row>
    <row r="48" spans="1:11" ht="18" customHeight="1" x14ac:dyDescent="0.15">
      <c r="A48" s="202" t="s">
        <v>210</v>
      </c>
      <c r="B48" s="214"/>
      <c r="C48" s="223">
        <f>C47-C46</f>
        <v>9.3908899668302368</v>
      </c>
      <c r="D48" s="223">
        <f t="shared" ref="D48:H48" si="16">D47-D46</f>
        <v>2.7656016564967598</v>
      </c>
      <c r="E48" s="223">
        <f t="shared" si="16"/>
        <v>6.1153015924332834</v>
      </c>
      <c r="F48" s="223">
        <f t="shared" si="16"/>
        <v>7.5575717385174457</v>
      </c>
      <c r="G48" s="223">
        <f t="shared" si="16"/>
        <v>7.1733661105867732</v>
      </c>
      <c r="H48" s="223">
        <f t="shared" si="16"/>
        <v>3.2484645309946343</v>
      </c>
    </row>
    <row r="49" spans="1:9" ht="18" customHeight="1" thickBot="1" x14ac:dyDescent="0.2">
      <c r="A49" s="202" t="s">
        <v>209</v>
      </c>
      <c r="B49" s="214"/>
      <c r="C49" s="223">
        <f>C46-1.5*C48</f>
        <v>1.1486837502123883</v>
      </c>
      <c r="D49" s="223">
        <f t="shared" ref="D49:H49" si="17">D46-1.5*D48</f>
        <v>-1.0216609463733444</v>
      </c>
      <c r="E49" s="223">
        <f t="shared" si="17"/>
        <v>2.7576598530400602</v>
      </c>
      <c r="F49" s="223">
        <f t="shared" si="17"/>
        <v>-1.6232363009683688</v>
      </c>
      <c r="G49" s="223">
        <f t="shared" si="17"/>
        <v>-8.1281936505573658</v>
      </c>
      <c r="H49" s="223">
        <f t="shared" si="17"/>
        <v>-1.7949502217830604</v>
      </c>
    </row>
    <row r="50" spans="1:9" ht="18" customHeight="1" thickBot="1" x14ac:dyDescent="0.2">
      <c r="A50" s="53" t="s">
        <v>211</v>
      </c>
      <c r="C50" s="499">
        <f>C47+1.5*C48</f>
        <v>38.712243617533332</v>
      </c>
      <c r="D50" s="225">
        <f t="shared" ref="D50:G50" si="18">D47+1.5*D48</f>
        <v>10.040745679613696</v>
      </c>
      <c r="E50" s="169">
        <f t="shared" si="18"/>
        <v>27.218866222773194</v>
      </c>
      <c r="F50" s="225">
        <f t="shared" si="18"/>
        <v>28.607050653101414</v>
      </c>
      <c r="G50" s="225">
        <f t="shared" si="18"/>
        <v>20.565270791789729</v>
      </c>
      <c r="H50" s="225">
        <f t="shared" ref="H50" si="19">H47+1.5*H48</f>
        <v>11.198907902195476</v>
      </c>
    </row>
    <row r="51" spans="1:9" ht="18" customHeight="1" x14ac:dyDescent="0.15">
      <c r="A51" s="53" t="s">
        <v>212</v>
      </c>
      <c r="C51" s="224">
        <f>AVERAGEIFS(C28:C37,C28:C37,"&lt;38.71",C28:C37,"&gt;1.15")</f>
        <v>17.935287414526712</v>
      </c>
      <c r="D51" s="224">
        <f>AVERAGEIFS(D28:D37,D28:D37,"&lt;10.04",D28:D37,"&gt;-1.02")</f>
        <v>4.2112522281645441</v>
      </c>
      <c r="E51" s="224">
        <f>AVERAGEIFS(E28:E37,E28:E37,"&lt;27.22",E28:E37,"&gt;2.76")</f>
        <v>14.066042679853821</v>
      </c>
      <c r="F51" s="224">
        <f>AVERAGEIFS(F28:F37,F28:F37,"&lt;28.61",F28:F37,"&gt;-1.62")</f>
        <v>13.730650688509163</v>
      </c>
      <c r="G51" s="224">
        <f>AVERAGEIFS(G28:G37,G28:G37,"&lt;20.57",G28:G37,"&gt;8.13")</f>
        <v>9.9253152744090176</v>
      </c>
      <c r="H51" s="224">
        <f>AVERAGEIFS(H28:H37,H28:H37,"&lt;11.20",H28:H37,"&gt;-1.79")</f>
        <v>4.3623813821379498</v>
      </c>
    </row>
    <row r="52" spans="1:9" ht="18" customHeight="1" x14ac:dyDescent="0.15">
      <c r="A52" s="53"/>
      <c r="C52" s="224"/>
      <c r="D52" s="224"/>
      <c r="E52" s="224"/>
      <c r="F52" s="224"/>
      <c r="G52" s="224"/>
      <c r="H52" s="224"/>
    </row>
    <row r="53" spans="1:9" ht="18" customHeight="1" x14ac:dyDescent="0.15">
      <c r="C53" s="215" t="s">
        <v>206</v>
      </c>
      <c r="D53" s="215" t="s">
        <v>158</v>
      </c>
      <c r="E53" s="215" t="s">
        <v>159</v>
      </c>
      <c r="F53" s="215" t="s">
        <v>160</v>
      </c>
      <c r="G53" s="215" t="s">
        <v>161</v>
      </c>
      <c r="H53" s="216" t="s">
        <v>157</v>
      </c>
    </row>
    <row r="54" spans="1:9" ht="18" customHeight="1" x14ac:dyDescent="0.2">
      <c r="A54" s="583" t="s">
        <v>389</v>
      </c>
      <c r="B54" s="583"/>
      <c r="C54" s="583"/>
      <c r="D54" s="583"/>
      <c r="E54" s="583"/>
      <c r="F54" s="583"/>
      <c r="G54" s="583"/>
      <c r="H54" s="583"/>
    </row>
    <row r="55" spans="1:9" ht="18" customHeight="1" x14ac:dyDescent="0.15">
      <c r="A55" s="53" t="s">
        <v>386</v>
      </c>
      <c r="C55" s="169">
        <f>C50</f>
        <v>38.712243617533332</v>
      </c>
      <c r="D55" s="169">
        <f>D50</f>
        <v>10.040745679613696</v>
      </c>
      <c r="E55" s="169">
        <f>E42</f>
        <v>27.56572541382668</v>
      </c>
      <c r="F55" s="169">
        <f>F50</f>
        <v>28.607050653101414</v>
      </c>
      <c r="G55" s="169">
        <f>G50</f>
        <v>20.565270791789729</v>
      </c>
      <c r="H55" s="169">
        <f>H50</f>
        <v>11.198907902195476</v>
      </c>
    </row>
    <row r="56" spans="1:9" ht="18" customHeight="1" x14ac:dyDescent="0.15">
      <c r="A56" s="53" t="s">
        <v>213</v>
      </c>
      <c r="D56" s="208">
        <f>D55*'Financial Statement Ratios'!G9</f>
        <v>212596.72457273264</v>
      </c>
      <c r="E56" s="208">
        <f>E55*J18</f>
        <v>179196.51119766317</v>
      </c>
      <c r="F56" s="208">
        <f>F55*I18</f>
        <v>202660.92894176644</v>
      </c>
    </row>
    <row r="57" spans="1:9" ht="18" customHeight="1" x14ac:dyDescent="0.15">
      <c r="A57" s="53" t="s">
        <v>216</v>
      </c>
      <c r="D57" s="208">
        <f>$E$18</f>
        <v>-3007.9000000000005</v>
      </c>
      <c r="E57" s="208">
        <f t="shared" ref="E57:F57" si="20">$E$18</f>
        <v>-3007.9000000000005</v>
      </c>
      <c r="F57" s="208">
        <f t="shared" si="20"/>
        <v>-3007.9000000000005</v>
      </c>
    </row>
    <row r="58" spans="1:9" ht="18" customHeight="1" x14ac:dyDescent="0.15">
      <c r="A58" s="53" t="s">
        <v>217</v>
      </c>
      <c r="D58" s="208">
        <f>D56+D57</f>
        <v>209588.82457273264</v>
      </c>
      <c r="E58" s="208">
        <f t="shared" ref="E58:F58" si="21">E56+E57</f>
        <v>176188.61119766318</v>
      </c>
      <c r="F58" s="208">
        <f t="shared" si="21"/>
        <v>199653.02894176645</v>
      </c>
    </row>
    <row r="59" spans="1:9" ht="18" customHeight="1" x14ac:dyDescent="0.15">
      <c r="A59" s="171" t="s">
        <v>214</v>
      </c>
      <c r="B59" s="170"/>
      <c r="C59" s="229">
        <f>C55*'Financial Statement Ratios'!G10</f>
        <v>547.04874510987702</v>
      </c>
      <c r="D59" s="229">
        <f>D58/$C$18</f>
        <v>527.00232479942838</v>
      </c>
      <c r="E59" s="229">
        <f t="shared" ref="E59:F59" si="22">E58/$C$18</f>
        <v>443.0188865920623</v>
      </c>
      <c r="F59" s="229">
        <f t="shared" si="22"/>
        <v>502.01918265468055</v>
      </c>
      <c r="G59" s="229">
        <f>G55*G18</f>
        <v>300.07093255639074</v>
      </c>
      <c r="H59" s="229">
        <f>H55*H18/C18</f>
        <v>596.22568915349689</v>
      </c>
    </row>
    <row r="60" spans="1:9" ht="18" customHeight="1" x14ac:dyDescent="0.15">
      <c r="A60" s="53" t="s">
        <v>580</v>
      </c>
      <c r="C60" s="226">
        <v>0.2</v>
      </c>
      <c r="D60" s="550">
        <f>40/3/100</f>
        <v>0.13333333333333333</v>
      </c>
      <c r="E60" s="226">
        <v>0.2</v>
      </c>
      <c r="F60" s="226">
        <v>0.2</v>
      </c>
      <c r="G60" s="550">
        <f>40/3/100</f>
        <v>0.13333333333333333</v>
      </c>
      <c r="H60" s="550">
        <f>40/3/100</f>
        <v>0.13333333333333333</v>
      </c>
      <c r="I60" s="500">
        <f>SUM(C60:H60)</f>
        <v>1</v>
      </c>
    </row>
    <row r="61" spans="1:9" ht="18" customHeight="1" x14ac:dyDescent="0.15">
      <c r="A61" s="53" t="s">
        <v>581</v>
      </c>
      <c r="C61" s="226">
        <v>0.3</v>
      </c>
      <c r="D61" s="226">
        <v>0.1</v>
      </c>
      <c r="E61" s="226">
        <v>0.1</v>
      </c>
      <c r="F61" s="226">
        <v>0.1</v>
      </c>
      <c r="G61" s="226">
        <v>0.3</v>
      </c>
      <c r="H61" s="226">
        <v>0.1</v>
      </c>
      <c r="I61" s="500">
        <f t="shared" ref="I61:I62" si="23">SUM(C61:H61)</f>
        <v>0.99999999999999989</v>
      </c>
    </row>
    <row r="62" spans="1:9" ht="18" customHeight="1" x14ac:dyDescent="0.15">
      <c r="A62" s="53" t="s">
        <v>582</v>
      </c>
      <c r="C62" s="226">
        <f>10%</f>
        <v>0.1</v>
      </c>
      <c r="D62" s="226">
        <v>0.3</v>
      </c>
      <c r="E62" s="226">
        <v>0.1</v>
      </c>
      <c r="F62" s="226">
        <v>0.1</v>
      </c>
      <c r="G62" s="226">
        <v>0.1</v>
      </c>
      <c r="H62" s="226">
        <v>0.3</v>
      </c>
      <c r="I62" s="500">
        <f t="shared" si="23"/>
        <v>1</v>
      </c>
    </row>
    <row r="63" spans="1:9" ht="18" customHeight="1" x14ac:dyDescent="0.15">
      <c r="A63" s="53"/>
    </row>
    <row r="64" spans="1:9" ht="18" customHeight="1" thickBot="1" x14ac:dyDescent="0.2">
      <c r="A64" s="227" t="s">
        <v>583</v>
      </c>
      <c r="B64" s="228">
        <f>C59*C60+D59*D60+E59*E60+F59*F60+G59*G60+H59*H60</f>
        <v>488.19055573923282</v>
      </c>
    </row>
    <row r="65" spans="1:9" ht="18" customHeight="1" thickTop="1" thickBot="1" x14ac:dyDescent="0.2">
      <c r="A65" s="227" t="s">
        <v>584</v>
      </c>
      <c r="B65" s="228">
        <f>SUMPRODUCT(C61:H61,C59:H59)</f>
        <v>460.96251161984708</v>
      </c>
    </row>
    <row r="66" spans="1:9" ht="16" thickTop="1" thickBot="1" x14ac:dyDescent="0.2">
      <c r="A66" s="227" t="s">
        <v>585</v>
      </c>
      <c r="B66" s="228">
        <f>SUMPRODUCT(C62:H62,C59:H59)</f>
        <v>516.18417887717862</v>
      </c>
    </row>
    <row r="67" spans="1:9" ht="15" thickTop="1" x14ac:dyDescent="0.15">
      <c r="A67" s="53"/>
      <c r="B67" s="169"/>
    </row>
    <row r="68" spans="1:9" ht="16" x14ac:dyDescent="0.2">
      <c r="A68" s="553" t="s">
        <v>297</v>
      </c>
      <c r="B68" s="553"/>
      <c r="C68" s="553"/>
      <c r="D68" s="553"/>
      <c r="E68" s="553"/>
      <c r="F68" s="553"/>
      <c r="G68" s="553"/>
      <c r="H68" s="553"/>
      <c r="I68" s="553"/>
    </row>
    <row r="69" spans="1:9" x14ac:dyDescent="0.15">
      <c r="A69" s="118">
        <v>1</v>
      </c>
      <c r="B69" s="554" t="s">
        <v>392</v>
      </c>
      <c r="C69" s="554"/>
      <c r="D69" s="554"/>
      <c r="E69" s="554"/>
      <c r="F69" s="554"/>
      <c r="G69" s="554"/>
      <c r="H69" s="554"/>
      <c r="I69" s="554"/>
    </row>
    <row r="70" spans="1:9" ht="195" customHeight="1" x14ac:dyDescent="0.2">
      <c r="A70" s="502">
        <v>2</v>
      </c>
      <c r="B70" s="582" t="s">
        <v>586</v>
      </c>
      <c r="C70" s="582"/>
      <c r="D70" s="582"/>
      <c r="E70" s="582"/>
      <c r="F70" s="582"/>
      <c r="G70" s="582"/>
      <c r="H70" s="582"/>
      <c r="I70" s="3"/>
    </row>
    <row r="71" spans="1:9" ht="16" x14ac:dyDescent="0.2">
      <c r="A71" s="3"/>
      <c r="B71" s="3"/>
      <c r="C71" s="3"/>
      <c r="D71" s="3"/>
      <c r="E71" s="3"/>
      <c r="F71" s="3"/>
      <c r="G71" s="3"/>
      <c r="H71" s="3"/>
      <c r="I71" s="3"/>
    </row>
  </sheetData>
  <mergeCells count="9">
    <mergeCell ref="B70:H70"/>
    <mergeCell ref="A54:H54"/>
    <mergeCell ref="A68:I68"/>
    <mergeCell ref="B69:I69"/>
    <mergeCell ref="A1:M1"/>
    <mergeCell ref="A2:M2"/>
    <mergeCell ref="A3:M3"/>
    <mergeCell ref="A26:K26"/>
    <mergeCell ref="A5:K5"/>
  </mergeCells>
  <phoneticPr fontId="15" type="noConversion"/>
  <pageMargins left="0.2" right="0.2" top="0.5" bottom="0.5" header="0.5" footer="0.5"/>
  <pageSetup fitToWidth="0" fitToHeight="0" orientation="landscape" horizontalDpi="0" verticalDpi="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E4253-2131-E743-B63E-D5A65067432D}">
  <sheetPr>
    <tabColor theme="5" tint="0.79998168889431442"/>
  </sheetPr>
  <dimension ref="A1:T28"/>
  <sheetViews>
    <sheetView zoomScale="110" zoomScaleNormal="110" workbookViewId="0">
      <selection activeCell="F15" sqref="F15"/>
    </sheetView>
  </sheetViews>
  <sheetFormatPr baseColWidth="10" defaultColWidth="10.83203125" defaultRowHeight="16" x14ac:dyDescent="0.2"/>
  <cols>
    <col min="1" max="1" width="32.83203125" style="3" bestFit="1" customWidth="1"/>
    <col min="2" max="2" width="8.6640625" style="3" customWidth="1"/>
    <col min="3" max="7" width="10.83203125" style="3"/>
    <col min="8" max="10" width="11" style="3" bestFit="1" customWidth="1"/>
    <col min="11" max="12" width="12.1640625" style="3" bestFit="1" customWidth="1"/>
    <col min="13" max="16384" width="10.83203125" style="3"/>
  </cols>
  <sheetData>
    <row r="1" spans="1:20" s="13" customFormat="1" ht="17" x14ac:dyDescent="0.2">
      <c r="A1" s="575" t="s">
        <v>298</v>
      </c>
      <c r="B1" s="575"/>
      <c r="C1" s="575"/>
      <c r="D1" s="575"/>
      <c r="E1" s="575"/>
      <c r="F1" s="575"/>
      <c r="G1" s="575"/>
      <c r="H1" s="150"/>
      <c r="I1" s="150"/>
      <c r="J1" s="150"/>
      <c r="K1" s="150"/>
      <c r="L1" s="150"/>
      <c r="M1" s="150"/>
      <c r="N1" s="150"/>
      <c r="O1" s="150"/>
      <c r="P1" s="150"/>
      <c r="Q1" s="150"/>
      <c r="R1" s="150"/>
      <c r="S1" s="150"/>
      <c r="T1" s="150"/>
    </row>
    <row r="2" spans="1:20" ht="17" x14ac:dyDescent="0.2">
      <c r="A2" s="575" t="s">
        <v>353</v>
      </c>
      <c r="B2" s="575"/>
      <c r="C2" s="575"/>
      <c r="D2" s="575"/>
      <c r="E2" s="575"/>
      <c r="F2" s="575"/>
      <c r="G2" s="575"/>
      <c r="H2" s="150"/>
      <c r="I2" s="150"/>
      <c r="J2" s="150"/>
      <c r="K2" s="150"/>
      <c r="L2" s="150"/>
      <c r="M2" s="150"/>
      <c r="N2" s="150"/>
      <c r="O2" s="150"/>
      <c r="P2" s="150"/>
      <c r="Q2" s="150"/>
      <c r="R2" s="150"/>
      <c r="S2" s="150"/>
      <c r="T2" s="150"/>
    </row>
    <row r="3" spans="1:20" x14ac:dyDescent="0.2">
      <c r="A3" s="576" t="s">
        <v>384</v>
      </c>
      <c r="B3" s="576"/>
      <c r="C3" s="576"/>
      <c r="D3" s="576"/>
      <c r="E3" s="576"/>
      <c r="F3" s="576"/>
      <c r="G3" s="576"/>
    </row>
    <row r="4" spans="1:20" x14ac:dyDescent="0.2">
      <c r="A4" s="88"/>
      <c r="B4" s="88"/>
      <c r="C4" s="88"/>
      <c r="D4" s="88"/>
      <c r="E4" s="88"/>
      <c r="F4" s="88"/>
      <c r="G4" s="88"/>
      <c r="H4" s="88"/>
      <c r="I4" s="88"/>
      <c r="J4" s="88"/>
      <c r="K4" s="88"/>
      <c r="L4" s="88"/>
      <c r="M4" s="88"/>
      <c r="N4" s="88"/>
      <c r="O4" s="88"/>
      <c r="P4" s="88"/>
      <c r="Q4" s="88"/>
      <c r="R4" s="88"/>
      <c r="S4" s="88"/>
      <c r="T4" s="88"/>
    </row>
    <row r="5" spans="1:20" x14ac:dyDescent="0.2">
      <c r="A5" s="15" t="s">
        <v>131</v>
      </c>
      <c r="B5" s="15">
        <v>2017</v>
      </c>
      <c r="C5" s="15">
        <v>2018</v>
      </c>
      <c r="D5" s="15">
        <v>2019</v>
      </c>
      <c r="E5" s="15">
        <v>2020</v>
      </c>
      <c r="F5" s="15">
        <v>2021</v>
      </c>
      <c r="G5" s="15">
        <v>2022</v>
      </c>
      <c r="H5" s="385" t="s">
        <v>248</v>
      </c>
      <c r="I5" s="385" t="s">
        <v>249</v>
      </c>
      <c r="J5" s="385" t="s">
        <v>250</v>
      </c>
      <c r="K5" s="385" t="s">
        <v>251</v>
      </c>
      <c r="L5" s="385" t="s">
        <v>252</v>
      </c>
      <c r="M5" s="13"/>
      <c r="N5" s="13"/>
      <c r="O5" s="13"/>
      <c r="P5" s="13"/>
      <c r="Q5" s="13"/>
      <c r="R5" s="13"/>
      <c r="S5" s="13"/>
      <c r="T5" s="13"/>
    </row>
    <row r="6" spans="1:20" ht="20" customHeight="1" x14ac:dyDescent="0.2">
      <c r="A6" s="3" t="s">
        <v>122</v>
      </c>
      <c r="C6" s="75">
        <f>'Statements of Income (Original)'!B18</f>
        <v>2965.3000000000006</v>
      </c>
      <c r="D6" s="75">
        <f>'Statements of Income (Original)'!C18</f>
        <v>2790.8</v>
      </c>
      <c r="E6" s="75">
        <f>'Statements of Income (Original)'!D18</f>
        <v>4051.4999999999995</v>
      </c>
      <c r="F6" s="75">
        <f>'Statements of Income (Original)'!E18</f>
        <v>6750.0999999999995</v>
      </c>
      <c r="G6" s="75">
        <f>'Statements of Income (Original)'!F18</f>
        <v>6500.7000000000025</v>
      </c>
      <c r="H6" s="75">
        <f>'Proforma Statements'!S20</f>
        <v>7764.569809201942</v>
      </c>
      <c r="I6" s="75">
        <f>'Proforma Statements'!T20</f>
        <v>9194.4811726992593</v>
      </c>
      <c r="J6" s="75">
        <f>'Proforma Statements'!U20</f>
        <v>10890.557960213893</v>
      </c>
      <c r="K6" s="75">
        <f>'Proforma Statements'!V20</f>
        <v>12902.91570420445</v>
      </c>
      <c r="L6" s="75">
        <f>'Proforma Statements'!W20</f>
        <v>15291.219895888486</v>
      </c>
    </row>
    <row r="7" spans="1:20" ht="20" customHeight="1" x14ac:dyDescent="0.2">
      <c r="A7" s="3" t="s">
        <v>123</v>
      </c>
      <c r="C7" s="75">
        <f>C6+'Cash Flow (Original)'!B8</f>
        <v>3388.0000000000005</v>
      </c>
      <c r="D7" s="75">
        <f>D6+'Cash Flow (Original)'!C8</f>
        <v>3239.3</v>
      </c>
      <c r="E7" s="75">
        <f>E6+'Cash Flow (Original)'!D8</f>
        <v>4542.2999999999993</v>
      </c>
      <c r="F7" s="75">
        <f>F6+'Cash Flow (Original)'!E8</f>
        <v>7221.0999999999995</v>
      </c>
      <c r="G7" s="75">
        <f>G6+'Cash Flow (Original)'!F8</f>
        <v>7084.3000000000029</v>
      </c>
      <c r="H7" s="75"/>
      <c r="I7" s="75"/>
      <c r="J7" s="75"/>
      <c r="K7" s="75"/>
      <c r="L7" s="75"/>
    </row>
    <row r="8" spans="1:20" ht="20" customHeight="1" x14ac:dyDescent="0.2">
      <c r="A8" s="3" t="s">
        <v>126</v>
      </c>
      <c r="C8" s="75">
        <f>'Income Approach wo Synergies'!J13</f>
        <v>3834.9</v>
      </c>
      <c r="D8" s="75">
        <f>'Income Approach wo Synergies'!K13</f>
        <v>4336.7000000000007</v>
      </c>
      <c r="E8" s="75">
        <f>'Income Approach wo Synergies'!L13</f>
        <v>4157.5</v>
      </c>
      <c r="F8" s="75">
        <f>'Income Approach wo Synergies'!M13</f>
        <v>5655.9000000000005</v>
      </c>
      <c r="G8" s="75">
        <f>'Income Approach wo Synergies'!N13</f>
        <v>9725.8000000000011</v>
      </c>
      <c r="H8" s="75"/>
      <c r="I8" s="75"/>
      <c r="J8" s="75"/>
      <c r="K8" s="75"/>
      <c r="L8" s="75"/>
    </row>
    <row r="9" spans="1:20" ht="20" customHeight="1" x14ac:dyDescent="0.2">
      <c r="A9" s="3" t="s">
        <v>124</v>
      </c>
      <c r="B9" s="76">
        <v>8962.7000000000007</v>
      </c>
      <c r="C9" s="75">
        <f>'Statements of Income (Original)'!B7</f>
        <v>10944</v>
      </c>
      <c r="D9" s="75">
        <f>'Statements of Income (Original)'!C7</f>
        <v>11820</v>
      </c>
      <c r="E9" s="75">
        <f>'Statements of Income (Original)'!D7</f>
        <v>13978.5</v>
      </c>
      <c r="F9" s="75">
        <f>'Statements of Income (Original)'!E7</f>
        <v>18611</v>
      </c>
      <c r="G9" s="75">
        <f>'Statements of Income (Original)'!F7</f>
        <v>21173.4</v>
      </c>
      <c r="H9" s="75"/>
      <c r="I9" s="75"/>
      <c r="J9" s="75"/>
      <c r="K9" s="75"/>
      <c r="L9" s="75"/>
    </row>
    <row r="10" spans="1:20" ht="20" customHeight="1" x14ac:dyDescent="0.2">
      <c r="A10" s="3" t="s">
        <v>215</v>
      </c>
      <c r="B10" s="76"/>
      <c r="C10" s="75">
        <f>'Statements of Income (Original)'!B28/C14</f>
        <v>6.0778611632270181</v>
      </c>
      <c r="D10" s="75">
        <f>'Statements of Income (Original)'!C28/D14</f>
        <v>6.1487191650853887</v>
      </c>
      <c r="E10" s="75">
        <f>'Statements of Income (Original)'!D28/E14</f>
        <v>8.4793605344786425</v>
      </c>
      <c r="F10" s="75">
        <f>'Statements of Income (Original)'!E28/F14</f>
        <v>14.335282651072125</v>
      </c>
      <c r="G10" s="75">
        <f>'Statements of Income (Original)'!F28/G14</f>
        <v>14.131155778894479</v>
      </c>
      <c r="H10" s="75">
        <f>'Proforma Statements'!S33</f>
        <v>17.156506501727279</v>
      </c>
      <c r="I10" s="75">
        <f>'Proforma Statements'!T33</f>
        <v>20.316056470524931</v>
      </c>
      <c r="J10" s="75">
        <f>'Proforma Statements'!U33</f>
        <v>24.063735693325707</v>
      </c>
      <c r="K10" s="75">
        <f>'Proforma Statements'!V33</f>
        <v>28.510282717155647</v>
      </c>
      <c r="L10" s="75">
        <f>'Proforma Statements'!W33</f>
        <v>33.787538568080322</v>
      </c>
    </row>
    <row r="11" spans="1:20" ht="20" customHeight="1" x14ac:dyDescent="0.2">
      <c r="A11" s="3" t="s">
        <v>130</v>
      </c>
      <c r="C11" s="75">
        <f>C12*C15</f>
        <v>131.96575999999999</v>
      </c>
      <c r="D11" s="75">
        <f>D12*D15</f>
        <v>264.27442000000002</v>
      </c>
      <c r="E11" s="75">
        <f>E12*E15</f>
        <v>427.73044000000004</v>
      </c>
      <c r="F11" s="75">
        <f>F12*F15</f>
        <v>673.53444000000002</v>
      </c>
      <c r="G11" s="75">
        <f>G12*G15</f>
        <v>519.62639999999999</v>
      </c>
    </row>
    <row r="12" spans="1:20" ht="20" customHeight="1" x14ac:dyDescent="0.2">
      <c r="A12" s="3" t="s">
        <v>128</v>
      </c>
      <c r="C12" s="75">
        <v>155.62</v>
      </c>
      <c r="D12" s="75">
        <v>295.94</v>
      </c>
      <c r="E12" s="75">
        <v>487.72</v>
      </c>
      <c r="F12" s="75">
        <v>796.14</v>
      </c>
      <c r="G12" s="75">
        <v>546.4</v>
      </c>
    </row>
    <row r="13" spans="1:20" s="13" customFormat="1" ht="20" customHeight="1" x14ac:dyDescent="0.2">
      <c r="A13" s="3" t="s">
        <v>127</v>
      </c>
      <c r="B13" s="3"/>
      <c r="C13" s="75">
        <f>'Statements of Income (Original)'!B33</f>
        <v>424.9</v>
      </c>
      <c r="D13" s="75">
        <f>'Statements of Income (Original)'!C33</f>
        <v>420.8</v>
      </c>
      <c r="E13" s="75">
        <f>'Statements of Income (Original)'!D33</f>
        <v>418.3</v>
      </c>
      <c r="F13" s="75">
        <f>'Statements of Income (Original)'!E33</f>
        <v>409.8</v>
      </c>
      <c r="G13" s="75">
        <f>'Statements of Income (Original)'!F33</f>
        <v>397.7</v>
      </c>
      <c r="H13" s="3"/>
      <c r="I13" s="3"/>
      <c r="J13" s="3"/>
      <c r="K13" s="3"/>
      <c r="L13" s="3"/>
      <c r="M13" s="3"/>
      <c r="N13" s="3"/>
      <c r="O13" s="3"/>
      <c r="P13" s="3"/>
      <c r="Q13" s="3"/>
      <c r="R13" s="3"/>
      <c r="S13" s="3"/>
      <c r="T13" s="3"/>
    </row>
    <row r="14" spans="1:20" ht="20" customHeight="1" x14ac:dyDescent="0.2">
      <c r="A14" s="127" t="s">
        <v>26</v>
      </c>
      <c r="C14" s="128">
        <v>426.4</v>
      </c>
      <c r="D14" s="128">
        <v>421.6</v>
      </c>
      <c r="E14" s="128">
        <v>419.1</v>
      </c>
      <c r="F14" s="128">
        <v>410.4</v>
      </c>
      <c r="G14" s="128">
        <v>398</v>
      </c>
    </row>
    <row r="15" spans="1:20" ht="20" customHeight="1" x14ac:dyDescent="0.2">
      <c r="A15" s="3" t="s">
        <v>129</v>
      </c>
      <c r="C15" s="11">
        <v>0.84799999999999998</v>
      </c>
      <c r="D15" s="11">
        <v>0.89300000000000002</v>
      </c>
      <c r="E15" s="11">
        <v>0.877</v>
      </c>
      <c r="F15" s="11">
        <v>0.84599999999999997</v>
      </c>
      <c r="G15" s="11">
        <v>0.95099999999999996</v>
      </c>
    </row>
    <row r="16" spans="1:20" ht="20" customHeight="1" x14ac:dyDescent="0.2">
      <c r="A16" s="13"/>
      <c r="B16" s="76"/>
      <c r="H16" s="13"/>
      <c r="I16" s="13"/>
      <c r="J16" s="13"/>
      <c r="K16" s="13"/>
      <c r="L16" s="13"/>
      <c r="M16" s="13"/>
      <c r="N16" s="13"/>
      <c r="O16" s="13"/>
      <c r="P16" s="13"/>
      <c r="Q16" s="13"/>
      <c r="R16" s="13"/>
      <c r="S16" s="13"/>
      <c r="T16" s="13"/>
    </row>
    <row r="17" spans="1:7" ht="20" customHeight="1" x14ac:dyDescent="0.2">
      <c r="A17" s="15" t="s">
        <v>131</v>
      </c>
      <c r="B17" s="15">
        <v>2017</v>
      </c>
      <c r="C17" s="15">
        <v>2018</v>
      </c>
      <c r="D17" s="15">
        <v>2019</v>
      </c>
      <c r="E17" s="15">
        <v>2020</v>
      </c>
      <c r="F17" s="15">
        <v>2021</v>
      </c>
      <c r="G17" s="15">
        <v>2022</v>
      </c>
    </row>
    <row r="18" spans="1:7" ht="20" customHeight="1" x14ac:dyDescent="0.2">
      <c r="A18" s="22" t="s">
        <v>112</v>
      </c>
      <c r="B18" s="22"/>
      <c r="C18" s="77">
        <f>('Statements of Income (Original)'!B7-B9)/B9</f>
        <v>0.22106061789416126</v>
      </c>
      <c r="D18" s="77">
        <f>(D9-C9)/C9</f>
        <v>8.0043859649122806E-2</v>
      </c>
      <c r="E18" s="77">
        <f>(E9-D9)/D9</f>
        <v>0.18261421319796955</v>
      </c>
      <c r="F18" s="77">
        <f>(F9-E9)/E9</f>
        <v>0.33140179561469402</v>
      </c>
      <c r="G18" s="77">
        <f>(G9-F9)/F9</f>
        <v>0.13768201601203597</v>
      </c>
    </row>
    <row r="19" spans="1:7" ht="20" customHeight="1" x14ac:dyDescent="0.2">
      <c r="A19" s="22" t="s">
        <v>113</v>
      </c>
      <c r="B19" s="22"/>
      <c r="C19" s="77">
        <f>'Statements of Income (Original)'!B13/'Financial Statement Ratios'!C9</f>
        <v>0.45953947368421061</v>
      </c>
      <c r="D19" s="77">
        <f>'Statements of Income (Original)'!C13/'Financial Statement Ratios'!D9</f>
        <v>0.44668358714043993</v>
      </c>
      <c r="E19" s="77">
        <f>'Statements of Income (Original)'!D13/'Financial Statement Ratios'!E9</f>
        <v>0.48626104374575241</v>
      </c>
      <c r="F19" s="77">
        <f>'Statements of Income (Original)'!E13/'Financial Statement Ratios'!F9</f>
        <v>0.52705389285906179</v>
      </c>
      <c r="G19" s="77">
        <f>'Statements of Income (Original)'!F13/'Financial Statement Ratios'!G9</f>
        <v>0.50535577658760522</v>
      </c>
    </row>
    <row r="20" spans="1:7" ht="20" customHeight="1" x14ac:dyDescent="0.2">
      <c r="A20" s="22" t="s">
        <v>114</v>
      </c>
      <c r="B20" s="22"/>
      <c r="C20" s="77">
        <f>C7/C9</f>
        <v>0.30957602339181289</v>
      </c>
      <c r="D20" s="77">
        <f>D7/D9</f>
        <v>0.27405245346869717</v>
      </c>
      <c r="E20" s="77">
        <f>E7/E9</f>
        <v>0.32494902886575805</v>
      </c>
      <c r="F20" s="77">
        <f>F7/F9</f>
        <v>0.38800171941325018</v>
      </c>
      <c r="G20" s="77">
        <f>G7/G9</f>
        <v>0.3345849036999255</v>
      </c>
    </row>
    <row r="21" spans="1:7" ht="20" customHeight="1" x14ac:dyDescent="0.2">
      <c r="A21" s="22" t="s">
        <v>115</v>
      </c>
      <c r="B21" s="22"/>
      <c r="C21" s="77">
        <f>C6/C9</f>
        <v>0.27095211988304102</v>
      </c>
      <c r="D21" s="77">
        <f>D6/D9</f>
        <v>0.23610829103214892</v>
      </c>
      <c r="E21" s="77">
        <f>E6/E9</f>
        <v>0.28983796544693635</v>
      </c>
      <c r="F21" s="77">
        <f>F6/F9</f>
        <v>0.36269410563645155</v>
      </c>
      <c r="G21" s="77">
        <f>G6/G9</f>
        <v>0.30702201819263802</v>
      </c>
    </row>
    <row r="22" spans="1:7" ht="20" customHeight="1" x14ac:dyDescent="0.2">
      <c r="A22" s="22" t="s">
        <v>116</v>
      </c>
      <c r="B22" s="22"/>
      <c r="C22" s="77">
        <f>-'Cash Flow (Original)'!B27/'Financial Statement Ratios'!C9</f>
        <v>5.2448830409356724E-2</v>
      </c>
      <c r="D22" s="77">
        <f>-'Cash Flow (Original)'!C27/'Financial Statement Ratios'!D9</f>
        <v>6.4856175972927241E-2</v>
      </c>
      <c r="E22" s="77">
        <f>-'Cash Flow (Original)'!D27/'Financial Statement Ratios'!E9</f>
        <v>6.8819973530779413E-2</v>
      </c>
      <c r="F22" s="77">
        <f>-'Cash Flow (Original)'!E27/'Financial Statement Ratios'!F9</f>
        <v>4.8396109827521364E-2</v>
      </c>
      <c r="G22" s="77">
        <f>-'Cash Flow (Original)'!F27/'Financial Statement Ratios'!G9</f>
        <v>6.0538222486705012E-2</v>
      </c>
    </row>
    <row r="23" spans="1:7" ht="20" customHeight="1" x14ac:dyDescent="0.2">
      <c r="A23" s="22" t="s">
        <v>117</v>
      </c>
      <c r="B23" s="22"/>
      <c r="C23" s="77">
        <f>C8/C9</f>
        <v>0.35041118421052631</v>
      </c>
      <c r="D23" s="77">
        <f>D8/D9</f>
        <v>0.36689509306260581</v>
      </c>
      <c r="E23" s="77">
        <f>E8/E9</f>
        <v>0.29742103945344639</v>
      </c>
      <c r="F23" s="77">
        <f>F8/F9</f>
        <v>0.30390091881145564</v>
      </c>
      <c r="G23" s="77">
        <f>G8/G9</f>
        <v>0.45934049326041165</v>
      </c>
    </row>
    <row r="24" spans="1:7" ht="20" customHeight="1" x14ac:dyDescent="0.2">
      <c r="A24" s="22" t="s">
        <v>118</v>
      </c>
      <c r="B24" s="22"/>
      <c r="C24" s="77">
        <f>('Cash Flow (Original)'!B8)/'Financial Statement Ratios'!C9</f>
        <v>3.8623903508771928E-2</v>
      </c>
      <c r="D24" s="77">
        <f>('Cash Flow (Original)'!C8)/'Financial Statement Ratios'!D9</f>
        <v>3.7944162436548225E-2</v>
      </c>
      <c r="E24" s="77">
        <f>('Cash Flow (Original)'!D8)/'Financial Statement Ratios'!E9</f>
        <v>3.511106341882176E-2</v>
      </c>
      <c r="F24" s="77">
        <f>('Cash Flow (Original)'!E8)/'Financial Statement Ratios'!F9</f>
        <v>2.5307613776798667E-2</v>
      </c>
      <c r="G24" s="77">
        <f>('Cash Flow (Original)'!F8)/'Financial Statement Ratios'!G9</f>
        <v>2.7562885507287443E-2</v>
      </c>
    </row>
    <row r="25" spans="1:7" ht="20" customHeight="1" x14ac:dyDescent="0.2">
      <c r="A25" s="22" t="s">
        <v>119</v>
      </c>
      <c r="B25" s="22"/>
      <c r="C25" s="77">
        <f>-1*'Statements of Income (Original)'!B23/'Statements of Income (Original)'!B21</f>
        <v>0.11971399387129723</v>
      </c>
      <c r="D25" s="77">
        <f>-1*'Statements of Income (Original)'!C23/'Statements of Income (Original)'!C21</f>
        <v>6.9310868464820291E-2</v>
      </c>
      <c r="E25" s="77">
        <f>-1*'Statements of Income (Original)'!D23/'Statements of Income (Original)'!D21</f>
        <v>0.13730518348852264</v>
      </c>
      <c r="F25" s="77">
        <f>-1*'Statements of Income (Original)'!E23/'Statements of Income (Original)'!E21</f>
        <v>0.15232272015509657</v>
      </c>
      <c r="G25" s="77">
        <f>-1*'Statements of Income (Original)'!F23/'Statements of Income (Original)'!F21</f>
        <v>0.15023001502455038</v>
      </c>
    </row>
    <row r="26" spans="1:7" ht="20" customHeight="1" x14ac:dyDescent="0.2">
      <c r="A26" s="22" t="s">
        <v>120</v>
      </c>
      <c r="B26" s="22"/>
      <c r="C26" s="77">
        <f>('Balance Sheets (Original)'!B38+'Balance Sheets (Original)'!B42)/('Financial Statement Ratios'!C11*'Financial Statement Ratios'!C13+'Balance Sheets (Original)'!B38+'Balance Sheets (Original)'!B42)</f>
        <v>5.1210895781648252E-2</v>
      </c>
      <c r="D26" s="77">
        <f>('Balance Sheets (Original)'!C38+'Balance Sheets (Original)'!C42)/('Financial Statement Ratios'!D11*'Financial Statement Ratios'!D13+'Balance Sheets (Original)'!C38+'Balance Sheets (Original)'!C42)</f>
        <v>2.7190663117842077E-2</v>
      </c>
      <c r="E26" s="77">
        <f>('Balance Sheets (Original)'!D38+'Balance Sheets (Original)'!D42)/('Financial Statement Ratios'!E11*'Financial Statement Ratios'!E13+'Balance Sheets (Original)'!D38+'Balance Sheets (Original)'!D42)</f>
        <v>2.548069150613607E-2</v>
      </c>
      <c r="F26" s="77">
        <f>('Balance Sheets (Original)'!E38+'Balance Sheets (Original)'!E42)/('Financial Statement Ratios'!F11*'Financial Statement Ratios'!F13+'Balance Sheets (Original)'!E38+'Balance Sheets (Original)'!E42)</f>
        <v>1.6336864877240193E-2</v>
      </c>
      <c r="G26" s="77">
        <f>('Balance Sheets (Original)'!F38+'Balance Sheets (Original)'!F42)/('Financial Statement Ratios'!G11*'Financial Statement Ratios'!G13+'Balance Sheets (Original)'!F38+'Balance Sheets (Original)'!F42)</f>
        <v>2.0199528013326168E-2</v>
      </c>
    </row>
    <row r="27" spans="1:7" ht="20" customHeight="1" x14ac:dyDescent="0.2">
      <c r="A27" s="22" t="s">
        <v>570</v>
      </c>
      <c r="B27" s="22"/>
      <c r="C27" s="78">
        <f>('Statements of Income (Original)'!B28/'Statements of Income (Original)'!B21)*('Statements of Income (Original)'!B7/'Balance Sheets (Original)'!B32)*('Balance Sheets (Original)'!B32/'Balance Sheets (Original)'!B58)*('Statements of Income (Original)'!B21/'Cash Flow (Original)'!B6)*('Cash Flow (Original)'!B6/'Statements of Income (Original)'!B7)</f>
        <v>0.22262692208573157</v>
      </c>
      <c r="D27" s="78">
        <f>('Statements of Income (Original)'!C28/'Statements of Income (Original)'!C21)*('Statements of Income (Original)'!C7/'Balance Sheets (Original)'!C32)*('Balance Sheets (Original)'!C32/'Balance Sheets (Original)'!C58)*('Statements of Income (Original)'!C21/'Cash Flow (Original)'!C6)*('Cash Flow (Original)'!C6/'Statements of Income (Original)'!C7)</f>
        <v>0.20586553580788111</v>
      </c>
      <c r="E27" s="78">
        <f>('Statements of Income (Original)'!D28/'Statements of Income (Original)'!D21)*('Statements of Income (Original)'!D7/'Balance Sheets (Original)'!D32)*('Balance Sheets (Original)'!D32/'Balance Sheets (Original)'!D58)*('Statements of Income (Original)'!D21/'Cash Flow (Original)'!D6)*('Cash Flow (Original)'!D6/'Statements of Income (Original)'!D7)</f>
        <v>0.25629985431361507</v>
      </c>
      <c r="F27" s="78">
        <f>('Statements of Income (Original)'!E28/'Statements of Income (Original)'!E21)*('Statements of Income (Original)'!E7/'Balance Sheets (Original)'!E32)*('Balance Sheets (Original)'!E32/'Balance Sheets (Original)'!E58)*('Statements of Income (Original)'!E21/'Cash Flow (Original)'!E6)*('Cash Flow (Original)'!E6/'Statements of Income (Original)'!E7)</f>
        <v>0.58016290949253513</v>
      </c>
      <c r="G27" s="78">
        <f>('Statements of Income (Original)'!F28/'Statements of Income (Original)'!F21)*('Statements of Income (Original)'!F7/'Balance Sheets (Original)'!F32)*('Balance Sheets (Original)'!F32/'Balance Sheets (Original)'!F58)*('Statements of Income (Original)'!F21/'Cash Flow (Original)'!F6)*('Cash Flow (Original)'!F6/'Statements of Income (Original)'!F7)</f>
        <v>0.63833023108003861</v>
      </c>
    </row>
    <row r="28" spans="1:7" x14ac:dyDescent="0.2">
      <c r="A28" s="3" t="s">
        <v>571</v>
      </c>
      <c r="C28" s="78">
        <f>-'Proforma Statements'!B17/'Proforma Statements'!B9</f>
        <v>0.16274209689762759</v>
      </c>
      <c r="D28" s="78">
        <f>-'Proforma Statements'!C17/'Proforma Statements'!C9</f>
        <v>0.13915031813361614</v>
      </c>
      <c r="E28" s="78">
        <f>-'Proforma Statements'!D17/'Proforma Statements'!D9</f>
        <v>0.1439967105263158</v>
      </c>
      <c r="F28" s="78">
        <f>-'Proforma Statements'!E17/'Proforma Statements'!E9</f>
        <v>0.16653976311336718</v>
      </c>
      <c r="G28" s="78">
        <f>-'Proforma Statements'!F17/'Proforma Statements'!F9</f>
        <v>0.15744178559931324</v>
      </c>
    </row>
  </sheetData>
  <mergeCells count="3">
    <mergeCell ref="A1:G1"/>
    <mergeCell ref="A2:G2"/>
    <mergeCell ref="A3:G3"/>
  </mergeCells>
  <phoneticPr fontId="1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4500C-31D2-0942-BB5A-79AF8776B3D9}">
  <sheetPr>
    <tabColor theme="7" tint="0.39997558519241921"/>
  </sheetPr>
  <dimension ref="A1:H37"/>
  <sheetViews>
    <sheetView zoomScale="132" workbookViewId="0">
      <selection activeCell="E7" sqref="E7"/>
    </sheetView>
  </sheetViews>
  <sheetFormatPr baseColWidth="10" defaultColWidth="11" defaultRowHeight="16" x14ac:dyDescent="0.2"/>
  <cols>
    <col min="1" max="1" width="20.33203125" style="3" bestFit="1" customWidth="1"/>
    <col min="2" max="7" width="15.5" style="3" customWidth="1"/>
    <col min="8" max="16384" width="11" style="3"/>
  </cols>
  <sheetData>
    <row r="1" spans="1:7" x14ac:dyDescent="0.2">
      <c r="A1" s="556" t="s">
        <v>298</v>
      </c>
      <c r="B1" s="556"/>
      <c r="C1" s="556"/>
      <c r="D1" s="556"/>
      <c r="E1" s="556"/>
      <c r="F1" s="556"/>
      <c r="G1" s="556"/>
    </row>
    <row r="2" spans="1:7" x14ac:dyDescent="0.2">
      <c r="A2" s="556" t="s">
        <v>360</v>
      </c>
      <c r="B2" s="556"/>
      <c r="C2" s="556"/>
      <c r="D2" s="556"/>
      <c r="E2" s="556"/>
      <c r="F2" s="556"/>
      <c r="G2" s="556"/>
    </row>
    <row r="3" spans="1:7" x14ac:dyDescent="0.2">
      <c r="A3" s="557" t="s">
        <v>383</v>
      </c>
      <c r="B3" s="557"/>
      <c r="C3" s="557"/>
      <c r="D3" s="557"/>
      <c r="E3" s="557"/>
      <c r="F3" s="557"/>
      <c r="G3" s="557"/>
    </row>
    <row r="6" spans="1:7" x14ac:dyDescent="0.2">
      <c r="A6" s="142" t="s">
        <v>354</v>
      </c>
      <c r="B6" s="142" t="s">
        <v>624</v>
      </c>
      <c r="C6" s="142" t="s">
        <v>355</v>
      </c>
      <c r="D6" s="142" t="s">
        <v>282</v>
      </c>
      <c r="E6" s="142" t="s">
        <v>356</v>
      </c>
      <c r="F6" s="142" t="s">
        <v>283</v>
      </c>
      <c r="G6" s="142" t="s">
        <v>284</v>
      </c>
    </row>
    <row r="7" spans="1:7" x14ac:dyDescent="0.2">
      <c r="A7" s="3" t="s">
        <v>285</v>
      </c>
      <c r="B7" s="125">
        <f>'Balance Sheets (Original)'!F38+'Balance Sheets (Original)'!F42</f>
        <v>4260.3999999999996</v>
      </c>
      <c r="C7" s="78">
        <f>B7/(B7+B8)</f>
        <v>2.0184609564763114E-2</v>
      </c>
      <c r="D7" s="126">
        <f>'Cost of Debt'!D28</f>
        <v>3.2539139048261341E-2</v>
      </c>
      <c r="E7" s="124">
        <v>0.15</v>
      </c>
      <c r="F7" s="126">
        <f>D7*(1-E7)</f>
        <v>2.7658268191022139E-2</v>
      </c>
      <c r="G7" s="122">
        <f>C7*F7</f>
        <v>5.5827134467328887E-4</v>
      </c>
    </row>
    <row r="8" spans="1:7" x14ac:dyDescent="0.2">
      <c r="A8" s="3" t="s">
        <v>357</v>
      </c>
      <c r="B8" s="158">
        <f>'Financial Statement Ratios'!G14*'Financial Statement Ratios'!G11</f>
        <v>206811.30720000001</v>
      </c>
      <c r="C8" s="159">
        <f>B8/(B7+B8)</f>
        <v>0.97981539043523691</v>
      </c>
      <c r="F8" s="126">
        <f>'Cost of Equity'!B32</f>
        <v>9.9670879833346951E-2</v>
      </c>
      <c r="G8" s="160">
        <f>F8*C8</f>
        <v>9.765906203893443E-2</v>
      </c>
    </row>
    <row r="9" spans="1:7" ht="17" thickBot="1" x14ac:dyDescent="0.25">
      <c r="A9" s="151" t="s">
        <v>358</v>
      </c>
      <c r="B9" s="151"/>
      <c r="C9" s="151"/>
      <c r="D9" s="152"/>
      <c r="E9" s="152"/>
      <c r="F9" s="152"/>
      <c r="G9" s="161">
        <f>SUM(G7:G8)</f>
        <v>9.8217333383607719E-2</v>
      </c>
    </row>
    <row r="10" spans="1:7" ht="17" thickTop="1" x14ac:dyDescent="0.2">
      <c r="E10" s="88"/>
      <c r="F10" s="88"/>
      <c r="G10" s="88"/>
    </row>
    <row r="11" spans="1:7" x14ac:dyDescent="0.2">
      <c r="A11" s="153" t="s">
        <v>119</v>
      </c>
      <c r="B11" s="154"/>
      <c r="C11" s="154"/>
      <c r="D11" s="154"/>
      <c r="E11" s="154"/>
      <c r="F11" s="154"/>
      <c r="G11" s="88"/>
    </row>
    <row r="12" spans="1:7" x14ac:dyDescent="0.2">
      <c r="A12" s="3" t="s">
        <v>131</v>
      </c>
      <c r="B12" s="3">
        <v>2018</v>
      </c>
      <c r="C12" s="3">
        <v>2019</v>
      </c>
      <c r="D12" s="3">
        <v>2020</v>
      </c>
      <c r="E12" s="3">
        <v>2021</v>
      </c>
      <c r="F12" s="3">
        <v>2022</v>
      </c>
      <c r="G12" s="88"/>
    </row>
    <row r="13" spans="1:7" x14ac:dyDescent="0.2">
      <c r="A13" s="3" t="s">
        <v>119</v>
      </c>
      <c r="B13" s="78">
        <f>-'Proforma Statements'!D25/'Proforma Statements'!D23</f>
        <v>0.11971399387129723</v>
      </c>
      <c r="C13" s="78">
        <f>-'Proforma Statements'!E25/'Proforma Statements'!E23</f>
        <v>6.9310868464820291E-2</v>
      </c>
      <c r="D13" s="78">
        <f>-'Proforma Statements'!F25/'Proforma Statements'!F23</f>
        <v>0.13730518348852264</v>
      </c>
      <c r="E13" s="78">
        <f>-'Proforma Statements'!G25/'Proforma Statements'!G23</f>
        <v>0.15232272015509657</v>
      </c>
      <c r="F13" s="78">
        <f>-'Proforma Statements'!H25/'Proforma Statements'!H23</f>
        <v>0.15023001502455038</v>
      </c>
    </row>
    <row r="16" spans="1:7" x14ac:dyDescent="0.2">
      <c r="A16" s="553" t="s">
        <v>359</v>
      </c>
      <c r="B16" s="553"/>
      <c r="C16" s="553"/>
      <c r="D16" s="553"/>
      <c r="E16" s="553"/>
      <c r="F16" s="553"/>
      <c r="G16" s="553"/>
    </row>
    <row r="17" spans="1:8" x14ac:dyDescent="0.2">
      <c r="A17" s="155">
        <v>1</v>
      </c>
      <c r="B17" s="89" t="s">
        <v>361</v>
      </c>
      <c r="C17" s="89"/>
      <c r="D17" s="156"/>
      <c r="E17" s="89"/>
      <c r="F17" s="89"/>
      <c r="G17" s="89"/>
    </row>
    <row r="18" spans="1:8" x14ac:dyDescent="0.2">
      <c r="A18" s="155"/>
      <c r="B18" s="586"/>
      <c r="C18" s="586"/>
      <c r="D18" s="586"/>
      <c r="E18" s="586"/>
      <c r="F18" s="586"/>
      <c r="G18" s="586"/>
    </row>
    <row r="19" spans="1:8" x14ac:dyDescent="0.2">
      <c r="A19" s="155"/>
      <c r="B19" s="586"/>
      <c r="C19" s="586"/>
      <c r="D19" s="586"/>
      <c r="E19" s="586"/>
      <c r="F19" s="586"/>
      <c r="G19" s="586"/>
    </row>
    <row r="20" spans="1:8" x14ac:dyDescent="0.2">
      <c r="A20" s="155"/>
      <c r="B20" s="586"/>
      <c r="C20" s="586"/>
      <c r="D20" s="586"/>
      <c r="E20" s="586"/>
      <c r="F20" s="586"/>
      <c r="G20" s="586"/>
    </row>
    <row r="23" spans="1:8" x14ac:dyDescent="0.2">
      <c r="A23" s="157"/>
      <c r="B23" s="157"/>
      <c r="C23" s="157"/>
      <c r="D23" s="157"/>
      <c r="E23" s="157"/>
      <c r="F23" s="157"/>
      <c r="G23" s="157"/>
      <c r="H23" s="157"/>
    </row>
    <row r="24" spans="1:8" x14ac:dyDescent="0.2">
      <c r="A24" s="157"/>
      <c r="B24" s="157"/>
      <c r="C24" s="157"/>
      <c r="D24" s="157"/>
      <c r="E24" s="157"/>
      <c r="F24" s="157"/>
      <c r="G24" s="157"/>
      <c r="H24" s="157"/>
    </row>
    <row r="25" spans="1:8" x14ac:dyDescent="0.2">
      <c r="A25" s="157"/>
      <c r="B25" s="157"/>
      <c r="C25" s="157"/>
      <c r="D25" s="157"/>
      <c r="E25" s="157"/>
      <c r="F25" s="157"/>
      <c r="G25" s="157"/>
      <c r="H25" s="157"/>
    </row>
    <row r="26" spans="1:8" x14ac:dyDescent="0.2">
      <c r="A26" s="157"/>
      <c r="B26" s="157"/>
      <c r="C26" s="157"/>
      <c r="D26" s="157"/>
      <c r="E26" s="157"/>
      <c r="F26" s="157"/>
      <c r="G26" s="157"/>
      <c r="H26" s="157"/>
    </row>
    <row r="27" spans="1:8" x14ac:dyDescent="0.2">
      <c r="A27" s="157"/>
      <c r="B27" s="157"/>
      <c r="C27" s="157"/>
      <c r="D27" s="157"/>
      <c r="E27" s="157"/>
      <c r="F27" s="157"/>
      <c r="G27" s="157"/>
      <c r="H27" s="157"/>
    </row>
    <row r="28" spans="1:8" x14ac:dyDescent="0.2">
      <c r="A28" s="157"/>
      <c r="B28" s="157"/>
      <c r="C28" s="157"/>
      <c r="D28" s="157"/>
      <c r="E28" s="157"/>
      <c r="F28" s="157"/>
      <c r="G28" s="157"/>
      <c r="H28" s="157"/>
    </row>
    <row r="29" spans="1:8" x14ac:dyDescent="0.2">
      <c r="A29" s="157"/>
      <c r="B29" s="157"/>
      <c r="C29" s="157"/>
      <c r="D29" s="157"/>
      <c r="E29" s="157"/>
      <c r="F29" s="157"/>
      <c r="G29" s="157"/>
      <c r="H29" s="157"/>
    </row>
    <row r="30" spans="1:8" x14ac:dyDescent="0.2">
      <c r="A30" s="157"/>
      <c r="B30" s="157"/>
      <c r="C30" s="157"/>
      <c r="D30" s="157"/>
      <c r="E30" s="157"/>
      <c r="F30" s="157"/>
      <c r="G30" s="157"/>
      <c r="H30" s="157"/>
    </row>
    <row r="31" spans="1:8" x14ac:dyDescent="0.2">
      <c r="A31" s="157"/>
      <c r="B31" s="157"/>
      <c r="C31" s="157"/>
      <c r="D31" s="157"/>
      <c r="E31" s="157"/>
      <c r="F31" s="157"/>
      <c r="G31" s="157"/>
      <c r="H31" s="157"/>
    </row>
    <row r="32" spans="1:8" x14ac:dyDescent="0.2">
      <c r="A32" s="157"/>
      <c r="B32" s="157"/>
      <c r="C32" s="157"/>
      <c r="D32" s="157"/>
      <c r="E32" s="157"/>
      <c r="F32" s="157"/>
      <c r="G32" s="157"/>
      <c r="H32" s="157"/>
    </row>
    <row r="33" spans="1:8" x14ac:dyDescent="0.2">
      <c r="A33" s="157"/>
      <c r="B33" s="157"/>
      <c r="C33" s="157"/>
      <c r="D33" s="157"/>
      <c r="E33" s="157"/>
      <c r="F33" s="157"/>
      <c r="G33" s="157"/>
      <c r="H33" s="157"/>
    </row>
    <row r="34" spans="1:8" x14ac:dyDescent="0.2">
      <c r="A34" s="157"/>
      <c r="B34" s="157"/>
      <c r="C34" s="157"/>
      <c r="D34" s="157"/>
      <c r="E34" s="157"/>
      <c r="F34" s="157"/>
      <c r="G34" s="157"/>
      <c r="H34" s="157"/>
    </row>
    <row r="35" spans="1:8" x14ac:dyDescent="0.2">
      <c r="A35" s="157"/>
      <c r="B35" s="157"/>
      <c r="C35" s="157"/>
      <c r="D35" s="157"/>
      <c r="E35" s="157"/>
      <c r="F35" s="157"/>
      <c r="G35" s="157"/>
      <c r="H35" s="157"/>
    </row>
    <row r="36" spans="1:8" x14ac:dyDescent="0.2">
      <c r="A36" s="157"/>
      <c r="B36" s="157"/>
      <c r="C36" s="157"/>
      <c r="D36" s="157"/>
      <c r="E36" s="157"/>
      <c r="F36" s="157"/>
      <c r="G36" s="157"/>
      <c r="H36" s="157"/>
    </row>
    <row r="37" spans="1:8" x14ac:dyDescent="0.2">
      <c r="A37" s="157"/>
      <c r="B37" s="157"/>
      <c r="C37" s="157"/>
      <c r="D37" s="157"/>
      <c r="E37" s="157"/>
      <c r="F37" s="157"/>
      <c r="G37" s="157"/>
      <c r="H37" s="157"/>
    </row>
  </sheetData>
  <mergeCells count="5">
    <mergeCell ref="A1:G1"/>
    <mergeCell ref="A2:G2"/>
    <mergeCell ref="A3:G3"/>
    <mergeCell ref="A16:G16"/>
    <mergeCell ref="B18:G20"/>
  </mergeCells>
  <phoneticPr fontId="1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6C8E8-1F3E-1747-AC58-B8F44888F8B8}">
  <sheetPr>
    <tabColor theme="7" tint="0.39997558519241921"/>
  </sheetPr>
  <dimension ref="A1:G40"/>
  <sheetViews>
    <sheetView topLeftCell="A3" zoomScale="145" zoomScaleNormal="145" workbookViewId="0">
      <selection activeCell="B15" sqref="B15"/>
    </sheetView>
  </sheetViews>
  <sheetFormatPr baseColWidth="10" defaultColWidth="11" defaultRowHeight="16" x14ac:dyDescent="0.2"/>
  <cols>
    <col min="1" max="1" width="44.83203125" style="164" bestFit="1" customWidth="1"/>
    <col min="2" max="16384" width="11" style="3"/>
  </cols>
  <sheetData>
    <row r="1" spans="1:7" x14ac:dyDescent="0.2">
      <c r="A1" s="556" t="s">
        <v>298</v>
      </c>
      <c r="B1" s="556"/>
      <c r="C1" s="556"/>
      <c r="D1" s="556"/>
      <c r="E1" s="556"/>
      <c r="F1" s="556"/>
      <c r="G1" s="556"/>
    </row>
    <row r="2" spans="1:7" x14ac:dyDescent="0.2">
      <c r="A2" s="556" t="s">
        <v>362</v>
      </c>
      <c r="B2" s="556"/>
      <c r="C2" s="556"/>
      <c r="D2" s="556"/>
      <c r="E2" s="556"/>
      <c r="F2" s="556"/>
      <c r="G2" s="556"/>
    </row>
    <row r="3" spans="1:7" x14ac:dyDescent="0.2">
      <c r="A3" s="557" t="s">
        <v>382</v>
      </c>
      <c r="B3" s="557"/>
      <c r="C3" s="557"/>
      <c r="D3" s="557"/>
      <c r="E3" s="557"/>
      <c r="F3" s="557"/>
      <c r="G3" s="557"/>
    </row>
    <row r="5" spans="1:7" x14ac:dyDescent="0.2">
      <c r="A5" s="162"/>
      <c r="B5" s="14"/>
      <c r="C5" s="14"/>
      <c r="D5" s="14"/>
      <c r="E5" s="14"/>
      <c r="F5" s="14"/>
      <c r="G5" s="14"/>
    </row>
    <row r="6" spans="1:7" x14ac:dyDescent="0.2">
      <c r="A6" s="163" t="s">
        <v>259</v>
      </c>
    </row>
    <row r="7" spans="1:7" x14ac:dyDescent="0.2">
      <c r="A7" s="162" t="s">
        <v>290</v>
      </c>
      <c r="B7" s="15">
        <v>2018</v>
      </c>
      <c r="C7" s="15">
        <v>2019</v>
      </c>
      <c r="D7" s="15">
        <v>2020</v>
      </c>
      <c r="E7" s="15">
        <v>2021</v>
      </c>
      <c r="F7" s="15">
        <v>2022</v>
      </c>
      <c r="G7" s="15"/>
    </row>
    <row r="8" spans="1:7" x14ac:dyDescent="0.2">
      <c r="A8" s="164" t="s">
        <v>238</v>
      </c>
      <c r="B8" s="125">
        <f>'Cash Flow (Original)'!B37</f>
        <v>-597.1</v>
      </c>
      <c r="C8" s="125">
        <f>'Cash Flow (Original)'!C37</f>
        <v>-1325.7</v>
      </c>
      <c r="D8" s="125">
        <f>'Cash Flow (Original)'!D37</f>
        <v>-1066.4000000000001</v>
      </c>
      <c r="E8" s="125">
        <f>'Cash Flow (Original)'!E37</f>
        <v>-1368.3</v>
      </c>
      <c r="F8" s="125">
        <f>'Cash Flow (Original)'!F37</f>
        <v>-2559.8000000000002</v>
      </c>
    </row>
    <row r="9" spans="1:7" x14ac:dyDescent="0.2">
      <c r="A9" s="164" t="s">
        <v>237</v>
      </c>
      <c r="B9" s="125">
        <f>'Proforma Statements'!D30</f>
        <v>2591.6000000000004</v>
      </c>
      <c r="C9" s="125">
        <f>'Proforma Statements'!E30</f>
        <v>2592.3000000000002</v>
      </c>
      <c r="D9" s="125">
        <f>'Proforma Statements'!F30</f>
        <v>3553.6999999999994</v>
      </c>
      <c r="E9" s="125">
        <f>'Proforma Statements'!G30</f>
        <v>5883.2</v>
      </c>
      <c r="F9" s="125">
        <f>'Proforma Statements'!H30</f>
        <v>5624.2000000000025</v>
      </c>
    </row>
    <row r="10" spans="1:7" x14ac:dyDescent="0.2">
      <c r="A10" s="164" t="s">
        <v>239</v>
      </c>
      <c r="B10" s="78">
        <f>-B8/B9</f>
        <v>0.23039820960024693</v>
      </c>
      <c r="C10" s="78">
        <f t="shared" ref="C10:F10" si="0">-C8/C9</f>
        <v>0.51139914361763683</v>
      </c>
      <c r="D10" s="78">
        <f t="shared" si="0"/>
        <v>0.30008160508765519</v>
      </c>
      <c r="E10" s="78">
        <f t="shared" si="0"/>
        <v>0.23257750883872721</v>
      </c>
      <c r="F10" s="78">
        <f t="shared" si="0"/>
        <v>0.45514028661854111</v>
      </c>
      <c r="G10" s="124"/>
    </row>
    <row r="11" spans="1:7" x14ac:dyDescent="0.2">
      <c r="A11" s="164" t="s">
        <v>240</v>
      </c>
      <c r="B11" s="11">
        <f>-B8/'Proforma Statements'!D36</f>
        <v>1.4003283302063791</v>
      </c>
      <c r="C11" s="11">
        <f>-C8/'Proforma Statements'!E36</f>
        <v>3.144449715370019</v>
      </c>
      <c r="D11" s="11">
        <f>-D8/'Proforma Statements'!F36</f>
        <v>2.5445001193032688</v>
      </c>
      <c r="E11" s="11">
        <f>-E8/'Proforma Statements'!G36</f>
        <v>3.3340643274853803</v>
      </c>
      <c r="F11" s="11">
        <f>-F8/'Proforma Statements'!H36</f>
        <v>6.4316582914572873</v>
      </c>
    </row>
    <row r="12" spans="1:7" x14ac:dyDescent="0.2">
      <c r="B12" s="11"/>
      <c r="C12" s="11"/>
      <c r="D12" s="11"/>
      <c r="E12" s="11"/>
      <c r="F12" s="11"/>
    </row>
    <row r="13" spans="1:7" x14ac:dyDescent="0.2">
      <c r="A13" s="164" t="s">
        <v>262</v>
      </c>
      <c r="B13" s="11">
        <f>F11</f>
        <v>6.4316582914572873</v>
      </c>
    </row>
    <row r="14" spans="1:7" x14ac:dyDescent="0.2">
      <c r="A14" s="164" t="s">
        <v>263</v>
      </c>
      <c r="B14" s="525">
        <f>'Income Approach wo Synergies'!J19</f>
        <v>5.951962974691663E-2</v>
      </c>
    </row>
    <row r="15" spans="1:7" x14ac:dyDescent="0.2">
      <c r="A15" s="164" t="s">
        <v>265</v>
      </c>
      <c r="B15" s="123">
        <f>'Financial Statement Ratios'!G11</f>
        <v>519.62639999999999</v>
      </c>
    </row>
    <row r="16" spans="1:7" x14ac:dyDescent="0.2">
      <c r="A16" s="163" t="s">
        <v>264</v>
      </c>
      <c r="B16" s="199">
        <f>((B13*(1+B14))/B15)+B14</f>
        <v>7.2633798333469418E-2</v>
      </c>
    </row>
    <row r="17" spans="1:7" x14ac:dyDescent="0.2">
      <c r="A17" s="164" t="s">
        <v>289</v>
      </c>
      <c r="B17" s="78">
        <v>0.1</v>
      </c>
    </row>
    <row r="18" spans="1:7" x14ac:dyDescent="0.2">
      <c r="A18" s="162"/>
      <c r="B18" s="14"/>
      <c r="C18" s="14"/>
      <c r="D18" s="14"/>
      <c r="E18" s="14"/>
      <c r="F18" s="14"/>
      <c r="G18" s="14"/>
    </row>
    <row r="19" spans="1:7" x14ac:dyDescent="0.2">
      <c r="A19" s="163" t="s">
        <v>241</v>
      </c>
    </row>
    <row r="20" spans="1:7" x14ac:dyDescent="0.2">
      <c r="A20" s="164" t="s">
        <v>260</v>
      </c>
      <c r="B20" s="12">
        <f>'Proforma Statements'!S30</f>
        <v>6828.2895876874572</v>
      </c>
    </row>
    <row r="21" spans="1:7" x14ac:dyDescent="0.2">
      <c r="A21" s="164" t="s">
        <v>235</v>
      </c>
      <c r="B21" s="123">
        <f>'Proforma Statements'!H36</f>
        <v>398</v>
      </c>
    </row>
    <row r="22" spans="1:7" x14ac:dyDescent="0.2">
      <c r="A22" s="164" t="s">
        <v>261</v>
      </c>
      <c r="B22" s="123">
        <f>'Financial Statement Ratios'!G11</f>
        <v>519.62639999999999</v>
      </c>
    </row>
    <row r="23" spans="1:7" x14ac:dyDescent="0.2">
      <c r="A23" s="163" t="s">
        <v>266</v>
      </c>
      <c r="B23" s="199">
        <f>(B20/B21)/B22</f>
        <v>3.3017003180991725E-2</v>
      </c>
      <c r="C23" s="13"/>
    </row>
    <row r="24" spans="1:7" x14ac:dyDescent="0.2">
      <c r="A24" s="164" t="s">
        <v>289</v>
      </c>
      <c r="B24" s="78">
        <v>0</v>
      </c>
    </row>
    <row r="25" spans="1:7" x14ac:dyDescent="0.2">
      <c r="A25" s="162"/>
      <c r="B25" s="14"/>
      <c r="C25" s="14"/>
      <c r="D25" s="14"/>
      <c r="E25" s="14"/>
      <c r="F25" s="14"/>
      <c r="G25" s="14"/>
    </row>
    <row r="26" spans="1:7" x14ac:dyDescent="0.2">
      <c r="A26" s="163" t="s">
        <v>258</v>
      </c>
    </row>
    <row r="27" spans="1:7" x14ac:dyDescent="0.2">
      <c r="A27" s="164" t="s">
        <v>363</v>
      </c>
      <c r="B27" s="126">
        <v>3.8800000000000001E-2</v>
      </c>
      <c r="F27" s="9"/>
    </row>
    <row r="28" spans="1:7" x14ac:dyDescent="0.2">
      <c r="A28" s="164" t="s">
        <v>364</v>
      </c>
      <c r="B28" s="3">
        <v>1.25</v>
      </c>
    </row>
    <row r="29" spans="1:7" x14ac:dyDescent="0.2">
      <c r="A29" s="164" t="s">
        <v>365</v>
      </c>
      <c r="B29" s="126">
        <v>5.11E-2</v>
      </c>
      <c r="F29" s="9"/>
    </row>
    <row r="30" spans="1:7" x14ac:dyDescent="0.2">
      <c r="A30" s="163" t="s">
        <v>266</v>
      </c>
      <c r="B30" s="199">
        <f>B27+B28*B29</f>
        <v>0.102675</v>
      </c>
    </row>
    <row r="31" spans="1:7" x14ac:dyDescent="0.2">
      <c r="A31" s="162" t="s">
        <v>289</v>
      </c>
      <c r="B31" s="165">
        <v>0.9</v>
      </c>
      <c r="C31" s="14"/>
      <c r="D31" s="14"/>
      <c r="E31" s="14"/>
      <c r="F31" s="14"/>
      <c r="G31" s="14"/>
    </row>
    <row r="32" spans="1:7" ht="17" thickBot="1" x14ac:dyDescent="0.25">
      <c r="A32" s="197" t="s">
        <v>366</v>
      </c>
      <c r="B32" s="198">
        <f>B17*B16+B23*B24+B30*B31</f>
        <v>9.9670879833346951E-2</v>
      </c>
    </row>
    <row r="33" spans="1:7" ht="17" thickTop="1" x14ac:dyDescent="0.2"/>
    <row r="35" spans="1:7" x14ac:dyDescent="0.2">
      <c r="A35" s="553" t="s">
        <v>359</v>
      </c>
      <c r="B35" s="553"/>
      <c r="C35" s="553"/>
      <c r="D35" s="553"/>
      <c r="E35" s="553"/>
      <c r="F35" s="553"/>
      <c r="G35" s="553"/>
    </row>
    <row r="36" spans="1:7" x14ac:dyDescent="0.2">
      <c r="A36" s="155">
        <v>1</v>
      </c>
      <c r="B36" s="554" t="s">
        <v>367</v>
      </c>
      <c r="C36" s="554"/>
      <c r="D36" s="554"/>
      <c r="E36" s="554"/>
      <c r="F36" s="554"/>
      <c r="G36" s="554"/>
    </row>
    <row r="37" spans="1:7" x14ac:dyDescent="0.2">
      <c r="A37" s="155"/>
      <c r="B37" s="555"/>
      <c r="C37" s="555"/>
      <c r="D37" s="555"/>
      <c r="E37" s="555"/>
      <c r="F37" s="555"/>
      <c r="G37" s="555"/>
    </row>
    <row r="38" spans="1:7" ht="17" x14ac:dyDescent="0.2">
      <c r="A38" s="155"/>
      <c r="B38" s="166" t="s">
        <v>205</v>
      </c>
      <c r="C38" s="167" t="s">
        <v>368</v>
      </c>
      <c r="D38" s="166"/>
      <c r="E38" s="166"/>
      <c r="F38" s="166"/>
      <c r="G38" s="166"/>
    </row>
    <row r="39" spans="1:7" x14ac:dyDescent="0.2">
      <c r="A39" s="155">
        <v>2</v>
      </c>
      <c r="B39" s="586" t="s">
        <v>369</v>
      </c>
      <c r="C39" s="586"/>
      <c r="D39" s="586"/>
      <c r="E39" s="586"/>
      <c r="F39" s="586"/>
      <c r="G39" s="586"/>
    </row>
    <row r="40" spans="1:7" x14ac:dyDescent="0.2">
      <c r="A40" s="88">
        <v>3</v>
      </c>
      <c r="B40" s="3" t="s">
        <v>370</v>
      </c>
    </row>
  </sheetData>
  <mergeCells count="6">
    <mergeCell ref="A35:G35"/>
    <mergeCell ref="B36:G37"/>
    <mergeCell ref="B39:G39"/>
    <mergeCell ref="A1:G1"/>
    <mergeCell ref="A2:G2"/>
    <mergeCell ref="A3:G3"/>
  </mergeCells>
  <phoneticPr fontId="15" type="noConversion"/>
  <hyperlinks>
    <hyperlink ref="C38" r:id="rId1" xr:uid="{5012FE87-9F73-DB4D-84D0-9EB24424EAC4}"/>
  </hyperlinks>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E1FD0-F85F-3B4B-9DB6-E6C81C92DEB5}">
  <sheetPr>
    <tabColor theme="7" tint="0.39997558519241921"/>
    <outlinePr summaryBelow="0" summaryRight="0"/>
    <pageSetUpPr autoPageBreaks="0"/>
  </sheetPr>
  <dimension ref="A1:IG29"/>
  <sheetViews>
    <sheetView zoomScaleNormal="100" workbookViewId="0">
      <selection activeCell="E15" sqref="E15"/>
    </sheetView>
  </sheetViews>
  <sheetFormatPr baseColWidth="10" defaultColWidth="10.83203125" defaultRowHeight="17" x14ac:dyDescent="0.2"/>
  <cols>
    <col min="1" max="1" width="3.83203125" style="172" customWidth="1"/>
    <col min="2" max="2" width="19.83203125" style="172" customWidth="1"/>
    <col min="3" max="3" width="8.5" style="172" bestFit="1" customWidth="1"/>
    <col min="4" max="4" width="22.6640625" style="172" bestFit="1" customWidth="1"/>
    <col min="5" max="5" width="11" style="172" bestFit="1" customWidth="1"/>
    <col min="6" max="6" width="21" style="172" bestFit="1" customWidth="1"/>
    <col min="7" max="7" width="20.83203125" style="172" bestFit="1" customWidth="1"/>
    <col min="8" max="8" width="14.1640625" style="172" bestFit="1" customWidth="1"/>
    <col min="9" max="9" width="14.33203125" style="172" bestFit="1" customWidth="1"/>
    <col min="10" max="10" width="16.6640625" style="172" bestFit="1" customWidth="1"/>
    <col min="11" max="11" width="19" style="172" bestFit="1" customWidth="1"/>
    <col min="12" max="12" width="14.6640625" style="172" bestFit="1" customWidth="1"/>
    <col min="13" max="13" width="6.1640625" style="172" bestFit="1" customWidth="1"/>
    <col min="14" max="14" width="18" style="172" bestFit="1" customWidth="1"/>
    <col min="15" max="15" width="8.83203125" style="172" bestFit="1" customWidth="1"/>
    <col min="16" max="16" width="15.6640625" style="172" bestFit="1" customWidth="1"/>
    <col min="17" max="242" width="8.83203125" style="172" customWidth="1"/>
    <col min="243" max="16384" width="10.83203125" style="172"/>
  </cols>
  <sheetData>
    <row r="1" spans="1:241" x14ac:dyDescent="0.2">
      <c r="A1" s="575" t="s">
        <v>298</v>
      </c>
      <c r="B1" s="575"/>
      <c r="C1" s="575"/>
      <c r="D1" s="575"/>
      <c r="E1" s="575"/>
      <c r="F1" s="575"/>
      <c r="G1" s="575"/>
      <c r="H1" s="575"/>
      <c r="I1" s="575"/>
      <c r="J1" s="575"/>
      <c r="K1" s="575"/>
      <c r="L1" s="575"/>
      <c r="M1" s="575"/>
      <c r="N1" s="575"/>
      <c r="O1" s="575"/>
      <c r="P1" s="575"/>
    </row>
    <row r="2" spans="1:241" x14ac:dyDescent="0.2">
      <c r="A2" s="575" t="s">
        <v>378</v>
      </c>
      <c r="B2" s="575"/>
      <c r="C2" s="575"/>
      <c r="D2" s="575"/>
      <c r="E2" s="575"/>
      <c r="F2" s="575"/>
      <c r="G2" s="575"/>
      <c r="H2" s="575"/>
      <c r="I2" s="575"/>
      <c r="J2" s="575"/>
      <c r="K2" s="575"/>
      <c r="L2" s="575"/>
      <c r="M2" s="575"/>
      <c r="N2" s="575"/>
      <c r="O2" s="575"/>
      <c r="P2" s="575"/>
    </row>
    <row r="3" spans="1:241" x14ac:dyDescent="0.2">
      <c r="A3" s="576" t="s">
        <v>381</v>
      </c>
      <c r="B3" s="576"/>
      <c r="C3" s="576"/>
      <c r="D3" s="576"/>
      <c r="E3" s="576"/>
      <c r="F3" s="576"/>
      <c r="G3" s="576"/>
      <c r="H3" s="576"/>
      <c r="I3" s="576"/>
      <c r="J3" s="576"/>
      <c r="K3" s="576"/>
      <c r="L3" s="576"/>
      <c r="M3" s="576"/>
      <c r="N3" s="576"/>
      <c r="O3" s="576"/>
      <c r="P3" s="576"/>
    </row>
    <row r="5" spans="1:241" ht="21" customHeight="1" x14ac:dyDescent="0.2">
      <c r="A5" s="173"/>
      <c r="B5" s="585" t="s">
        <v>375</v>
      </c>
      <c r="C5" s="585"/>
      <c r="D5" s="585"/>
      <c r="E5" s="585"/>
      <c r="F5" s="585"/>
      <c r="G5" s="585"/>
      <c r="H5" s="585"/>
      <c r="I5" s="585"/>
      <c r="J5" s="585"/>
      <c r="K5" s="585"/>
      <c r="L5" s="585"/>
      <c r="M5" s="585"/>
      <c r="N5" s="585"/>
      <c r="O5" s="585"/>
      <c r="P5" s="585"/>
      <c r="Q5" s="174"/>
      <c r="R5" s="174"/>
      <c r="S5" s="174"/>
      <c r="T5" s="174"/>
      <c r="U5" s="174"/>
      <c r="V5" s="174"/>
      <c r="W5" s="174"/>
      <c r="X5" s="174"/>
      <c r="Y5" s="174"/>
      <c r="Z5" s="174"/>
      <c r="AA5" s="174"/>
      <c r="AB5" s="174"/>
      <c r="AC5" s="174"/>
      <c r="AD5" s="174"/>
      <c r="AE5" s="174"/>
      <c r="AF5" s="174"/>
      <c r="AG5" s="174"/>
      <c r="AH5" s="174"/>
      <c r="AI5" s="174"/>
      <c r="AJ5" s="174"/>
      <c r="AK5" s="174"/>
      <c r="AL5" s="174"/>
      <c r="AM5" s="174"/>
      <c r="AN5" s="174"/>
      <c r="AO5" s="174"/>
      <c r="AP5" s="174"/>
      <c r="AQ5" s="174"/>
      <c r="AR5" s="174"/>
      <c r="AS5" s="174"/>
      <c r="AT5" s="174"/>
      <c r="AU5" s="174"/>
      <c r="AV5" s="174"/>
      <c r="AW5" s="174"/>
      <c r="AX5" s="174"/>
      <c r="AY5" s="174"/>
      <c r="AZ5" s="174"/>
      <c r="BA5" s="174"/>
      <c r="BB5" s="174"/>
      <c r="BC5" s="174"/>
      <c r="BD5" s="174"/>
      <c r="BE5" s="174"/>
      <c r="BF5" s="174"/>
      <c r="BG5" s="174"/>
      <c r="BH5" s="174"/>
      <c r="BI5" s="174"/>
      <c r="BJ5" s="174"/>
      <c r="BK5" s="174"/>
      <c r="BL5" s="174"/>
      <c r="BM5" s="174"/>
      <c r="BN5" s="174"/>
      <c r="BO5" s="174"/>
      <c r="BP5" s="174"/>
      <c r="BQ5" s="174"/>
      <c r="BR5" s="174"/>
      <c r="BS5" s="174"/>
      <c r="BT5" s="174"/>
      <c r="BU5" s="174"/>
      <c r="BV5" s="174"/>
      <c r="BW5" s="174"/>
      <c r="BX5" s="174"/>
      <c r="BY5" s="174"/>
      <c r="BZ5" s="174"/>
      <c r="CA5" s="174"/>
      <c r="CB5" s="174"/>
      <c r="CC5" s="174"/>
      <c r="CD5" s="174"/>
      <c r="CE5" s="174"/>
      <c r="CF5" s="174"/>
      <c r="CG5" s="174"/>
      <c r="CH5" s="174"/>
      <c r="CI5" s="174"/>
      <c r="CJ5" s="174"/>
      <c r="CK5" s="174"/>
      <c r="CL5" s="174"/>
      <c r="CM5" s="174"/>
      <c r="CN5" s="174"/>
      <c r="CO5" s="174"/>
      <c r="CP5" s="174"/>
      <c r="CQ5" s="174"/>
      <c r="CR5" s="174"/>
      <c r="CS5" s="174"/>
      <c r="CT5" s="174"/>
      <c r="CU5" s="174"/>
      <c r="CV5" s="174"/>
      <c r="CW5" s="174"/>
      <c r="CX5" s="174"/>
      <c r="CY5" s="174"/>
      <c r="CZ5" s="174"/>
      <c r="DA5" s="174"/>
      <c r="DB5" s="174"/>
      <c r="DC5" s="174"/>
      <c r="DD5" s="174"/>
      <c r="DE5" s="174"/>
      <c r="DF5" s="174"/>
      <c r="DG5" s="174"/>
      <c r="DH5" s="174"/>
      <c r="DI5" s="174"/>
      <c r="DJ5" s="174"/>
      <c r="DK5" s="174"/>
      <c r="DL5" s="174"/>
      <c r="DM5" s="174"/>
      <c r="DN5" s="174"/>
      <c r="DO5" s="174"/>
      <c r="DP5" s="174"/>
      <c r="DQ5" s="174"/>
      <c r="DR5" s="174"/>
      <c r="DS5" s="174"/>
      <c r="DT5" s="174"/>
      <c r="DU5" s="174"/>
      <c r="DV5" s="174"/>
      <c r="DW5" s="174"/>
      <c r="DX5" s="174"/>
      <c r="DY5" s="174"/>
      <c r="DZ5" s="174"/>
      <c r="EA5" s="174"/>
      <c r="EB5" s="174"/>
      <c r="EC5" s="174"/>
      <c r="ED5" s="174"/>
      <c r="EE5" s="174"/>
      <c r="EF5" s="174"/>
      <c r="EG5" s="174"/>
      <c r="EH5" s="174"/>
      <c r="EI5" s="174"/>
      <c r="EJ5" s="174"/>
      <c r="EK5" s="174"/>
      <c r="EL5" s="174"/>
      <c r="EM5" s="174"/>
      <c r="EN5" s="174"/>
      <c r="EO5" s="174"/>
      <c r="EP5" s="174"/>
      <c r="EQ5" s="174"/>
      <c r="ER5" s="174"/>
      <c r="ES5" s="174"/>
      <c r="ET5" s="174"/>
      <c r="EU5" s="174"/>
      <c r="EV5" s="174"/>
      <c r="EW5" s="174"/>
      <c r="EX5" s="174"/>
      <c r="EY5" s="174"/>
      <c r="EZ5" s="174"/>
      <c r="FA5" s="174"/>
      <c r="FB5" s="174"/>
      <c r="FC5" s="174"/>
      <c r="FD5" s="174"/>
      <c r="FE5" s="174"/>
      <c r="FF5" s="174"/>
      <c r="FG5" s="174"/>
      <c r="FH5" s="174"/>
      <c r="FI5" s="174"/>
      <c r="FJ5" s="174"/>
      <c r="FK5" s="174"/>
      <c r="FL5" s="174"/>
      <c r="FM5" s="174"/>
      <c r="FN5" s="174"/>
      <c r="FO5" s="174"/>
      <c r="FP5" s="174"/>
      <c r="FQ5" s="174"/>
      <c r="FR5" s="174"/>
      <c r="FS5" s="174"/>
      <c r="FT5" s="174"/>
      <c r="FU5" s="174"/>
      <c r="FV5" s="174"/>
      <c r="FW5" s="174"/>
      <c r="FX5" s="174"/>
      <c r="FY5" s="174"/>
      <c r="FZ5" s="174"/>
      <c r="GA5" s="174"/>
      <c r="GB5" s="174"/>
      <c r="GC5" s="174"/>
      <c r="GD5" s="174"/>
      <c r="GE5" s="174"/>
      <c r="GF5" s="174"/>
      <c r="GG5" s="174"/>
      <c r="GH5" s="174"/>
      <c r="GI5" s="174"/>
      <c r="GJ5" s="174"/>
      <c r="GK5" s="174"/>
      <c r="GL5" s="174"/>
      <c r="GM5" s="174"/>
      <c r="GN5" s="174"/>
      <c r="GO5" s="174"/>
      <c r="GP5" s="174"/>
      <c r="GQ5" s="174"/>
      <c r="GR5" s="174"/>
      <c r="GS5" s="174"/>
      <c r="GT5" s="174"/>
      <c r="GU5" s="174"/>
      <c r="GV5" s="174"/>
      <c r="GW5" s="174"/>
      <c r="GX5" s="174"/>
      <c r="GY5" s="174"/>
      <c r="GZ5" s="174"/>
      <c r="HA5" s="174"/>
      <c r="HB5" s="174"/>
      <c r="HC5" s="174"/>
      <c r="HD5" s="174"/>
      <c r="HE5" s="174"/>
      <c r="HF5" s="174"/>
      <c r="HG5" s="174"/>
      <c r="HH5" s="174"/>
      <c r="HI5" s="174"/>
      <c r="HJ5" s="174"/>
      <c r="HK5" s="174"/>
      <c r="HL5" s="174"/>
      <c r="HM5" s="174"/>
      <c r="HN5" s="174"/>
      <c r="HO5" s="174"/>
      <c r="HP5" s="174"/>
      <c r="HQ5" s="174"/>
      <c r="HR5" s="174"/>
      <c r="HS5" s="174"/>
      <c r="HT5" s="174"/>
      <c r="HU5" s="174"/>
      <c r="HV5" s="174"/>
      <c r="HW5" s="174"/>
      <c r="HX5" s="174"/>
      <c r="HY5" s="174"/>
      <c r="HZ5" s="174"/>
      <c r="IA5" s="174"/>
      <c r="IB5" s="174"/>
      <c r="IC5" s="174"/>
      <c r="ID5" s="174"/>
      <c r="IE5" s="174"/>
      <c r="IF5" s="174"/>
      <c r="IG5" s="174"/>
    </row>
    <row r="6" spans="1:241" s="178" customFormat="1" ht="21" customHeight="1" x14ac:dyDescent="0.2">
      <c r="A6" s="175"/>
      <c r="B6" s="175" t="s">
        <v>280</v>
      </c>
      <c r="C6" s="175" t="s">
        <v>279</v>
      </c>
      <c r="D6" s="175" t="s">
        <v>278</v>
      </c>
      <c r="E6" s="175" t="s">
        <v>277</v>
      </c>
      <c r="F6" s="175" t="s">
        <v>276</v>
      </c>
      <c r="G6" s="175" t="s">
        <v>275</v>
      </c>
      <c r="H6" s="175" t="s">
        <v>274</v>
      </c>
      <c r="I6" s="175" t="s">
        <v>273</v>
      </c>
      <c r="J6" s="175" t="s">
        <v>272</v>
      </c>
      <c r="K6" s="176" t="s">
        <v>271</v>
      </c>
      <c r="L6" s="176" t="s">
        <v>270</v>
      </c>
      <c r="M6" s="177" t="s">
        <v>267</v>
      </c>
      <c r="N6" s="177" t="s">
        <v>371</v>
      </c>
      <c r="O6" s="177" t="s">
        <v>372</v>
      </c>
      <c r="P6" s="177" t="s">
        <v>373</v>
      </c>
    </row>
    <row r="7" spans="1:241" ht="21" customHeight="1" x14ac:dyDescent="0.2">
      <c r="A7" s="179"/>
      <c r="B7" s="192">
        <v>45188</v>
      </c>
      <c r="C7" s="179">
        <v>3.375</v>
      </c>
      <c r="D7" s="191">
        <v>246919082</v>
      </c>
      <c r="E7" s="192">
        <v>41536</v>
      </c>
      <c r="F7" s="179">
        <v>1014.82</v>
      </c>
      <c r="G7" s="179">
        <v>826.9</v>
      </c>
      <c r="H7" s="179">
        <v>99.92</v>
      </c>
      <c r="I7" s="179">
        <v>3.5430000000000001</v>
      </c>
      <c r="J7" s="180" t="s">
        <v>269</v>
      </c>
      <c r="K7" s="180" t="s">
        <v>268</v>
      </c>
      <c r="L7" s="179">
        <v>99.100999999999999</v>
      </c>
      <c r="M7" s="181">
        <f>RATE(N7,C7/100*100,-H7,100)</f>
        <v>3.4577662129703757E-2</v>
      </c>
      <c r="N7" s="182">
        <v>1</v>
      </c>
      <c r="O7" s="183">
        <f>N7/SUM($N$7:$N$12)</f>
        <v>3.2258064516129031E-2</v>
      </c>
      <c r="P7" s="184">
        <f>O7*M7</f>
        <v>1.1154084557968953E-3</v>
      </c>
    </row>
    <row r="8" spans="1:241" ht="21" customHeight="1" x14ac:dyDescent="0.2">
      <c r="A8" s="179"/>
      <c r="B8" s="192">
        <v>46210</v>
      </c>
      <c r="C8" s="179">
        <v>1.375</v>
      </c>
      <c r="D8" s="191">
        <v>372273869</v>
      </c>
      <c r="E8" s="192">
        <v>42558</v>
      </c>
      <c r="F8" s="179">
        <v>1106.5</v>
      </c>
      <c r="G8" s="179">
        <v>1102.54</v>
      </c>
      <c r="H8" s="179">
        <v>94.44</v>
      </c>
      <c r="I8" s="179">
        <v>3.2320000000000002</v>
      </c>
      <c r="J8" s="180" t="s">
        <v>269</v>
      </c>
      <c r="K8" s="180" t="s">
        <v>268</v>
      </c>
      <c r="L8" s="179">
        <v>99.287999999999997</v>
      </c>
      <c r="M8" s="181">
        <f>RATE(N8,C8/100*100,-H8,100)</f>
        <v>3.3540226586317792E-2</v>
      </c>
      <c r="N8" s="182">
        <v>3</v>
      </c>
      <c r="O8" s="183">
        <f t="shared" ref="O8:O12" si="0">N8/SUM($N$7:$N$12)</f>
        <v>9.6774193548387094E-2</v>
      </c>
      <c r="P8" s="184">
        <f t="shared" ref="P8:P12" si="1">O8*M8</f>
        <v>3.2458283793210768E-3</v>
      </c>
    </row>
    <row r="9" spans="1:241" ht="21" customHeight="1" x14ac:dyDescent="0.2">
      <c r="A9" s="179"/>
      <c r="B9" s="192">
        <v>46535</v>
      </c>
      <c r="C9" s="179">
        <v>1.625</v>
      </c>
      <c r="D9" s="191">
        <v>410872676</v>
      </c>
      <c r="E9" s="192">
        <v>42704</v>
      </c>
      <c r="F9" s="179">
        <v>792.81</v>
      </c>
      <c r="G9" s="179">
        <v>826.9</v>
      </c>
      <c r="H9" s="179">
        <v>93.826999999999998</v>
      </c>
      <c r="I9" s="179">
        <v>3.262</v>
      </c>
      <c r="J9" s="180" t="s">
        <v>269</v>
      </c>
      <c r="K9" s="180" t="s">
        <v>268</v>
      </c>
      <c r="L9" s="179">
        <v>99.677999999999997</v>
      </c>
      <c r="M9" s="181">
        <f t="shared" ref="M9:M12" si="2">RATE(N9,C9/100*100,-H9,100)</f>
        <v>3.2975362248476817E-2</v>
      </c>
      <c r="N9" s="182">
        <v>4</v>
      </c>
      <c r="O9" s="183">
        <f t="shared" si="0"/>
        <v>0.12903225806451613</v>
      </c>
      <c r="P9" s="184">
        <f t="shared" si="1"/>
        <v>4.2548854514163634E-3</v>
      </c>
    </row>
    <row r="10" spans="1:241" ht="21" customHeight="1" x14ac:dyDescent="0.2">
      <c r="A10" s="179"/>
      <c r="B10" s="192">
        <v>47245</v>
      </c>
      <c r="C10" s="179">
        <v>0.625</v>
      </c>
      <c r="D10" s="191">
        <v>666530172</v>
      </c>
      <c r="E10" s="192">
        <v>43958</v>
      </c>
      <c r="F10" s="179">
        <v>808.8</v>
      </c>
      <c r="G10" s="179">
        <v>826.9</v>
      </c>
      <c r="H10" s="179">
        <v>85.308000000000007</v>
      </c>
      <c r="I10" s="179">
        <v>3.3570000000000002</v>
      </c>
      <c r="J10" s="180" t="s">
        <v>269</v>
      </c>
      <c r="K10" s="180" t="s">
        <v>268</v>
      </c>
      <c r="L10" s="179">
        <v>99.894999999999996</v>
      </c>
      <c r="M10" s="181">
        <f t="shared" si="2"/>
        <v>3.3705044592882365E-2</v>
      </c>
      <c r="N10" s="182">
        <v>6</v>
      </c>
      <c r="O10" s="183">
        <f t="shared" si="0"/>
        <v>0.19354838709677419</v>
      </c>
      <c r="P10" s="184">
        <f t="shared" si="1"/>
        <v>6.5235570179772318E-3</v>
      </c>
    </row>
    <row r="11" spans="1:241" ht="21" customHeight="1" x14ac:dyDescent="0.2">
      <c r="A11" s="179"/>
      <c r="B11" s="192">
        <v>47539</v>
      </c>
      <c r="C11" s="179">
        <v>0.25</v>
      </c>
      <c r="D11" s="191">
        <v>652249907</v>
      </c>
      <c r="E11" s="192">
        <v>43886</v>
      </c>
      <c r="F11" s="179">
        <v>815.93</v>
      </c>
      <c r="G11" s="179">
        <v>826.9</v>
      </c>
      <c r="H11" s="179">
        <v>81.468000000000004</v>
      </c>
      <c r="I11" s="179">
        <v>3.3250000000000002</v>
      </c>
      <c r="J11" s="180" t="s">
        <v>269</v>
      </c>
      <c r="K11" s="180" t="s">
        <v>268</v>
      </c>
      <c r="L11" s="179">
        <v>99.028999999999996</v>
      </c>
      <c r="M11" s="181">
        <f t="shared" si="2"/>
        <v>3.2529213519300035E-2</v>
      </c>
      <c r="N11" s="182">
        <v>7</v>
      </c>
      <c r="O11" s="183">
        <f t="shared" si="0"/>
        <v>0.22580645161290322</v>
      </c>
      <c r="P11" s="184">
        <f t="shared" si="1"/>
        <v>7.3453062785516204E-3</v>
      </c>
    </row>
    <row r="12" spans="1:241" ht="21" customHeight="1" x14ac:dyDescent="0.2">
      <c r="A12" s="179"/>
      <c r="B12" s="192">
        <v>48351</v>
      </c>
      <c r="C12" s="179">
        <v>2.25</v>
      </c>
      <c r="D12" s="191">
        <v>1782546863</v>
      </c>
      <c r="E12" s="192">
        <v>44698</v>
      </c>
      <c r="F12" s="179">
        <v>526.65</v>
      </c>
      <c r="G12" s="179">
        <v>551.27</v>
      </c>
      <c r="H12" s="179">
        <v>92.65</v>
      </c>
      <c r="I12" s="179">
        <v>3.1970000000000001</v>
      </c>
      <c r="J12" s="180" t="s">
        <v>269</v>
      </c>
      <c r="K12" s="180" t="s">
        <v>268</v>
      </c>
      <c r="L12" s="179">
        <v>99.47</v>
      </c>
      <c r="M12" s="181">
        <f t="shared" si="2"/>
        <v>3.1167875742114281E-2</v>
      </c>
      <c r="N12" s="182">
        <v>10</v>
      </c>
      <c r="O12" s="183">
        <f t="shared" si="0"/>
        <v>0.32258064516129031</v>
      </c>
      <c r="P12" s="184">
        <f t="shared" si="1"/>
        <v>1.0054153465198154E-2</v>
      </c>
    </row>
    <row r="13" spans="1:241" x14ac:dyDescent="0.2">
      <c r="A13" s="185"/>
      <c r="B13" s="185"/>
      <c r="C13" s="185"/>
      <c r="D13" s="185"/>
      <c r="E13" s="185"/>
      <c r="F13" s="185"/>
      <c r="G13" s="186"/>
      <c r="H13" s="185"/>
      <c r="I13" s="185"/>
      <c r="J13" s="185"/>
      <c r="K13" s="185"/>
      <c r="L13" s="185"/>
      <c r="M13" s="187"/>
      <c r="N13" s="187"/>
      <c r="O13" s="187"/>
      <c r="P13" s="188"/>
    </row>
    <row r="15" spans="1:241" x14ac:dyDescent="0.2">
      <c r="B15" s="189" t="s">
        <v>374</v>
      </c>
      <c r="C15" s="189"/>
      <c r="D15" s="189"/>
      <c r="E15" s="190">
        <f>SUM(P7:P12)</f>
        <v>3.2539139048261341E-2</v>
      </c>
    </row>
    <row r="16" spans="1:241" ht="25" customHeight="1" x14ac:dyDescent="0.2">
      <c r="B16" s="172" t="s">
        <v>289</v>
      </c>
      <c r="E16" s="193">
        <v>1</v>
      </c>
    </row>
    <row r="17" spans="2:10" x14ac:dyDescent="0.2">
      <c r="H17" s="588"/>
      <c r="I17" s="589"/>
      <c r="J17" s="589"/>
    </row>
    <row r="20" spans="2:10" x14ac:dyDescent="0.2">
      <c r="B20" s="587" t="s">
        <v>376</v>
      </c>
      <c r="C20" s="587"/>
      <c r="D20" s="587"/>
      <c r="E20" s="587"/>
    </row>
    <row r="21" spans="2:10" x14ac:dyDescent="0.2">
      <c r="B21" s="196"/>
      <c r="C21" s="196"/>
      <c r="D21" s="196">
        <v>2021</v>
      </c>
      <c r="E21" s="196">
        <v>2022</v>
      </c>
    </row>
    <row r="22" spans="2:10" x14ac:dyDescent="0.2">
      <c r="B22" s="172" t="s">
        <v>288</v>
      </c>
      <c r="D22" s="195">
        <f>'Balance Sheets (Original)'!E38+'Balance Sheets (Original)'!E42</f>
        <v>4584.1000000000004</v>
      </c>
      <c r="E22" s="195">
        <f>'Balance Sheets (Original)'!F38+'Balance Sheets (Original)'!F42</f>
        <v>4260.3999999999996</v>
      </c>
    </row>
    <row r="23" spans="2:10" x14ac:dyDescent="0.2">
      <c r="B23" s="172" t="s">
        <v>287</v>
      </c>
      <c r="D23" s="195">
        <f>AVERAGE(D22,E22)</f>
        <v>4422.25</v>
      </c>
      <c r="E23" s="195"/>
    </row>
    <row r="24" spans="2:10" x14ac:dyDescent="0.2">
      <c r="B24" s="172" t="s">
        <v>286</v>
      </c>
      <c r="D24" s="172">
        <f>-'Proforma Statements'!H22</f>
        <v>44.6</v>
      </c>
    </row>
    <row r="25" spans="2:10" x14ac:dyDescent="0.2">
      <c r="B25" s="189" t="s">
        <v>377</v>
      </c>
      <c r="C25" s="189"/>
      <c r="D25" s="194">
        <f>D24/D23</f>
        <v>1.0085363785403359E-2</v>
      </c>
    </row>
    <row r="26" spans="2:10" x14ac:dyDescent="0.2">
      <c r="B26" s="172" t="s">
        <v>289</v>
      </c>
      <c r="D26" s="193">
        <v>0</v>
      </c>
    </row>
    <row r="28" spans="2:10" ht="18" thickBot="1" x14ac:dyDescent="0.25">
      <c r="B28" s="200" t="s">
        <v>379</v>
      </c>
      <c r="C28" s="200"/>
      <c r="D28" s="201">
        <f>D25*D26+E15*E16</f>
        <v>3.2539139048261341E-2</v>
      </c>
    </row>
    <row r="29" spans="2:10" ht="18" thickTop="1" x14ac:dyDescent="0.2"/>
  </sheetData>
  <mergeCells count="6">
    <mergeCell ref="B20:E20"/>
    <mergeCell ref="A2:P2"/>
    <mergeCell ref="A1:P1"/>
    <mergeCell ref="A3:P3"/>
    <mergeCell ref="H17:J17"/>
    <mergeCell ref="B5:P5"/>
  </mergeCells>
  <phoneticPr fontId="15" type="noConversion"/>
  <pageMargins left="0.2" right="0.2" top="0.5" bottom="0.5" header="0.5" footer="0.5"/>
  <pageSetup fitToWidth="0" fitToHeight="0" orientation="landscape" horizontalDpi="0" verticalDpi="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F7945-7FA0-094B-A75C-DA1004CFF4B3}">
  <dimension ref="A1:F100"/>
  <sheetViews>
    <sheetView tabSelected="1" showRuler="0" zoomScale="89" zoomScaleNormal="110" workbookViewId="0">
      <pane xSplit="1" topLeftCell="B1" activePane="topRight" state="frozen"/>
      <selection activeCell="A24" sqref="A24"/>
      <selection pane="topRight" activeCell="A24" sqref="A24"/>
    </sheetView>
  </sheetViews>
  <sheetFormatPr baseColWidth="10" defaultColWidth="13.33203125" defaultRowHeight="16" x14ac:dyDescent="0.2"/>
  <cols>
    <col min="1" max="1" width="38.1640625" style="16" customWidth="1"/>
    <col min="2" max="6" width="12.33203125" style="16" customWidth="1"/>
    <col min="7" max="27" width="20.1640625" style="16" customWidth="1"/>
    <col min="28" max="16384" width="13.33203125" style="16"/>
  </cols>
  <sheetData>
    <row r="1" spans="1:6" ht="25.5" customHeight="1" x14ac:dyDescent="0.2">
      <c r="A1" s="590" t="s">
        <v>111</v>
      </c>
      <c r="B1" s="590"/>
      <c r="C1" s="590"/>
      <c r="D1" s="590"/>
      <c r="E1" s="590"/>
      <c r="F1" s="590"/>
    </row>
    <row r="2" spans="1:6" ht="25.5" customHeight="1" x14ac:dyDescent="0.2">
      <c r="A2" s="590"/>
      <c r="B2" s="590"/>
      <c r="C2" s="590"/>
      <c r="D2" s="590"/>
      <c r="E2" s="590"/>
      <c r="F2" s="590"/>
    </row>
    <row r="3" spans="1:6" ht="20" customHeight="1" x14ac:dyDescent="0.2">
      <c r="A3" s="17"/>
      <c r="B3" s="17"/>
      <c r="C3" s="17"/>
      <c r="D3" s="17"/>
      <c r="E3" s="17"/>
      <c r="F3" s="17"/>
    </row>
    <row r="4" spans="1:6" ht="34" x14ac:dyDescent="0.2">
      <c r="A4" s="18" t="s">
        <v>2</v>
      </c>
      <c r="B4" s="19">
        <v>2018</v>
      </c>
      <c r="C4" s="19" t="s">
        <v>108</v>
      </c>
      <c r="D4" s="19" t="s">
        <v>3</v>
      </c>
      <c r="E4" s="19" t="s">
        <v>4</v>
      </c>
      <c r="F4" s="19" t="s">
        <v>5</v>
      </c>
    </row>
    <row r="5" spans="1:6" ht="20" customHeight="1" x14ac:dyDescent="0.2">
      <c r="A5" s="20" t="s">
        <v>6</v>
      </c>
      <c r="B5" s="21">
        <v>8259.1</v>
      </c>
      <c r="C5" s="21">
        <v>8996.2000000000007</v>
      </c>
      <c r="D5" s="21">
        <v>10316.6</v>
      </c>
      <c r="E5" s="21">
        <v>13652.8</v>
      </c>
      <c r="F5" s="21">
        <v>15430.3</v>
      </c>
    </row>
    <row r="6" spans="1:6" ht="20" customHeight="1" x14ac:dyDescent="0.2">
      <c r="A6" s="17" t="s">
        <v>7</v>
      </c>
      <c r="B6" s="21">
        <v>2684.9</v>
      </c>
      <c r="C6" s="21">
        <v>2823.8</v>
      </c>
      <c r="D6" s="21">
        <v>3661.9</v>
      </c>
      <c r="E6" s="21">
        <v>4958.2</v>
      </c>
      <c r="F6" s="21">
        <v>5743.1</v>
      </c>
    </row>
    <row r="7" spans="1:6" ht="20" customHeight="1" x14ac:dyDescent="0.2">
      <c r="A7" s="22" t="s">
        <v>8</v>
      </c>
      <c r="B7" s="21">
        <f>SUM(B5:B6)</f>
        <v>10944</v>
      </c>
      <c r="C7" s="21">
        <f t="shared" ref="C7:F7" si="0">SUM(C5:C6)</f>
        <v>11820</v>
      </c>
      <c r="D7" s="21">
        <f t="shared" si="0"/>
        <v>13978.5</v>
      </c>
      <c r="E7" s="21">
        <f t="shared" si="0"/>
        <v>18611</v>
      </c>
      <c r="F7" s="21">
        <f t="shared" si="0"/>
        <v>21173.4</v>
      </c>
    </row>
    <row r="8" spans="1:6" ht="20" customHeight="1" x14ac:dyDescent="0.2"/>
    <row r="9" spans="1:6" ht="20" customHeight="1" x14ac:dyDescent="0.2">
      <c r="A9" s="17" t="s">
        <v>9</v>
      </c>
      <c r="B9" s="21">
        <v>-4141.2</v>
      </c>
      <c r="C9" s="21">
        <v>-4676.2</v>
      </c>
      <c r="D9" s="21">
        <v>-5169.3</v>
      </c>
      <c r="E9" s="21">
        <v>-6482.9</v>
      </c>
      <c r="F9" s="21">
        <v>-7582.3</v>
      </c>
    </row>
    <row r="10" spans="1:6" ht="20" customHeight="1" x14ac:dyDescent="0.2">
      <c r="A10" s="17" t="s">
        <v>10</v>
      </c>
      <c r="B10" s="21">
        <v>-1773.6</v>
      </c>
      <c r="C10" s="21">
        <v>-1864</v>
      </c>
      <c r="D10" s="21">
        <v>-2012</v>
      </c>
      <c r="E10" s="21">
        <v>-2319.1</v>
      </c>
      <c r="F10" s="21">
        <v>-2891</v>
      </c>
    </row>
    <row r="11" spans="1:6" ht="20" customHeight="1" x14ac:dyDescent="0.2">
      <c r="A11" s="22" t="s">
        <v>11</v>
      </c>
      <c r="B11" s="21">
        <f>SUM(B9:B10)</f>
        <v>-5914.7999999999993</v>
      </c>
      <c r="C11" s="21">
        <f t="shared" ref="C11:F11" si="1">SUM(C9:C10)</f>
        <v>-6540.2</v>
      </c>
      <c r="D11" s="21">
        <f t="shared" si="1"/>
        <v>-7181.3</v>
      </c>
      <c r="E11" s="21">
        <f t="shared" si="1"/>
        <v>-8802</v>
      </c>
      <c r="F11" s="21">
        <f t="shared" si="1"/>
        <v>-10473.299999999999</v>
      </c>
    </row>
    <row r="12" spans="1:6" ht="20" customHeight="1" x14ac:dyDescent="0.2"/>
    <row r="13" spans="1:6" ht="20" customHeight="1" x14ac:dyDescent="0.2">
      <c r="A13" s="22" t="s">
        <v>12</v>
      </c>
      <c r="B13" s="21">
        <f>B7+B11</f>
        <v>5029.2000000000007</v>
      </c>
      <c r="C13" s="21">
        <f>C7+C11</f>
        <v>5279.8</v>
      </c>
      <c r="D13" s="21">
        <f>D7+D11</f>
        <v>6797.2</v>
      </c>
      <c r="E13" s="21">
        <f>E7+E11</f>
        <v>9809</v>
      </c>
      <c r="F13" s="21">
        <f>F7+F11</f>
        <v>10700.100000000002</v>
      </c>
    </row>
    <row r="14" spans="1:6" ht="20" customHeight="1" x14ac:dyDescent="0.2"/>
    <row r="15" spans="1:6" ht="20" customHeight="1" x14ac:dyDescent="0.2">
      <c r="A15" s="17" t="s">
        <v>13</v>
      </c>
      <c r="B15" s="21">
        <v>-1575.9</v>
      </c>
      <c r="C15" s="21">
        <v>-1968.5</v>
      </c>
      <c r="D15" s="21">
        <v>-2200.8000000000002</v>
      </c>
      <c r="E15" s="21">
        <v>-2547</v>
      </c>
      <c r="F15" s="21">
        <v>-3253.5</v>
      </c>
    </row>
    <row r="16" spans="1:6" ht="20" customHeight="1" x14ac:dyDescent="0.2">
      <c r="A16" s="17" t="s">
        <v>14</v>
      </c>
      <c r="B16" s="21">
        <v>-488</v>
      </c>
      <c r="C16" s="21">
        <v>-520.5</v>
      </c>
      <c r="D16" s="21">
        <v>-544.9</v>
      </c>
      <c r="E16" s="21">
        <v>-725.6</v>
      </c>
      <c r="F16" s="21">
        <v>-945.9</v>
      </c>
    </row>
    <row r="17" spans="1:6" ht="20" customHeight="1" x14ac:dyDescent="0.2">
      <c r="A17" s="17" t="s">
        <v>15</v>
      </c>
      <c r="B17" s="21">
        <v>0</v>
      </c>
      <c r="C17" s="21">
        <v>0</v>
      </c>
      <c r="D17" s="21">
        <v>0</v>
      </c>
      <c r="E17" s="21">
        <v>213.7</v>
      </c>
      <c r="F17" s="21">
        <v>0</v>
      </c>
    </row>
    <row r="18" spans="1:6" ht="20" customHeight="1" x14ac:dyDescent="0.2">
      <c r="A18" s="22" t="s">
        <v>121</v>
      </c>
      <c r="B18" s="21">
        <f>SUM(B13:B17)</f>
        <v>2965.3000000000006</v>
      </c>
      <c r="C18" s="21">
        <f t="shared" ref="C18:F18" si="2">SUM(C13:C17)</f>
        <v>2790.8</v>
      </c>
      <c r="D18" s="21">
        <f t="shared" si="2"/>
        <v>4051.4999999999995</v>
      </c>
      <c r="E18" s="21">
        <f t="shared" si="2"/>
        <v>6750.0999999999995</v>
      </c>
      <c r="F18" s="21">
        <f t="shared" si="2"/>
        <v>6500.7000000000025</v>
      </c>
    </row>
    <row r="19" spans="1:6" ht="20" customHeight="1" x14ac:dyDescent="0.2"/>
    <row r="20" spans="1:6" ht="20" customHeight="1" x14ac:dyDescent="0.2">
      <c r="A20" s="17" t="s">
        <v>16</v>
      </c>
      <c r="B20" s="21">
        <v>-28.3</v>
      </c>
      <c r="C20" s="21">
        <v>-25</v>
      </c>
      <c r="D20" s="21">
        <v>-34.9</v>
      </c>
      <c r="E20" s="21">
        <v>-44.6</v>
      </c>
      <c r="F20" s="21">
        <v>-44.6</v>
      </c>
    </row>
    <row r="21" spans="1:6" ht="20" customHeight="1" x14ac:dyDescent="0.2">
      <c r="A21" s="22" t="s">
        <v>17</v>
      </c>
      <c r="B21" s="21">
        <f>SUM(B18:B20)</f>
        <v>2937.0000000000005</v>
      </c>
      <c r="C21" s="21">
        <f t="shared" ref="C21:F21" si="3">SUM(C18:C20)</f>
        <v>2765.8</v>
      </c>
      <c r="D21" s="21">
        <f t="shared" si="3"/>
        <v>4016.5999999999995</v>
      </c>
      <c r="E21" s="21">
        <f t="shared" si="3"/>
        <v>6705.4999999999991</v>
      </c>
      <c r="F21" s="21">
        <f t="shared" si="3"/>
        <v>6456.1000000000022</v>
      </c>
    </row>
    <row r="22" spans="1:6" ht="20" customHeight="1" x14ac:dyDescent="0.2"/>
    <row r="23" spans="1:6" ht="20" customHeight="1" x14ac:dyDescent="0.2">
      <c r="A23" s="17" t="s">
        <v>18</v>
      </c>
      <c r="B23" s="21">
        <v>-351.6</v>
      </c>
      <c r="C23" s="21">
        <v>-191.7</v>
      </c>
      <c r="D23" s="21">
        <v>-551.5</v>
      </c>
      <c r="E23" s="21">
        <v>-1021.4</v>
      </c>
      <c r="F23" s="21">
        <v>-969.9</v>
      </c>
    </row>
    <row r="24" spans="1:6" ht="20" customHeight="1" x14ac:dyDescent="0.2">
      <c r="A24" s="22" t="s">
        <v>19</v>
      </c>
      <c r="B24" s="21">
        <f>SUM(B21:B23)</f>
        <v>2585.4000000000005</v>
      </c>
      <c r="C24" s="21">
        <f t="shared" ref="C24:F24" si="4">SUM(C21:C23)</f>
        <v>2574.1000000000004</v>
      </c>
      <c r="D24" s="21">
        <f t="shared" si="4"/>
        <v>3465.0999999999995</v>
      </c>
      <c r="E24" s="21">
        <f t="shared" si="4"/>
        <v>5684.0999999999995</v>
      </c>
      <c r="F24" s="21">
        <f t="shared" si="4"/>
        <v>5486.2000000000025</v>
      </c>
    </row>
    <row r="25" spans="1:6" ht="20" customHeight="1" x14ac:dyDescent="0.2"/>
    <row r="26" spans="1:6" ht="20" customHeight="1" x14ac:dyDescent="0.2">
      <c r="A26" s="17" t="s">
        <v>20</v>
      </c>
      <c r="B26" s="21">
        <v>6.2</v>
      </c>
      <c r="C26" s="21">
        <v>18.2</v>
      </c>
      <c r="D26" s="21">
        <v>88.6</v>
      </c>
      <c r="E26" s="21">
        <v>199.1</v>
      </c>
      <c r="F26" s="21">
        <v>138</v>
      </c>
    </row>
    <row r="27" spans="1:6" ht="20" customHeight="1" x14ac:dyDescent="0.2">
      <c r="A27" s="17"/>
      <c r="B27" s="23"/>
      <c r="C27" s="23"/>
      <c r="D27" s="23"/>
      <c r="E27" s="23"/>
      <c r="F27" s="23"/>
    </row>
    <row r="28" spans="1:6" s="25" customFormat="1" ht="20" customHeight="1" x14ac:dyDescent="0.2">
      <c r="A28" s="22" t="s">
        <v>21</v>
      </c>
      <c r="B28" s="24">
        <f>SUM(B24:B26)</f>
        <v>2591.6000000000004</v>
      </c>
      <c r="C28" s="24">
        <f t="shared" ref="C28:F28" si="5">SUM(C24:C26)</f>
        <v>2592.3000000000002</v>
      </c>
      <c r="D28" s="24">
        <f t="shared" si="5"/>
        <v>3553.6999999999994</v>
      </c>
      <c r="E28" s="24">
        <f t="shared" si="5"/>
        <v>5883.2</v>
      </c>
      <c r="F28" s="24">
        <f t="shared" si="5"/>
        <v>5624.2000000000025</v>
      </c>
    </row>
    <row r="29" spans="1:6" ht="20" customHeight="1" x14ac:dyDescent="0.2"/>
    <row r="30" spans="1:6" ht="20" customHeight="1" x14ac:dyDescent="0.2">
      <c r="A30" s="17" t="s">
        <v>22</v>
      </c>
      <c r="B30" s="26">
        <f>B28/B33</f>
        <v>6.0993174864674051</v>
      </c>
      <c r="C30" s="26">
        <f t="shared" ref="C30:F30" si="6">C28/C33</f>
        <v>6.1604087452471488</v>
      </c>
      <c r="D30" s="26">
        <f t="shared" si="6"/>
        <v>8.4955773368395864</v>
      </c>
      <c r="E30" s="26">
        <f t="shared" si="6"/>
        <v>14.356271351878965</v>
      </c>
      <c r="F30" s="26">
        <f t="shared" si="6"/>
        <v>14.141815438772952</v>
      </c>
    </row>
    <row r="31" spans="1:6" ht="20" customHeight="1" x14ac:dyDescent="0.2">
      <c r="A31" s="17" t="s">
        <v>23</v>
      </c>
      <c r="B31" s="26">
        <f>B28/B34</f>
        <v>6.0778611632270181</v>
      </c>
      <c r="C31" s="26">
        <f t="shared" ref="C31:F31" si="7">C28/C34</f>
        <v>6.1487191650853887</v>
      </c>
      <c r="D31" s="26">
        <f t="shared" si="7"/>
        <v>8.4793605344786425</v>
      </c>
      <c r="E31" s="26">
        <f t="shared" si="7"/>
        <v>14.335282651072125</v>
      </c>
      <c r="F31" s="26">
        <f t="shared" si="7"/>
        <v>14.131155778894479</v>
      </c>
    </row>
    <row r="32" spans="1:6" ht="34" x14ac:dyDescent="0.2">
      <c r="A32" s="17" t="s">
        <v>24</v>
      </c>
    </row>
    <row r="33" spans="1:6" ht="20" customHeight="1" x14ac:dyDescent="0.2">
      <c r="A33" s="17" t="s">
        <v>25</v>
      </c>
      <c r="B33" s="21">
        <v>424.9</v>
      </c>
      <c r="C33" s="21">
        <v>420.8</v>
      </c>
      <c r="D33" s="21">
        <v>418.3</v>
      </c>
      <c r="E33" s="21">
        <v>409.8</v>
      </c>
      <c r="F33" s="21">
        <v>397.7</v>
      </c>
    </row>
    <row r="34" spans="1:6" ht="20" customHeight="1" x14ac:dyDescent="0.2">
      <c r="A34" s="18" t="s">
        <v>26</v>
      </c>
      <c r="B34" s="27">
        <v>426.4</v>
      </c>
      <c r="C34" s="27">
        <v>421.6</v>
      </c>
      <c r="D34" s="27">
        <v>419.1</v>
      </c>
      <c r="E34" s="27">
        <v>410.4</v>
      </c>
      <c r="F34" s="21">
        <v>398</v>
      </c>
    </row>
    <row r="35" spans="1:6" ht="20" customHeight="1" x14ac:dyDescent="0.2">
      <c r="F35" s="28"/>
    </row>
    <row r="36" spans="1:6" ht="20" customHeight="1" x14ac:dyDescent="0.2"/>
    <row r="37" spans="1:6" ht="20" customHeight="1" x14ac:dyDescent="0.2"/>
    <row r="38" spans="1:6" ht="20" customHeight="1" x14ac:dyDescent="0.2"/>
    <row r="39" spans="1:6" ht="20" customHeight="1" x14ac:dyDescent="0.2"/>
    <row r="40" spans="1:6" ht="20" customHeight="1" x14ac:dyDescent="0.2"/>
    <row r="41" spans="1:6" ht="20" customHeight="1" x14ac:dyDescent="0.2"/>
    <row r="42" spans="1:6" ht="20" customHeight="1" x14ac:dyDescent="0.2"/>
    <row r="43" spans="1:6" ht="20" customHeight="1" x14ac:dyDescent="0.2"/>
    <row r="44" spans="1:6" ht="20" customHeight="1" x14ac:dyDescent="0.2"/>
    <row r="45" spans="1:6" ht="20" customHeight="1" x14ac:dyDescent="0.2"/>
    <row r="46" spans="1:6" ht="20" customHeight="1" x14ac:dyDescent="0.2"/>
    <row r="47" spans="1:6" ht="20" customHeight="1" x14ac:dyDescent="0.2"/>
    <row r="48" spans="1:6" ht="20" customHeight="1" x14ac:dyDescent="0.2"/>
    <row r="49" ht="20" customHeight="1" x14ac:dyDescent="0.2"/>
    <row r="50" ht="20" customHeight="1" x14ac:dyDescent="0.2"/>
    <row r="51" ht="20" customHeight="1" x14ac:dyDescent="0.2"/>
    <row r="52" ht="16.75" customHeight="1" x14ac:dyDescent="0.2"/>
    <row r="53" ht="16.75" customHeight="1" x14ac:dyDescent="0.2"/>
    <row r="54" ht="16.75" customHeight="1" x14ac:dyDescent="0.2"/>
    <row r="55" ht="16.75" customHeight="1" x14ac:dyDescent="0.2"/>
    <row r="56" ht="16.75" customHeight="1" x14ac:dyDescent="0.2"/>
    <row r="57" ht="16.75" customHeight="1" x14ac:dyDescent="0.2"/>
    <row r="58" ht="16.75" customHeight="1" x14ac:dyDescent="0.2"/>
    <row r="59" ht="16.75" customHeight="1" x14ac:dyDescent="0.2"/>
    <row r="60" ht="16.75" customHeight="1" x14ac:dyDescent="0.2"/>
    <row r="61" ht="16.75" customHeight="1" x14ac:dyDescent="0.2"/>
    <row r="62" ht="16.75" customHeight="1" x14ac:dyDescent="0.2"/>
    <row r="63" ht="16.75" customHeight="1" x14ac:dyDescent="0.2"/>
    <row r="64" ht="16.75" customHeight="1" x14ac:dyDescent="0.2"/>
    <row r="65" ht="16.75" customHeight="1" x14ac:dyDescent="0.2"/>
    <row r="66" ht="16.75" customHeight="1" x14ac:dyDescent="0.2"/>
    <row r="67" ht="16.75" customHeight="1" x14ac:dyDescent="0.2"/>
    <row r="68" ht="16.75" customHeight="1" x14ac:dyDescent="0.2"/>
    <row r="69" ht="16.75" customHeight="1" x14ac:dyDescent="0.2"/>
    <row r="70" ht="16.75" customHeight="1" x14ac:dyDescent="0.2"/>
    <row r="71" ht="16.75" customHeight="1" x14ac:dyDescent="0.2"/>
    <row r="72" ht="16.75" customHeight="1" x14ac:dyDescent="0.2"/>
    <row r="73" ht="16.75" customHeight="1" x14ac:dyDescent="0.2"/>
    <row r="74" ht="16.75" customHeight="1" x14ac:dyDescent="0.2"/>
    <row r="75" ht="16.75" customHeight="1" x14ac:dyDescent="0.2"/>
    <row r="76" ht="16.75" customHeight="1" x14ac:dyDescent="0.2"/>
    <row r="77" ht="16.75" customHeight="1" x14ac:dyDescent="0.2"/>
    <row r="78" ht="16.75" customHeight="1" x14ac:dyDescent="0.2"/>
    <row r="79" ht="16.75" customHeight="1" x14ac:dyDescent="0.2"/>
    <row r="80" ht="16.75" customHeight="1" x14ac:dyDescent="0.2"/>
    <row r="81" ht="16.75" customHeight="1" x14ac:dyDescent="0.2"/>
    <row r="82" ht="16.75" customHeight="1" x14ac:dyDescent="0.2"/>
    <row r="83" ht="16.75" customHeight="1" x14ac:dyDescent="0.2"/>
    <row r="84" ht="16.75" customHeight="1" x14ac:dyDescent="0.2"/>
    <row r="85" ht="16.75" customHeight="1" x14ac:dyDescent="0.2"/>
    <row r="86" ht="16.75" customHeight="1" x14ac:dyDescent="0.2"/>
    <row r="87" ht="16.75" customHeight="1" x14ac:dyDescent="0.2"/>
    <row r="88" ht="16.75" customHeight="1" x14ac:dyDescent="0.2"/>
    <row r="89" ht="16.75" customHeight="1" x14ac:dyDescent="0.2"/>
    <row r="90" ht="16.75" customHeight="1" x14ac:dyDescent="0.2"/>
    <row r="91" ht="16.75" customHeight="1" x14ac:dyDescent="0.2"/>
    <row r="92" ht="16.75" customHeight="1" x14ac:dyDescent="0.2"/>
    <row r="93" ht="16.75" customHeight="1" x14ac:dyDescent="0.2"/>
    <row r="94" ht="16.75" customHeight="1" x14ac:dyDescent="0.2"/>
    <row r="95" ht="16.75" customHeight="1" x14ac:dyDescent="0.2"/>
    <row r="96" ht="16.75" customHeight="1" x14ac:dyDescent="0.2"/>
    <row r="97" ht="16.75" customHeight="1" x14ac:dyDescent="0.2"/>
    <row r="98" ht="16.75" customHeight="1" x14ac:dyDescent="0.2"/>
    <row r="99" ht="16.75" customHeight="1" x14ac:dyDescent="0.2"/>
    <row r="100" ht="16.75" customHeight="1" x14ac:dyDescent="0.2"/>
  </sheetData>
  <mergeCells count="1">
    <mergeCell ref="A1:F2"/>
  </mergeCells>
  <phoneticPr fontId="15" type="noConversion"/>
  <pageMargins left="0.75" right="0.75" top="1" bottom="1" header="0.5" footer="0.5"/>
  <pageSetup paperSize="9" orientation="portrait" r:id="rId1"/>
  <headerFooter>
    <oddFooter>&amp;R&amp;1#&amp;"Arial"&amp;7&amp;K000000Public</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038E1-481D-4A43-9774-F8166AA28A4D}">
  <dimension ref="A1:G89"/>
  <sheetViews>
    <sheetView showRuler="0" topLeftCell="A5" zoomScaleNormal="100" workbookViewId="0">
      <pane xSplit="1" ySplit="1" topLeftCell="B6" activePane="bottomRight" state="frozen"/>
      <selection activeCell="A24" sqref="A24"/>
      <selection pane="topRight" activeCell="A24" sqref="A24"/>
      <selection pane="bottomLeft" activeCell="A24" sqref="A24"/>
      <selection pane="bottomRight" activeCell="F10" sqref="F10"/>
    </sheetView>
  </sheetViews>
  <sheetFormatPr baseColWidth="10" defaultColWidth="13.33203125" defaultRowHeight="16" x14ac:dyDescent="0.2"/>
  <cols>
    <col min="1" max="1" width="48" style="16" customWidth="1"/>
    <col min="2" max="2" width="17.83203125" style="54" customWidth="1"/>
    <col min="3" max="3" width="17.83203125" style="59"/>
    <col min="4" max="4" width="20.1640625" style="3" customWidth="1"/>
    <col min="5" max="28" width="20.1640625" style="16" customWidth="1"/>
    <col min="29" max="16384" width="13.33203125" style="16"/>
  </cols>
  <sheetData>
    <row r="1" spans="1:7" x14ac:dyDescent="0.2">
      <c r="C1" s="55"/>
    </row>
    <row r="2" spans="1:7" ht="16.75" customHeight="1" x14ac:dyDescent="0.2">
      <c r="A2" s="22" t="s">
        <v>0</v>
      </c>
      <c r="B2" s="55"/>
      <c r="C2" s="55"/>
    </row>
    <row r="3" spans="1:7" ht="32.5" customHeight="1" x14ac:dyDescent="0.2">
      <c r="A3" s="591" t="s">
        <v>1</v>
      </c>
      <c r="B3" s="591"/>
      <c r="C3" s="591"/>
      <c r="D3" s="591"/>
      <c r="E3" s="592"/>
      <c r="F3" s="592"/>
      <c r="G3" s="592"/>
    </row>
    <row r="4" spans="1:7" ht="16.75" customHeight="1" x14ac:dyDescent="0.2">
      <c r="B4" s="55"/>
      <c r="C4" s="55"/>
    </row>
    <row r="5" spans="1:7" ht="25.5" customHeight="1" x14ac:dyDescent="0.2">
      <c r="A5" s="590" t="s">
        <v>27</v>
      </c>
      <c r="B5" s="590"/>
      <c r="C5" s="590"/>
      <c r="D5" s="590"/>
      <c r="E5" s="590"/>
      <c r="F5" s="590"/>
      <c r="G5" s="56"/>
    </row>
    <row r="6" spans="1:7" ht="20" customHeight="1" x14ac:dyDescent="0.2">
      <c r="A6" s="57"/>
      <c r="B6" s="58"/>
      <c r="D6" s="60"/>
      <c r="E6" s="57"/>
      <c r="F6" s="57"/>
    </row>
    <row r="7" spans="1:7" ht="34" x14ac:dyDescent="0.2">
      <c r="A7" s="61" t="s">
        <v>28</v>
      </c>
      <c r="B7" s="62">
        <v>2018</v>
      </c>
      <c r="C7" s="62">
        <v>2019</v>
      </c>
      <c r="D7" s="62">
        <v>2020</v>
      </c>
      <c r="E7" s="62">
        <v>2021</v>
      </c>
      <c r="F7" s="62">
        <v>2022</v>
      </c>
    </row>
    <row r="8" spans="1:7" ht="20" customHeight="1" x14ac:dyDescent="0.2">
      <c r="A8" s="29"/>
      <c r="B8" s="33"/>
      <c r="C8" s="33"/>
      <c r="D8" s="33"/>
      <c r="E8" s="33"/>
      <c r="F8" s="33"/>
    </row>
    <row r="9" spans="1:7" ht="20" customHeight="1" x14ac:dyDescent="0.2">
      <c r="A9" s="22" t="s">
        <v>29</v>
      </c>
      <c r="B9" s="16"/>
      <c r="C9" s="16"/>
      <c r="D9" s="16"/>
    </row>
    <row r="10" spans="1:7" ht="20" customHeight="1" x14ac:dyDescent="0.2">
      <c r="A10" s="17" t="s">
        <v>30</v>
      </c>
      <c r="B10" s="21">
        <v>3121.1</v>
      </c>
      <c r="C10" s="21">
        <v>3532.3</v>
      </c>
      <c r="D10" s="21">
        <v>6049.4</v>
      </c>
      <c r="E10" s="21">
        <v>6951.8</v>
      </c>
      <c r="F10" s="21">
        <v>7268.3</v>
      </c>
    </row>
    <row r="11" spans="1:7" ht="20" customHeight="1" x14ac:dyDescent="0.2">
      <c r="A11" s="17" t="s">
        <v>31</v>
      </c>
      <c r="B11" s="21">
        <v>913.3</v>
      </c>
      <c r="C11" s="21">
        <v>1185.8</v>
      </c>
      <c r="D11" s="21">
        <v>1302.2</v>
      </c>
      <c r="E11" s="21">
        <v>638.5</v>
      </c>
      <c r="F11" s="21">
        <v>107.7</v>
      </c>
      <c r="G11" s="63"/>
    </row>
    <row r="12" spans="1:7" ht="20" customHeight="1" x14ac:dyDescent="0.2">
      <c r="A12" s="17" t="s">
        <v>32</v>
      </c>
      <c r="B12" s="21">
        <v>1498.2</v>
      </c>
      <c r="C12" s="21">
        <v>1786.8</v>
      </c>
      <c r="D12" s="21">
        <v>1310.3</v>
      </c>
      <c r="E12" s="21">
        <v>3028</v>
      </c>
      <c r="F12" s="21">
        <v>5323.8</v>
      </c>
    </row>
    <row r="13" spans="1:7" ht="20" customHeight="1" x14ac:dyDescent="0.2">
      <c r="A13" s="17" t="s">
        <v>33</v>
      </c>
      <c r="B13" s="21">
        <v>611.1</v>
      </c>
      <c r="C13" s="21">
        <v>564.5</v>
      </c>
      <c r="D13" s="21">
        <v>1710.5</v>
      </c>
      <c r="E13" s="21">
        <v>1185.5999999999999</v>
      </c>
      <c r="F13" s="21">
        <v>1356.7</v>
      </c>
    </row>
    <row r="14" spans="1:7" ht="20" customHeight="1" x14ac:dyDescent="0.2">
      <c r="A14" s="17" t="s">
        <v>34</v>
      </c>
      <c r="B14" s="21">
        <v>79.7</v>
      </c>
      <c r="C14" s="21">
        <v>178.7</v>
      </c>
      <c r="D14" s="21">
        <v>67.3</v>
      </c>
      <c r="E14" s="21">
        <v>42</v>
      </c>
      <c r="F14" s="21">
        <v>33.4</v>
      </c>
    </row>
    <row r="15" spans="1:7" ht="20" customHeight="1" x14ac:dyDescent="0.2">
      <c r="A15" s="17" t="s">
        <v>35</v>
      </c>
      <c r="B15" s="21">
        <v>95.9</v>
      </c>
      <c r="C15" s="21">
        <v>231</v>
      </c>
      <c r="D15" s="21">
        <v>119.2</v>
      </c>
      <c r="E15" s="21">
        <v>164.6</v>
      </c>
      <c r="F15" s="21">
        <v>131.9</v>
      </c>
    </row>
    <row r="16" spans="1:7" ht="20" customHeight="1" x14ac:dyDescent="0.2">
      <c r="A16" s="17" t="s">
        <v>36</v>
      </c>
      <c r="B16" s="21">
        <v>3439.5</v>
      </c>
      <c r="C16" s="21">
        <v>3809.2</v>
      </c>
      <c r="D16" s="21">
        <v>4569.3999999999996</v>
      </c>
      <c r="E16" s="21">
        <v>5179.2</v>
      </c>
      <c r="F16" s="21">
        <v>7199.7</v>
      </c>
    </row>
    <row r="17" spans="1:6" ht="20" customHeight="1" x14ac:dyDescent="0.2">
      <c r="A17" s="64" t="s">
        <v>37</v>
      </c>
      <c r="B17" s="32">
        <v>772.6</v>
      </c>
      <c r="C17" s="32">
        <v>842.8</v>
      </c>
      <c r="D17" s="32">
        <v>801.7</v>
      </c>
      <c r="E17" s="32">
        <v>1000.5</v>
      </c>
      <c r="F17" s="32">
        <v>1643.4</v>
      </c>
    </row>
    <row r="18" spans="1:6" ht="20" customHeight="1" x14ac:dyDescent="0.2">
      <c r="A18" s="65" t="s">
        <v>38</v>
      </c>
      <c r="B18" s="30">
        <f>SUM(B10:B17)</f>
        <v>10531.4</v>
      </c>
      <c r="C18" s="30">
        <f t="shared" ref="C18:F18" si="0">SUM(C10:C17)</f>
        <v>12131.099999999999</v>
      </c>
      <c r="D18" s="30">
        <f t="shared" si="0"/>
        <v>15930</v>
      </c>
      <c r="E18" s="30">
        <f t="shared" si="0"/>
        <v>18190.2</v>
      </c>
      <c r="F18" s="30">
        <f t="shared" si="0"/>
        <v>23064.9</v>
      </c>
    </row>
    <row r="19" spans="1:6" ht="20" customHeight="1" x14ac:dyDescent="0.2">
      <c r="B19" s="16"/>
      <c r="C19" s="16"/>
      <c r="D19" s="16"/>
    </row>
    <row r="20" spans="1:6" ht="20" customHeight="1" x14ac:dyDescent="0.2">
      <c r="A20" s="17" t="s">
        <v>33</v>
      </c>
      <c r="B20" s="21">
        <v>275.10000000000002</v>
      </c>
      <c r="C20" s="21">
        <v>421.1</v>
      </c>
      <c r="D20" s="21">
        <v>400.5</v>
      </c>
      <c r="E20" s="21">
        <v>383</v>
      </c>
      <c r="F20" s="21">
        <v>0</v>
      </c>
    </row>
    <row r="21" spans="1:6" ht="20" customHeight="1" x14ac:dyDescent="0.2">
      <c r="A21" s="17" t="s">
        <v>39</v>
      </c>
      <c r="B21" s="21">
        <v>236.3</v>
      </c>
      <c r="C21" s="21">
        <v>445.3</v>
      </c>
      <c r="D21" s="21">
        <v>671.5</v>
      </c>
      <c r="E21" s="21">
        <v>1098.7</v>
      </c>
      <c r="F21" s="21">
        <v>1672.8</v>
      </c>
    </row>
    <row r="22" spans="1:6" ht="20" customHeight="1" x14ac:dyDescent="0.2">
      <c r="A22" s="17" t="s">
        <v>40</v>
      </c>
      <c r="B22" s="21">
        <v>0</v>
      </c>
      <c r="C22" s="21">
        <v>0</v>
      </c>
      <c r="D22" s="21">
        <v>0</v>
      </c>
      <c r="E22" s="21">
        <v>124.4</v>
      </c>
      <c r="F22" s="21">
        <v>364.4</v>
      </c>
    </row>
    <row r="23" spans="1:6" ht="20" customHeight="1" x14ac:dyDescent="0.2">
      <c r="A23" s="17" t="s">
        <v>37</v>
      </c>
      <c r="B23" s="21">
        <v>806.1</v>
      </c>
      <c r="C23" s="21">
        <v>830.4</v>
      </c>
      <c r="D23" s="21">
        <v>951.5</v>
      </c>
      <c r="E23" s="21">
        <v>887</v>
      </c>
      <c r="F23" s="21">
        <v>739.8</v>
      </c>
    </row>
    <row r="24" spans="1:6" ht="20" customHeight="1" x14ac:dyDescent="0.2">
      <c r="A24" s="17" t="s">
        <v>41</v>
      </c>
      <c r="B24" s="21">
        <v>915.8</v>
      </c>
      <c r="C24" s="21">
        <v>833</v>
      </c>
      <c r="D24" s="21">
        <v>820.7</v>
      </c>
      <c r="E24" s="21">
        <v>892.5</v>
      </c>
      <c r="F24" s="21">
        <v>923.6</v>
      </c>
    </row>
    <row r="25" spans="1:6" ht="20" customHeight="1" x14ac:dyDescent="0.2">
      <c r="A25" s="17" t="s">
        <v>42</v>
      </c>
      <c r="B25" s="21">
        <v>4541.1000000000004</v>
      </c>
      <c r="C25" s="21">
        <v>4541.1000000000004</v>
      </c>
      <c r="D25" s="21">
        <v>4629.1000000000004</v>
      </c>
      <c r="E25" s="21">
        <v>4555.6000000000004</v>
      </c>
      <c r="F25" s="21">
        <v>4555.6000000000004</v>
      </c>
    </row>
    <row r="26" spans="1:6" ht="20" customHeight="1" x14ac:dyDescent="0.2">
      <c r="A26" s="17" t="s">
        <v>43</v>
      </c>
      <c r="B26" s="21">
        <v>1104</v>
      </c>
      <c r="C26" s="21">
        <v>1104.4000000000001</v>
      </c>
      <c r="D26" s="21">
        <v>1048.9000000000001</v>
      </c>
      <c r="E26" s="21">
        <v>952.1</v>
      </c>
      <c r="F26" s="21">
        <v>842.4</v>
      </c>
    </row>
    <row r="27" spans="1:6" ht="20" customHeight="1" x14ac:dyDescent="0.2">
      <c r="A27" s="17" t="s">
        <v>44</v>
      </c>
      <c r="B27" s="21">
        <v>1589.5</v>
      </c>
      <c r="C27" s="21">
        <v>1999.3</v>
      </c>
      <c r="D27" s="21">
        <v>2470.3000000000002</v>
      </c>
      <c r="E27" s="21">
        <v>2982.7</v>
      </c>
      <c r="F27" s="21">
        <v>3944.2</v>
      </c>
    </row>
    <row r="28" spans="1:6" ht="20" customHeight="1" x14ac:dyDescent="0.2">
      <c r="A28" s="17" t="s">
        <v>109</v>
      </c>
      <c r="B28" s="21">
        <v>137.6</v>
      </c>
      <c r="C28" s="21">
        <v>205.4</v>
      </c>
      <c r="D28" s="21">
        <v>180.1</v>
      </c>
      <c r="E28" s="21">
        <v>159.5</v>
      </c>
      <c r="F28" s="21">
        <v>192.7</v>
      </c>
    </row>
    <row r="29" spans="1:6" ht="20" customHeight="1" x14ac:dyDescent="0.2">
      <c r="A29" s="64" t="s">
        <v>110</v>
      </c>
      <c r="B29" s="21">
        <v>0</v>
      </c>
      <c r="C29" s="21">
        <v>118.5</v>
      </c>
      <c r="D29" s="21">
        <v>164.8</v>
      </c>
      <c r="E29" s="21">
        <v>5.3</v>
      </c>
      <c r="F29" s="21">
        <v>0</v>
      </c>
    </row>
    <row r="30" spans="1:6" ht="20" customHeight="1" x14ac:dyDescent="0.2">
      <c r="A30" s="65" t="s">
        <v>45</v>
      </c>
      <c r="B30" s="30">
        <f>SUM(B20:B29)</f>
        <v>9605.5000000000018</v>
      </c>
      <c r="C30" s="30">
        <f t="shared" ref="C30:F30" si="1">SUM(C20:C29)</f>
        <v>10498.5</v>
      </c>
      <c r="D30" s="30">
        <f t="shared" si="1"/>
        <v>11337.4</v>
      </c>
      <c r="E30" s="30">
        <f t="shared" si="1"/>
        <v>12040.8</v>
      </c>
      <c r="F30" s="30">
        <f t="shared" si="1"/>
        <v>13235.5</v>
      </c>
    </row>
    <row r="31" spans="1:6" ht="20" customHeight="1" x14ac:dyDescent="0.2">
      <c r="B31" s="16"/>
      <c r="C31" s="16"/>
      <c r="D31" s="16"/>
    </row>
    <row r="32" spans="1:6" s="25" customFormat="1" ht="20" customHeight="1" thickBot="1" x14ac:dyDescent="0.25">
      <c r="A32" s="66" t="s">
        <v>46</v>
      </c>
      <c r="B32" s="34">
        <f>B30+B18</f>
        <v>20136.900000000001</v>
      </c>
      <c r="C32" s="34">
        <f t="shared" ref="C32:F32" si="2">C30+C18</f>
        <v>22629.599999999999</v>
      </c>
      <c r="D32" s="34">
        <f t="shared" si="2"/>
        <v>27267.4</v>
      </c>
      <c r="E32" s="34">
        <f t="shared" si="2"/>
        <v>30231</v>
      </c>
      <c r="F32" s="34">
        <f t="shared" si="2"/>
        <v>36300.400000000001</v>
      </c>
    </row>
    <row r="33" spans="1:7" ht="20" customHeight="1" thickTop="1" x14ac:dyDescent="0.2">
      <c r="B33" s="16"/>
      <c r="C33" s="16"/>
      <c r="D33" s="16"/>
    </row>
    <row r="34" spans="1:7" ht="20" customHeight="1" x14ac:dyDescent="0.2">
      <c r="A34" s="22" t="s">
        <v>47</v>
      </c>
      <c r="B34" s="16"/>
      <c r="C34" s="16"/>
      <c r="D34" s="16"/>
    </row>
    <row r="35" spans="1:7" ht="20" customHeight="1" x14ac:dyDescent="0.2">
      <c r="A35" s="17" t="s">
        <v>48</v>
      </c>
      <c r="B35" s="21">
        <v>964</v>
      </c>
      <c r="C35" s="21">
        <v>1062.2</v>
      </c>
      <c r="D35" s="21">
        <v>1377.9</v>
      </c>
      <c r="E35" s="21">
        <v>2116.3000000000002</v>
      </c>
      <c r="F35" s="21">
        <v>2565.1999999999998</v>
      </c>
    </row>
    <row r="36" spans="1:7" ht="20" customHeight="1" x14ac:dyDescent="0.2">
      <c r="A36" s="17" t="s">
        <v>49</v>
      </c>
      <c r="B36" s="21">
        <v>911.4</v>
      </c>
      <c r="C36" s="21">
        <v>1039.9000000000001</v>
      </c>
      <c r="D36" s="21">
        <v>1146</v>
      </c>
      <c r="E36" s="21">
        <v>1435.5</v>
      </c>
      <c r="F36" s="21">
        <v>1875.9</v>
      </c>
    </row>
    <row r="37" spans="1:7" ht="20" customHeight="1" x14ac:dyDescent="0.2">
      <c r="A37" s="17" t="s">
        <v>50</v>
      </c>
      <c r="B37" s="21">
        <v>187.9</v>
      </c>
      <c r="C37" s="21">
        <v>65.599999999999994</v>
      </c>
      <c r="D37" s="21">
        <v>110</v>
      </c>
      <c r="E37" s="21">
        <v>301.89999999999998</v>
      </c>
      <c r="F37" s="21">
        <v>315.3</v>
      </c>
    </row>
    <row r="38" spans="1:7" ht="20" customHeight="1" x14ac:dyDescent="0.2">
      <c r="A38" s="17" t="s">
        <v>51</v>
      </c>
      <c r="B38" s="21">
        <v>0</v>
      </c>
      <c r="C38" s="21">
        <v>0</v>
      </c>
      <c r="D38" s="21">
        <v>15.4</v>
      </c>
      <c r="E38" s="21">
        <v>509.1</v>
      </c>
      <c r="F38" s="21">
        <v>746.2</v>
      </c>
      <c r="G38" s="31"/>
    </row>
    <row r="39" spans="1:7" ht="20" customHeight="1" x14ac:dyDescent="0.2">
      <c r="A39" s="64" t="s">
        <v>52</v>
      </c>
      <c r="B39" s="32">
        <v>1728.6</v>
      </c>
      <c r="C39" s="32">
        <v>2526.4</v>
      </c>
      <c r="D39" s="32">
        <v>3954.2</v>
      </c>
      <c r="E39" s="32">
        <v>7935.2</v>
      </c>
      <c r="F39" s="32">
        <v>12481</v>
      </c>
    </row>
    <row r="40" spans="1:7" ht="20" customHeight="1" x14ac:dyDescent="0.2">
      <c r="A40" s="65" t="s">
        <v>53</v>
      </c>
      <c r="B40" s="30">
        <f>SUM(B35:B39)</f>
        <v>3791.9</v>
      </c>
      <c r="C40" s="30">
        <f t="shared" ref="C40:F40" si="3">SUM(C35:C39)</f>
        <v>4694.1000000000004</v>
      </c>
      <c r="D40" s="30">
        <f t="shared" si="3"/>
        <v>6603.5</v>
      </c>
      <c r="E40" s="30">
        <f t="shared" si="3"/>
        <v>12298</v>
      </c>
      <c r="F40" s="30">
        <f t="shared" si="3"/>
        <v>17983.599999999999</v>
      </c>
    </row>
    <row r="41" spans="1:7" ht="20" customHeight="1" x14ac:dyDescent="0.2">
      <c r="B41" s="16"/>
      <c r="C41" s="16"/>
      <c r="D41" s="16"/>
    </row>
    <row r="42" spans="1:7" ht="20" customHeight="1" x14ac:dyDescent="0.2">
      <c r="A42" s="17" t="s">
        <v>54</v>
      </c>
      <c r="B42" s="21">
        <v>3026.5</v>
      </c>
      <c r="C42" s="21">
        <v>3108.3</v>
      </c>
      <c r="D42" s="21">
        <v>4662.8</v>
      </c>
      <c r="E42" s="21">
        <v>4075</v>
      </c>
      <c r="F42" s="21">
        <v>3514.2</v>
      </c>
    </row>
    <row r="43" spans="1:7" ht="20" customHeight="1" x14ac:dyDescent="0.2">
      <c r="A43" s="17" t="s">
        <v>55</v>
      </c>
      <c r="B43" s="21">
        <v>251.2</v>
      </c>
      <c r="C43" s="21">
        <v>234.4</v>
      </c>
      <c r="D43" s="21">
        <v>238.3</v>
      </c>
      <c r="E43" s="21">
        <v>240.6</v>
      </c>
      <c r="F43" s="21">
        <v>267</v>
      </c>
    </row>
    <row r="44" spans="1:7" ht="20" customHeight="1" x14ac:dyDescent="0.2">
      <c r="A44" s="17" t="s">
        <v>52</v>
      </c>
      <c r="B44" s="21">
        <v>1224.5999999999999</v>
      </c>
      <c r="C44" s="21">
        <v>1759.6</v>
      </c>
      <c r="D44" s="21">
        <v>1639.9</v>
      </c>
      <c r="E44" s="21">
        <v>3225.7</v>
      </c>
      <c r="F44" s="21">
        <v>5269.9</v>
      </c>
    </row>
    <row r="45" spans="1:7" ht="20" customHeight="1" x14ac:dyDescent="0.2">
      <c r="A45" s="64" t="s">
        <v>49</v>
      </c>
      <c r="B45" s="32">
        <v>201.7</v>
      </c>
      <c r="C45" s="32">
        <v>241</v>
      </c>
      <c r="D45" s="32">
        <v>257.5</v>
      </c>
      <c r="E45" s="32">
        <v>251.1</v>
      </c>
      <c r="F45" s="32">
        <v>454.9</v>
      </c>
    </row>
    <row r="46" spans="1:7" ht="20" customHeight="1" x14ac:dyDescent="0.2">
      <c r="A46" s="65" t="s">
        <v>56</v>
      </c>
      <c r="B46" s="30">
        <f>SUM(B42:B45)</f>
        <v>4703.9999999999991</v>
      </c>
      <c r="C46" s="30">
        <f t="shared" ref="C46:F46" si="4">SUM(C42:C45)</f>
        <v>5343.3</v>
      </c>
      <c r="D46" s="30">
        <f t="shared" si="4"/>
        <v>6798.5</v>
      </c>
      <c r="E46" s="30">
        <f t="shared" si="4"/>
        <v>7792.4000000000005</v>
      </c>
      <c r="F46" s="30">
        <f t="shared" si="4"/>
        <v>9505.9999999999982</v>
      </c>
    </row>
    <row r="47" spans="1:7" ht="20" customHeight="1" x14ac:dyDescent="0.2">
      <c r="B47" s="16"/>
      <c r="C47" s="16"/>
      <c r="D47" s="16"/>
    </row>
    <row r="48" spans="1:7" ht="20" customHeight="1" thickBot="1" x14ac:dyDescent="0.25">
      <c r="A48" s="66" t="s">
        <v>57</v>
      </c>
      <c r="B48" s="67">
        <f>B40+B46</f>
        <v>8495.9</v>
      </c>
      <c r="C48" s="67">
        <f t="shared" ref="C48:F48" si="5">C40+C46</f>
        <v>10037.400000000001</v>
      </c>
      <c r="D48" s="67">
        <f t="shared" si="5"/>
        <v>13402</v>
      </c>
      <c r="E48" s="67">
        <f t="shared" si="5"/>
        <v>20090.400000000001</v>
      </c>
      <c r="F48" s="67">
        <f t="shared" si="5"/>
        <v>27489.599999999999</v>
      </c>
    </row>
    <row r="49" spans="1:6" ht="20" customHeight="1" thickTop="1" x14ac:dyDescent="0.2">
      <c r="B49" s="16"/>
      <c r="C49" s="16"/>
      <c r="D49" s="16"/>
    </row>
    <row r="50" spans="1:6" ht="20" customHeight="1" x14ac:dyDescent="0.2">
      <c r="A50" s="17" t="s">
        <v>58</v>
      </c>
      <c r="B50" s="16"/>
      <c r="C50" s="16"/>
      <c r="D50" s="16"/>
    </row>
    <row r="51" spans="1:6" ht="34" x14ac:dyDescent="0.2">
      <c r="A51" s="17" t="s">
        <v>59</v>
      </c>
      <c r="B51" s="16"/>
      <c r="C51" s="16"/>
      <c r="D51" s="16"/>
    </row>
    <row r="52" spans="1:6" ht="34" x14ac:dyDescent="0.2">
      <c r="A52" s="17" t="s">
        <v>60</v>
      </c>
      <c r="B52" s="16"/>
      <c r="C52" s="16"/>
      <c r="D52" s="16"/>
    </row>
    <row r="53" spans="1:6" ht="20" customHeight="1" x14ac:dyDescent="0.2">
      <c r="A53" s="17" t="s">
        <v>61</v>
      </c>
      <c r="B53" s="21">
        <v>38.6</v>
      </c>
      <c r="C53" s="21">
        <v>38.200000000000003</v>
      </c>
      <c r="D53" s="21">
        <v>37.6</v>
      </c>
      <c r="E53" s="21">
        <v>36.5</v>
      </c>
      <c r="F53" s="21">
        <v>36.299999999999997</v>
      </c>
    </row>
    <row r="54" spans="1:6" ht="20" customHeight="1" x14ac:dyDescent="0.2">
      <c r="A54" s="17" t="s">
        <v>62</v>
      </c>
      <c r="B54" s="21">
        <v>3741.3</v>
      </c>
      <c r="C54" s="21">
        <v>3772</v>
      </c>
      <c r="D54" s="21">
        <v>3780.1</v>
      </c>
      <c r="E54" s="21">
        <v>3876.1</v>
      </c>
      <c r="F54" s="21">
        <v>3940.8</v>
      </c>
    </row>
    <row r="55" spans="1:6" ht="20" customHeight="1" x14ac:dyDescent="0.2">
      <c r="A55" s="17" t="s">
        <v>63</v>
      </c>
      <c r="B55" s="21">
        <v>-1621.8</v>
      </c>
      <c r="C55" s="21">
        <v>-1019.6</v>
      </c>
      <c r="D55" s="21">
        <v>-863.2</v>
      </c>
      <c r="E55" s="21">
        <v>-2422.8000000000002</v>
      </c>
      <c r="F55" s="21">
        <v>-4641.3</v>
      </c>
    </row>
    <row r="56" spans="1:6" ht="20" customHeight="1" x14ac:dyDescent="0.2">
      <c r="A56" s="17" t="s">
        <v>64</v>
      </c>
      <c r="B56" s="21">
        <v>9197.9</v>
      </c>
      <c r="C56" s="21">
        <v>9523.7999999999993</v>
      </c>
      <c r="D56" s="21">
        <v>10731.5</v>
      </c>
      <c r="E56" s="21">
        <v>8317.2999999999993</v>
      </c>
      <c r="F56" s="21">
        <v>9046.7000000000007</v>
      </c>
    </row>
    <row r="57" spans="1:6" ht="20" customHeight="1" x14ac:dyDescent="0.2">
      <c r="A57" s="64" t="s">
        <v>65</v>
      </c>
      <c r="B57" s="32">
        <v>285</v>
      </c>
      <c r="C57" s="32">
        <v>277.8</v>
      </c>
      <c r="D57" s="32">
        <v>179.4</v>
      </c>
      <c r="E57" s="32">
        <v>333.5</v>
      </c>
      <c r="F57" s="32">
        <v>428.3</v>
      </c>
    </row>
    <row r="58" spans="1:6" ht="20" customHeight="1" x14ac:dyDescent="0.2">
      <c r="A58" s="65" t="s">
        <v>66</v>
      </c>
      <c r="B58" s="30">
        <f>SUM(B53:B57)</f>
        <v>11641</v>
      </c>
      <c r="C58" s="30">
        <f t="shared" ref="C58:F58" si="6">SUM(C53:C57)</f>
        <v>12592.199999999999</v>
      </c>
      <c r="D58" s="30">
        <f t="shared" si="6"/>
        <v>13865.4</v>
      </c>
      <c r="E58" s="30">
        <f t="shared" si="6"/>
        <v>10140.599999999999</v>
      </c>
      <c r="F58" s="30">
        <f t="shared" si="6"/>
        <v>8810.7999999999993</v>
      </c>
    </row>
    <row r="59" spans="1:6" ht="20" customHeight="1" x14ac:dyDescent="0.2">
      <c r="B59" s="16"/>
      <c r="C59" s="16"/>
      <c r="D59" s="16"/>
    </row>
    <row r="60" spans="1:6" s="25" customFormat="1" ht="20" customHeight="1" thickBot="1" x14ac:dyDescent="0.25">
      <c r="A60" s="66" t="s">
        <v>67</v>
      </c>
      <c r="B60" s="34">
        <f>B48+B58</f>
        <v>20136.900000000001</v>
      </c>
      <c r="C60" s="34">
        <f t="shared" ref="C60:F60" si="7">C48+C58</f>
        <v>22629.599999999999</v>
      </c>
      <c r="D60" s="34">
        <f t="shared" si="7"/>
        <v>27267.4</v>
      </c>
      <c r="E60" s="34">
        <f t="shared" si="7"/>
        <v>30231</v>
      </c>
      <c r="F60" s="34">
        <f t="shared" si="7"/>
        <v>36300.399999999994</v>
      </c>
    </row>
    <row r="61" spans="1:6" ht="16.75" customHeight="1" thickTop="1" x14ac:dyDescent="0.2">
      <c r="B61" s="59"/>
      <c r="C61" s="68"/>
      <c r="D61" s="16"/>
    </row>
    <row r="62" spans="1:6" ht="16.75" customHeight="1" x14ac:dyDescent="0.2">
      <c r="C62" s="68"/>
    </row>
    <row r="63" spans="1:6" ht="16.75" customHeight="1" x14ac:dyDescent="0.2">
      <c r="C63" s="68"/>
    </row>
    <row r="64" spans="1:6" ht="16.75" customHeight="1" x14ac:dyDescent="0.2">
      <c r="B64" s="59"/>
      <c r="C64" s="68"/>
    </row>
    <row r="65" spans="2:3" ht="16.75" customHeight="1" x14ac:dyDescent="0.2">
      <c r="B65" s="59"/>
      <c r="C65" s="68"/>
    </row>
    <row r="66" spans="2:3" ht="16.75" customHeight="1" x14ac:dyDescent="0.2">
      <c r="B66" s="59"/>
      <c r="C66" s="68"/>
    </row>
    <row r="67" spans="2:3" ht="16.75" customHeight="1" x14ac:dyDescent="0.2">
      <c r="B67" s="59"/>
      <c r="C67" s="68"/>
    </row>
    <row r="68" spans="2:3" ht="16.75" customHeight="1" x14ac:dyDescent="0.2">
      <c r="B68" s="59"/>
      <c r="C68" s="68"/>
    </row>
    <row r="69" spans="2:3" ht="16.75" customHeight="1" x14ac:dyDescent="0.2">
      <c r="B69" s="59"/>
      <c r="C69" s="68"/>
    </row>
    <row r="70" spans="2:3" ht="16.75" customHeight="1" x14ac:dyDescent="0.2">
      <c r="B70" s="59"/>
      <c r="C70" s="68"/>
    </row>
    <row r="71" spans="2:3" ht="16.75" customHeight="1" x14ac:dyDescent="0.2">
      <c r="B71" s="59"/>
      <c r="C71" s="68"/>
    </row>
    <row r="72" spans="2:3" ht="16.75" customHeight="1" x14ac:dyDescent="0.2">
      <c r="B72" s="59"/>
      <c r="C72" s="68"/>
    </row>
    <row r="73" spans="2:3" ht="16.75" customHeight="1" x14ac:dyDescent="0.2">
      <c r="B73" s="59"/>
      <c r="C73" s="68"/>
    </row>
    <row r="74" spans="2:3" ht="16.75" customHeight="1" x14ac:dyDescent="0.2">
      <c r="B74" s="59"/>
      <c r="C74" s="68"/>
    </row>
    <row r="75" spans="2:3" ht="16.75" customHeight="1" x14ac:dyDescent="0.2">
      <c r="B75" s="59"/>
      <c r="C75" s="68"/>
    </row>
    <row r="76" spans="2:3" ht="16.75" customHeight="1" x14ac:dyDescent="0.2">
      <c r="B76" s="59"/>
      <c r="C76" s="68"/>
    </row>
    <row r="77" spans="2:3" ht="16.75" customHeight="1" x14ac:dyDescent="0.2">
      <c r="B77" s="59"/>
      <c r="C77" s="68"/>
    </row>
    <row r="78" spans="2:3" ht="16.75" customHeight="1" x14ac:dyDescent="0.2">
      <c r="B78" s="59"/>
      <c r="C78" s="68"/>
    </row>
    <row r="79" spans="2:3" ht="16.75" customHeight="1" x14ac:dyDescent="0.2">
      <c r="B79" s="59"/>
      <c r="C79" s="55"/>
    </row>
    <row r="80" spans="2:3" ht="16.75" customHeight="1" x14ac:dyDescent="0.2">
      <c r="B80" s="59"/>
      <c r="C80" s="55"/>
    </row>
    <row r="81" spans="2:3" ht="16.75" customHeight="1" x14ac:dyDescent="0.2">
      <c r="B81" s="59"/>
      <c r="C81" s="55"/>
    </row>
    <row r="82" spans="2:3" ht="16.75" customHeight="1" x14ac:dyDescent="0.2">
      <c r="C82" s="55"/>
    </row>
    <row r="83" spans="2:3" ht="16.75" customHeight="1" x14ac:dyDescent="0.2">
      <c r="C83" s="55"/>
    </row>
    <row r="84" spans="2:3" ht="16.75" customHeight="1" x14ac:dyDescent="0.2">
      <c r="C84" s="55"/>
    </row>
    <row r="85" spans="2:3" ht="16.75" customHeight="1" x14ac:dyDescent="0.2">
      <c r="C85" s="55"/>
    </row>
    <row r="86" spans="2:3" ht="16.75" customHeight="1" x14ac:dyDescent="0.2">
      <c r="C86" s="55"/>
    </row>
    <row r="87" spans="2:3" ht="16.75" customHeight="1" x14ac:dyDescent="0.2">
      <c r="C87" s="55"/>
    </row>
    <row r="88" spans="2:3" ht="16.75" customHeight="1" x14ac:dyDescent="0.2">
      <c r="C88" s="55"/>
    </row>
    <row r="89" spans="2:3" ht="16.75" customHeight="1" x14ac:dyDescent="0.2"/>
  </sheetData>
  <mergeCells count="2">
    <mergeCell ref="A3:G3"/>
    <mergeCell ref="A5:F5"/>
  </mergeCells>
  <phoneticPr fontId="15" type="noConversion"/>
  <pageMargins left="0.75" right="0.75" top="1" bottom="1" header="0.5" footer="0.5"/>
  <pageSetup paperSize="9" orientation="portrait" r:id="rId1"/>
  <headerFooter>
    <oddFooter>&amp;R&amp;1#&amp;"Arial"&amp;7&amp;K000000Public</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33A66-57C3-E941-96B1-6E0CA040B116}">
  <dimension ref="A1:F94"/>
  <sheetViews>
    <sheetView showRuler="0" workbookViewId="0">
      <pane xSplit="1" topLeftCell="B1" activePane="topRight" state="frozen"/>
      <selection activeCell="A24" sqref="A24"/>
      <selection pane="topRight" activeCell="A24" sqref="A24"/>
    </sheetView>
  </sheetViews>
  <sheetFormatPr baseColWidth="10" defaultColWidth="13.33203125" defaultRowHeight="16" x14ac:dyDescent="0.2"/>
  <cols>
    <col min="1" max="1" width="60.5" style="16" customWidth="1"/>
    <col min="2" max="2" width="17.83203125" style="59"/>
    <col min="3" max="3" width="20.1640625" style="3" customWidth="1"/>
    <col min="4" max="27" width="20.1640625" style="16" customWidth="1"/>
    <col min="28" max="16384" width="13.33203125" style="16"/>
  </cols>
  <sheetData>
    <row r="1" spans="1:6" ht="25.5" customHeight="1" x14ac:dyDescent="0.2">
      <c r="A1" s="593" t="s">
        <v>68</v>
      </c>
      <c r="B1" s="593"/>
      <c r="C1" s="593"/>
      <c r="D1" s="593"/>
      <c r="E1" s="593"/>
      <c r="F1" s="593"/>
    </row>
    <row r="2" spans="1:6" ht="16.75" customHeight="1" x14ac:dyDescent="0.2">
      <c r="A2" s="33"/>
      <c r="B2" s="33"/>
      <c r="C2" s="33"/>
      <c r="D2" s="33"/>
      <c r="E2" s="33"/>
      <c r="F2" s="33"/>
    </row>
    <row r="3" spans="1:6" ht="20" customHeight="1" x14ac:dyDescent="0.2">
      <c r="A3" s="61" t="s">
        <v>69</v>
      </c>
      <c r="B3" s="62">
        <v>2018</v>
      </c>
      <c r="C3" s="62">
        <v>2019</v>
      </c>
      <c r="D3" s="62">
        <v>2020</v>
      </c>
      <c r="E3" s="62">
        <v>2021</v>
      </c>
      <c r="F3" s="62">
        <v>2022</v>
      </c>
    </row>
    <row r="4" spans="1:6" ht="20" customHeight="1" x14ac:dyDescent="0.2">
      <c r="A4" s="33"/>
      <c r="B4" s="33"/>
      <c r="C4" s="33"/>
      <c r="D4" s="33"/>
      <c r="E4" s="33"/>
      <c r="F4" s="33"/>
    </row>
    <row r="5" spans="1:6" ht="20" customHeight="1" x14ac:dyDescent="0.2">
      <c r="A5" s="22" t="s">
        <v>70</v>
      </c>
      <c r="B5" s="16"/>
      <c r="C5" s="16"/>
    </row>
    <row r="6" spans="1:6" ht="20" customHeight="1" x14ac:dyDescent="0.2">
      <c r="A6" s="17" t="s">
        <v>21</v>
      </c>
      <c r="B6" s="21">
        <f>'Statements of Income (Original)'!B28</f>
        <v>2591.6000000000004</v>
      </c>
      <c r="C6" s="21">
        <f>'Statements of Income (Original)'!C28</f>
        <v>2592.3000000000002</v>
      </c>
      <c r="D6" s="21">
        <f>'Statements of Income (Original)'!D28</f>
        <v>3553.6999999999994</v>
      </c>
      <c r="E6" s="21">
        <f>'Statements of Income (Original)'!E28</f>
        <v>5883.2</v>
      </c>
      <c r="F6" s="21">
        <f>'Statements of Income (Original)'!F28</f>
        <v>5624.2000000000025</v>
      </c>
    </row>
    <row r="7" spans="1:6" ht="34" x14ac:dyDescent="0.2">
      <c r="A7" s="17" t="s">
        <v>71</v>
      </c>
      <c r="B7" s="16"/>
      <c r="C7" s="16"/>
    </row>
    <row r="8" spans="1:6" ht="20" customHeight="1" x14ac:dyDescent="0.2">
      <c r="A8" s="69" t="s">
        <v>72</v>
      </c>
      <c r="B8" s="21">
        <v>422.7</v>
      </c>
      <c r="C8" s="21">
        <v>448.5</v>
      </c>
      <c r="D8" s="21">
        <v>490.8</v>
      </c>
      <c r="E8" s="21">
        <v>471</v>
      </c>
      <c r="F8" s="21">
        <v>583.6</v>
      </c>
    </row>
    <row r="9" spans="1:6" ht="20" customHeight="1" x14ac:dyDescent="0.2">
      <c r="A9" s="69" t="s">
        <v>73</v>
      </c>
      <c r="B9" s="21">
        <v>19</v>
      </c>
      <c r="C9" s="21">
        <v>7.8</v>
      </c>
      <c r="D9" s="21">
        <v>5.5</v>
      </c>
      <c r="E9" s="21">
        <v>-15.9</v>
      </c>
      <c r="F9" s="21">
        <v>39.299999999999997</v>
      </c>
    </row>
    <row r="10" spans="1:6" ht="20" customHeight="1" x14ac:dyDescent="0.2">
      <c r="A10" s="69" t="s">
        <v>74</v>
      </c>
      <c r="B10" s="21">
        <v>46.3</v>
      </c>
      <c r="C10" s="21">
        <v>74.599999999999994</v>
      </c>
      <c r="D10" s="21">
        <v>53.9</v>
      </c>
      <c r="E10" s="21">
        <v>117.5</v>
      </c>
      <c r="F10" s="21">
        <v>68.900000000000006</v>
      </c>
    </row>
    <row r="11" spans="1:6" ht="20" customHeight="1" x14ac:dyDescent="0.2">
      <c r="A11" s="69" t="s">
        <v>75</v>
      </c>
      <c r="B11" s="21">
        <v>0</v>
      </c>
      <c r="C11" s="21">
        <v>0</v>
      </c>
      <c r="D11" s="21">
        <v>0</v>
      </c>
      <c r="E11" s="21">
        <v>-213.7</v>
      </c>
      <c r="F11" s="21">
        <v>0</v>
      </c>
    </row>
    <row r="12" spans="1:6" ht="20" customHeight="1" x14ac:dyDescent="0.2">
      <c r="A12" s="69" t="s">
        <v>76</v>
      </c>
      <c r="B12" s="21">
        <v>218.2</v>
      </c>
      <c r="C12" s="21">
        <v>221.5</v>
      </c>
      <c r="D12" s="21">
        <v>192.4</v>
      </c>
      <c r="E12" s="21">
        <v>180.7</v>
      </c>
      <c r="F12" s="21">
        <v>278.5</v>
      </c>
    </row>
    <row r="13" spans="1:6" ht="20" customHeight="1" x14ac:dyDescent="0.2">
      <c r="A13" s="69" t="s">
        <v>77</v>
      </c>
      <c r="B13" s="21">
        <v>-238.5</v>
      </c>
      <c r="C13" s="21">
        <v>-236.8</v>
      </c>
      <c r="D13" s="21">
        <v>-211.3</v>
      </c>
      <c r="E13" s="21">
        <v>-419.6</v>
      </c>
      <c r="F13" s="21">
        <v>-564.20000000000005</v>
      </c>
    </row>
    <row r="14" spans="1:6" ht="20" customHeight="1" x14ac:dyDescent="0.2">
      <c r="A14" s="69" t="s">
        <v>41</v>
      </c>
      <c r="B14" s="21">
        <v>61.6</v>
      </c>
      <c r="C14" s="21">
        <v>56.9</v>
      </c>
      <c r="D14" s="21">
        <v>11</v>
      </c>
      <c r="E14" s="21">
        <v>-49.8</v>
      </c>
      <c r="F14" s="21">
        <v>15.3</v>
      </c>
    </row>
    <row r="15" spans="1:6" ht="20" customHeight="1" x14ac:dyDescent="0.2">
      <c r="A15" s="70" t="s">
        <v>78</v>
      </c>
      <c r="B15" s="16"/>
      <c r="C15" s="16"/>
    </row>
    <row r="16" spans="1:6" ht="20" customHeight="1" x14ac:dyDescent="0.2">
      <c r="A16" s="71" t="s">
        <v>32</v>
      </c>
      <c r="B16" s="21">
        <v>212.4</v>
      </c>
      <c r="C16" s="21">
        <v>-255</v>
      </c>
      <c r="D16" s="21">
        <v>507.5</v>
      </c>
      <c r="E16" s="21">
        <v>-1754.9</v>
      </c>
      <c r="F16" s="21">
        <v>-2338</v>
      </c>
    </row>
    <row r="17" spans="1:6" ht="20" customHeight="1" x14ac:dyDescent="0.2">
      <c r="A17" s="71" t="s">
        <v>33</v>
      </c>
      <c r="B17" s="21">
        <v>-664.9</v>
      </c>
      <c r="C17" s="21">
        <v>-95.3</v>
      </c>
      <c r="D17" s="21">
        <v>-1125.4000000000001</v>
      </c>
      <c r="E17" s="21">
        <v>542.29999999999995</v>
      </c>
      <c r="F17" s="21">
        <v>212.2</v>
      </c>
    </row>
    <row r="18" spans="1:6" ht="20" customHeight="1" x14ac:dyDescent="0.2">
      <c r="A18" s="71" t="s">
        <v>79</v>
      </c>
      <c r="B18" s="21">
        <v>-515.70000000000005</v>
      </c>
      <c r="C18" s="21">
        <v>-404.7</v>
      </c>
      <c r="D18" s="21">
        <v>-706.7</v>
      </c>
      <c r="E18" s="21">
        <v>-483.2</v>
      </c>
      <c r="F18" s="21">
        <v>-2080.9</v>
      </c>
    </row>
    <row r="19" spans="1:6" ht="20" customHeight="1" x14ac:dyDescent="0.2">
      <c r="A19" s="71" t="s">
        <v>37</v>
      </c>
      <c r="B19" s="21">
        <v>-404</v>
      </c>
      <c r="C19" s="21">
        <v>-199.1</v>
      </c>
      <c r="D19" s="21">
        <v>-75.099999999999994</v>
      </c>
      <c r="E19" s="21">
        <v>-222.2</v>
      </c>
      <c r="F19" s="21">
        <v>-864.3</v>
      </c>
    </row>
    <row r="20" spans="1:6" ht="20" customHeight="1" x14ac:dyDescent="0.2">
      <c r="A20" s="71" t="s">
        <v>49</v>
      </c>
      <c r="B20" s="21">
        <v>237.7</v>
      </c>
      <c r="C20" s="21">
        <v>82.1</v>
      </c>
      <c r="D20" s="21">
        <v>47.5</v>
      </c>
      <c r="E20" s="21">
        <v>347.6</v>
      </c>
      <c r="F20" s="21">
        <v>439.7</v>
      </c>
    </row>
    <row r="21" spans="1:6" ht="20" customHeight="1" x14ac:dyDescent="0.2">
      <c r="A21" s="71" t="s">
        <v>48</v>
      </c>
      <c r="B21" s="21">
        <v>97.9</v>
      </c>
      <c r="C21" s="21">
        <v>-12.1</v>
      </c>
      <c r="D21" s="21">
        <v>334.3</v>
      </c>
      <c r="E21" s="21">
        <v>718.6</v>
      </c>
      <c r="F21" s="21">
        <v>406.2</v>
      </c>
    </row>
    <row r="22" spans="1:6" ht="20" customHeight="1" x14ac:dyDescent="0.2">
      <c r="A22" s="71" t="s">
        <v>80</v>
      </c>
      <c r="B22" s="21">
        <v>13.1</v>
      </c>
      <c r="C22" s="21">
        <v>-202.6</v>
      </c>
      <c r="D22" s="21">
        <v>131.5</v>
      </c>
      <c r="E22" s="21">
        <v>214.4</v>
      </c>
      <c r="F22" s="21">
        <v>33.6</v>
      </c>
    </row>
    <row r="23" spans="1:6" ht="20" customHeight="1" x14ac:dyDescent="0.2">
      <c r="A23" s="72" t="s">
        <v>81</v>
      </c>
      <c r="B23" s="32">
        <v>975.3</v>
      </c>
      <c r="C23" s="32">
        <v>1198.3</v>
      </c>
      <c r="D23" s="32">
        <v>1418</v>
      </c>
      <c r="E23" s="32">
        <v>5529.8</v>
      </c>
      <c r="F23" s="32">
        <v>6632.7</v>
      </c>
    </row>
    <row r="24" spans="1:6" ht="20" customHeight="1" x14ac:dyDescent="0.2">
      <c r="A24" s="65" t="s">
        <v>82</v>
      </c>
      <c r="B24" s="30">
        <f>SUM(B6:B23)</f>
        <v>3072.7</v>
      </c>
      <c r="C24" s="30">
        <f t="shared" ref="C24:F24" si="0">SUM(C6:C23)</f>
        <v>3276.4000000000005</v>
      </c>
      <c r="D24" s="30">
        <f t="shared" si="0"/>
        <v>4627.5999999999985</v>
      </c>
      <c r="E24" s="30">
        <f t="shared" si="0"/>
        <v>10845.800000000001</v>
      </c>
      <c r="F24" s="30">
        <f t="shared" si="0"/>
        <v>8486.8000000000029</v>
      </c>
    </row>
    <row r="25" spans="1:6" ht="20" customHeight="1" x14ac:dyDescent="0.2">
      <c r="B25" s="16"/>
      <c r="C25" s="16"/>
    </row>
    <row r="26" spans="1:6" ht="20" customHeight="1" x14ac:dyDescent="0.2">
      <c r="A26" s="22" t="s">
        <v>83</v>
      </c>
      <c r="B26" s="16"/>
      <c r="C26" s="16"/>
    </row>
    <row r="27" spans="1:6" ht="20" customHeight="1" x14ac:dyDescent="0.2">
      <c r="A27" s="17" t="s">
        <v>125</v>
      </c>
      <c r="B27" s="21">
        <v>-574</v>
      </c>
      <c r="C27" s="21">
        <v>-766.6</v>
      </c>
      <c r="D27" s="21">
        <v>-962</v>
      </c>
      <c r="E27" s="21">
        <v>-900.7</v>
      </c>
      <c r="F27" s="21">
        <v>-1281.8</v>
      </c>
    </row>
    <row r="28" spans="1:6" ht="20" customHeight="1" x14ac:dyDescent="0.2">
      <c r="A28" s="17" t="s">
        <v>84</v>
      </c>
      <c r="B28" s="21">
        <v>-35.5</v>
      </c>
      <c r="C28" s="21">
        <v>-119.3</v>
      </c>
      <c r="D28" s="21">
        <v>-38.799999999999997</v>
      </c>
      <c r="E28" s="21">
        <v>-39.6</v>
      </c>
      <c r="F28" s="21">
        <v>-37.5</v>
      </c>
    </row>
    <row r="29" spans="1:6" ht="20" customHeight="1" x14ac:dyDescent="0.2">
      <c r="A29" s="17" t="s">
        <v>85</v>
      </c>
      <c r="B29" s="21">
        <v>-918.1</v>
      </c>
      <c r="C29" s="21">
        <v>-1291.5</v>
      </c>
      <c r="D29" s="21">
        <v>-1475.5</v>
      </c>
      <c r="E29" s="21">
        <v>-1162.7</v>
      </c>
      <c r="F29" s="21">
        <v>-334.3</v>
      </c>
    </row>
    <row r="30" spans="1:6" ht="20" customHeight="1" x14ac:dyDescent="0.2">
      <c r="A30" s="17" t="s">
        <v>86</v>
      </c>
      <c r="B30" s="21">
        <v>1034.0999999999999</v>
      </c>
      <c r="C30" s="21">
        <v>1019</v>
      </c>
      <c r="D30" s="21">
        <v>1359.1</v>
      </c>
      <c r="E30" s="21">
        <v>1826.4</v>
      </c>
      <c r="F30" s="21">
        <v>864.7</v>
      </c>
    </row>
    <row r="31" spans="1:6" ht="20" customHeight="1" x14ac:dyDescent="0.2">
      <c r="A31" s="17" t="s">
        <v>87</v>
      </c>
      <c r="B31" s="21">
        <v>-2.4</v>
      </c>
      <c r="C31" s="21">
        <v>0.9</v>
      </c>
      <c r="D31" s="21">
        <v>-12.2</v>
      </c>
      <c r="E31" s="21">
        <v>-124.4</v>
      </c>
      <c r="F31" s="21">
        <v>-240</v>
      </c>
    </row>
    <row r="32" spans="1:6" ht="20" customHeight="1" x14ac:dyDescent="0.2">
      <c r="A32" s="17" t="s">
        <v>88</v>
      </c>
      <c r="B32" s="21">
        <v>4.4000000000000004</v>
      </c>
      <c r="C32" s="21">
        <v>0</v>
      </c>
      <c r="D32" s="21">
        <v>0</v>
      </c>
      <c r="E32" s="21">
        <v>329</v>
      </c>
      <c r="F32" s="21">
        <v>0</v>
      </c>
    </row>
    <row r="33" spans="1:6" ht="20" customHeight="1" x14ac:dyDescent="0.2">
      <c r="A33" s="64" t="s">
        <v>89</v>
      </c>
      <c r="B33" s="32">
        <v>0</v>
      </c>
      <c r="C33" s="32">
        <v>0</v>
      </c>
      <c r="D33" s="32">
        <v>-222.8</v>
      </c>
      <c r="E33" s="32">
        <v>0</v>
      </c>
      <c r="F33" s="32">
        <v>0</v>
      </c>
    </row>
    <row r="34" spans="1:6" ht="20" customHeight="1" x14ac:dyDescent="0.2">
      <c r="A34" s="65" t="s">
        <v>90</v>
      </c>
      <c r="B34" s="30">
        <f>SUM(B27:B33)</f>
        <v>-491.5</v>
      </c>
      <c r="C34" s="30">
        <f t="shared" ref="C34:F34" si="1">SUM(C27:C33)</f>
        <v>-1157.5</v>
      </c>
      <c r="D34" s="30">
        <f t="shared" si="1"/>
        <v>-1352.2000000000003</v>
      </c>
      <c r="E34" s="30">
        <f t="shared" si="1"/>
        <v>-71.999999999999886</v>
      </c>
      <c r="F34" s="30">
        <f t="shared" si="1"/>
        <v>-1028.8999999999999</v>
      </c>
    </row>
    <row r="35" spans="1:6" ht="20" customHeight="1" x14ac:dyDescent="0.2">
      <c r="B35" s="16"/>
      <c r="C35" s="16"/>
    </row>
    <row r="36" spans="1:6" ht="20" customHeight="1" x14ac:dyDescent="0.2">
      <c r="A36" s="22" t="s">
        <v>91</v>
      </c>
      <c r="B36" s="16"/>
      <c r="C36" s="16"/>
    </row>
    <row r="37" spans="1:6" ht="20" customHeight="1" x14ac:dyDescent="0.2">
      <c r="A37" s="17" t="s">
        <v>92</v>
      </c>
      <c r="B37" s="21">
        <v>-597.1</v>
      </c>
      <c r="C37" s="21">
        <v>-1325.7</v>
      </c>
      <c r="D37" s="21">
        <v>-1066.4000000000001</v>
      </c>
      <c r="E37" s="21">
        <v>-1368.3</v>
      </c>
      <c r="F37" s="21">
        <v>-2559.8000000000002</v>
      </c>
    </row>
    <row r="38" spans="1:6" ht="20" customHeight="1" x14ac:dyDescent="0.2">
      <c r="A38" s="17" t="s">
        <v>93</v>
      </c>
      <c r="B38" s="21">
        <v>-1146.2</v>
      </c>
      <c r="C38" s="21">
        <v>-410</v>
      </c>
      <c r="D38" s="21">
        <v>-1207.5</v>
      </c>
      <c r="E38" s="21">
        <v>-8560.2999999999993</v>
      </c>
      <c r="F38" s="21">
        <v>-4639.7</v>
      </c>
    </row>
    <row r="39" spans="1:6" ht="20" customHeight="1" x14ac:dyDescent="0.2">
      <c r="A39" s="17" t="s">
        <v>94</v>
      </c>
      <c r="B39" s="21">
        <v>21.8</v>
      </c>
      <c r="C39" s="21">
        <v>27.2</v>
      </c>
      <c r="D39" s="21">
        <v>37.9</v>
      </c>
      <c r="E39" s="21">
        <v>49</v>
      </c>
      <c r="F39" s="21">
        <v>81.8</v>
      </c>
    </row>
    <row r="40" spans="1:6" ht="20" customHeight="1" x14ac:dyDescent="0.2">
      <c r="A40" s="17" t="s">
        <v>95</v>
      </c>
      <c r="B40" s="21">
        <v>0</v>
      </c>
      <c r="C40" s="21">
        <v>0</v>
      </c>
      <c r="D40" s="21">
        <v>1486.3</v>
      </c>
      <c r="E40" s="21">
        <v>0</v>
      </c>
      <c r="F40" s="21">
        <v>495.6</v>
      </c>
    </row>
    <row r="41" spans="1:6" ht="20" customHeight="1" x14ac:dyDescent="0.2">
      <c r="A41" s="64" t="s">
        <v>96</v>
      </c>
      <c r="B41" s="32">
        <v>-2.8</v>
      </c>
      <c r="C41" s="32">
        <v>-3.8</v>
      </c>
      <c r="D41" s="32">
        <v>-3.3</v>
      </c>
      <c r="E41" s="32">
        <v>-12.1</v>
      </c>
      <c r="F41" s="32">
        <v>-516.20000000000005</v>
      </c>
    </row>
    <row r="42" spans="1:6" ht="20" customHeight="1" x14ac:dyDescent="0.2">
      <c r="A42" s="65" t="s">
        <v>97</v>
      </c>
      <c r="B42" s="30">
        <f>SUM(B37:B41)</f>
        <v>-1724.3000000000002</v>
      </c>
      <c r="C42" s="30">
        <f t="shared" ref="C42:F42" si="2">SUM(C37:C41)</f>
        <v>-1712.3</v>
      </c>
      <c r="D42" s="30">
        <f t="shared" si="2"/>
        <v>-753</v>
      </c>
      <c r="E42" s="30">
        <f t="shared" si="2"/>
        <v>-9891.6999999999989</v>
      </c>
      <c r="F42" s="30">
        <f t="shared" si="2"/>
        <v>-7138.2999999999993</v>
      </c>
    </row>
    <row r="43" spans="1:6" ht="20" customHeight="1" x14ac:dyDescent="0.2">
      <c r="B43" s="16"/>
      <c r="C43" s="16"/>
    </row>
    <row r="44" spans="1:6" s="25" customFormat="1" ht="20" customHeight="1" x14ac:dyDescent="0.2">
      <c r="A44" s="22" t="s">
        <v>98</v>
      </c>
      <c r="B44" s="24">
        <f>B42+B34+B24</f>
        <v>856.89999999999964</v>
      </c>
      <c r="C44" s="24">
        <f t="shared" ref="C44:F44" si="3">C42+C34+C24</f>
        <v>406.60000000000036</v>
      </c>
      <c r="D44" s="24">
        <f t="shared" si="3"/>
        <v>2522.3999999999983</v>
      </c>
      <c r="E44" s="24">
        <f t="shared" si="3"/>
        <v>882.10000000000218</v>
      </c>
      <c r="F44" s="24">
        <f t="shared" si="3"/>
        <v>319.600000000004</v>
      </c>
    </row>
    <row r="45" spans="1:6" ht="20" customHeight="1" x14ac:dyDescent="0.2">
      <c r="A45" s="64" t="s">
        <v>99</v>
      </c>
      <c r="B45" s="32">
        <v>5.2</v>
      </c>
      <c r="C45" s="32">
        <v>4.5999999999999996</v>
      </c>
      <c r="D45" s="32">
        <v>-5.3</v>
      </c>
      <c r="E45" s="32">
        <v>20.3</v>
      </c>
      <c r="F45" s="32">
        <v>-3.1</v>
      </c>
    </row>
    <row r="46" spans="1:6" ht="20" customHeight="1" thickBot="1" x14ac:dyDescent="0.25">
      <c r="A46" s="73" t="s">
        <v>100</v>
      </c>
      <c r="B46" s="74">
        <f>SUM(B44:B45)</f>
        <v>862.09999999999968</v>
      </c>
      <c r="C46" s="74">
        <f t="shared" ref="C46:F46" si="4">SUM(C44:C45)</f>
        <v>411.20000000000039</v>
      </c>
      <c r="D46" s="74">
        <f t="shared" si="4"/>
        <v>2517.0999999999981</v>
      </c>
      <c r="E46" s="74">
        <f t="shared" si="4"/>
        <v>902.40000000000214</v>
      </c>
      <c r="F46" s="74">
        <f t="shared" si="4"/>
        <v>316.50000000000398</v>
      </c>
    </row>
    <row r="47" spans="1:6" ht="20" customHeight="1" thickTop="1" x14ac:dyDescent="0.2">
      <c r="A47" s="64" t="s">
        <v>101</v>
      </c>
      <c r="B47" s="32">
        <v>2259</v>
      </c>
      <c r="C47" s="32">
        <f>B48</f>
        <v>3121.0999999999995</v>
      </c>
      <c r="D47" s="32">
        <f>C48</f>
        <v>3532.2999999999997</v>
      </c>
      <c r="E47" s="32">
        <f>D48</f>
        <v>6049.3999999999978</v>
      </c>
      <c r="F47" s="32">
        <f>E48</f>
        <v>6951.8</v>
      </c>
    </row>
    <row r="48" spans="1:6" ht="20" customHeight="1" x14ac:dyDescent="0.2">
      <c r="A48" s="65" t="s">
        <v>102</v>
      </c>
      <c r="B48" s="30">
        <f>SUM(B46:B47)</f>
        <v>3121.0999999999995</v>
      </c>
      <c r="C48" s="30">
        <f t="shared" ref="C48:F48" si="5">SUM(C46:C47)</f>
        <v>3532.2999999999997</v>
      </c>
      <c r="D48" s="30">
        <f t="shared" si="5"/>
        <v>6049.3999999999978</v>
      </c>
      <c r="E48" s="30">
        <f t="shared" si="5"/>
        <v>6951.8</v>
      </c>
      <c r="F48" s="30">
        <f t="shared" si="5"/>
        <v>7268.3000000000038</v>
      </c>
    </row>
    <row r="49" spans="1:6" ht="20" customHeight="1" x14ac:dyDescent="0.2">
      <c r="B49" s="16"/>
      <c r="C49" s="16"/>
    </row>
    <row r="50" spans="1:6" ht="20" customHeight="1" x14ac:dyDescent="0.2">
      <c r="A50" s="22" t="s">
        <v>103</v>
      </c>
      <c r="B50" s="16"/>
      <c r="C50" s="16"/>
    </row>
    <row r="51" spans="1:6" ht="34" x14ac:dyDescent="0.2">
      <c r="A51" s="17" t="s">
        <v>104</v>
      </c>
      <c r="B51" s="21">
        <v>24.2</v>
      </c>
      <c r="C51" s="21">
        <v>85.9</v>
      </c>
      <c r="D51" s="21">
        <v>-46.9</v>
      </c>
      <c r="E51" s="21">
        <v>29.3</v>
      </c>
      <c r="F51" s="21">
        <v>50.3</v>
      </c>
    </row>
    <row r="52" spans="1:6" ht="20" customHeight="1" x14ac:dyDescent="0.2">
      <c r="A52" s="17" t="s">
        <v>105</v>
      </c>
      <c r="B52" s="21">
        <v>37.299999999999997</v>
      </c>
      <c r="C52" s="21">
        <v>38.9</v>
      </c>
      <c r="D52" s="21">
        <v>32.1</v>
      </c>
      <c r="E52" s="21">
        <v>36.6</v>
      </c>
      <c r="F52" s="21">
        <v>42.4</v>
      </c>
    </row>
    <row r="53" spans="1:6" ht="20" customHeight="1" x14ac:dyDescent="0.2">
      <c r="A53" s="17" t="s">
        <v>106</v>
      </c>
      <c r="B53" s="21">
        <v>-61</v>
      </c>
      <c r="C53" s="21">
        <v>-59.9</v>
      </c>
      <c r="D53" s="21">
        <v>-64.099999999999994</v>
      </c>
      <c r="E53" s="21">
        <v>-83</v>
      </c>
      <c r="F53" s="21">
        <v>-82.2</v>
      </c>
    </row>
    <row r="54" spans="1:6" ht="20" customHeight="1" x14ac:dyDescent="0.2">
      <c r="A54" s="17" t="s">
        <v>107</v>
      </c>
      <c r="B54" s="21">
        <v>-554.4</v>
      </c>
      <c r="C54" s="21">
        <v>-678.7</v>
      </c>
      <c r="D54" s="21">
        <v>-650.20000000000005</v>
      </c>
      <c r="E54" s="21">
        <v>-1235</v>
      </c>
      <c r="F54" s="21">
        <v>-1734.6</v>
      </c>
    </row>
    <row r="55" spans="1:6" ht="16.75" customHeight="1" x14ac:dyDescent="0.2">
      <c r="B55" s="68"/>
    </row>
    <row r="56" spans="1:6" ht="16.75" customHeight="1" x14ac:dyDescent="0.2">
      <c r="B56" s="68"/>
    </row>
    <row r="57" spans="1:6" ht="16.75" customHeight="1" x14ac:dyDescent="0.2"/>
    <row r="58" spans="1:6" ht="16.75" customHeight="1" x14ac:dyDescent="0.2">
      <c r="B58" s="68"/>
    </row>
    <row r="59" spans="1:6" ht="16.75" customHeight="1" x14ac:dyDescent="0.2">
      <c r="B59" s="68"/>
    </row>
    <row r="60" spans="1:6" ht="16.75" customHeight="1" x14ac:dyDescent="0.2">
      <c r="B60" s="68"/>
    </row>
    <row r="61" spans="1:6" ht="16.75" customHeight="1" x14ac:dyDescent="0.2">
      <c r="B61" s="68"/>
    </row>
    <row r="62" spans="1:6" ht="16.75" customHeight="1" x14ac:dyDescent="0.2">
      <c r="B62" s="68"/>
    </row>
    <row r="63" spans="1:6" ht="16.75" customHeight="1" x14ac:dyDescent="0.2">
      <c r="B63" s="68"/>
    </row>
    <row r="64" spans="1:6" ht="16.75" customHeight="1" x14ac:dyDescent="0.2">
      <c r="B64" s="68"/>
    </row>
    <row r="65" spans="2:2" ht="16.75" customHeight="1" x14ac:dyDescent="0.2">
      <c r="B65" s="68"/>
    </row>
    <row r="66" spans="2:2" ht="16.75" customHeight="1" x14ac:dyDescent="0.2">
      <c r="B66" s="68"/>
    </row>
    <row r="67" spans="2:2" ht="16.75" customHeight="1" x14ac:dyDescent="0.2">
      <c r="B67" s="68"/>
    </row>
    <row r="68" spans="2:2" ht="16.75" customHeight="1" x14ac:dyDescent="0.2">
      <c r="B68" s="68"/>
    </row>
    <row r="69" spans="2:2" ht="16.75" customHeight="1" x14ac:dyDescent="0.2">
      <c r="B69" s="68"/>
    </row>
    <row r="70" spans="2:2" ht="16.75" customHeight="1" x14ac:dyDescent="0.2">
      <c r="B70" s="68"/>
    </row>
    <row r="71" spans="2:2" ht="16.75" customHeight="1" x14ac:dyDescent="0.2">
      <c r="B71" s="68"/>
    </row>
    <row r="72" spans="2:2" ht="16.75" customHeight="1" x14ac:dyDescent="0.2">
      <c r="B72" s="68"/>
    </row>
    <row r="73" spans="2:2" ht="16.75" customHeight="1" x14ac:dyDescent="0.2">
      <c r="B73" s="55"/>
    </row>
    <row r="74" spans="2:2" ht="16.75" customHeight="1" x14ac:dyDescent="0.2">
      <c r="B74" s="55"/>
    </row>
    <row r="75" spans="2:2" ht="16.75" customHeight="1" x14ac:dyDescent="0.2">
      <c r="B75" s="55"/>
    </row>
    <row r="76" spans="2:2" ht="16.75" customHeight="1" x14ac:dyDescent="0.2">
      <c r="B76" s="55"/>
    </row>
    <row r="77" spans="2:2" ht="16.75" customHeight="1" x14ac:dyDescent="0.2">
      <c r="B77" s="55"/>
    </row>
    <row r="78" spans="2:2" ht="16.75" customHeight="1" x14ac:dyDescent="0.2">
      <c r="B78" s="55"/>
    </row>
    <row r="79" spans="2:2" ht="16.75" customHeight="1" x14ac:dyDescent="0.2">
      <c r="B79" s="55"/>
    </row>
    <row r="80" spans="2:2" ht="16.75" customHeight="1" x14ac:dyDescent="0.2">
      <c r="B80" s="55"/>
    </row>
    <row r="81" spans="2:2" ht="16.75" customHeight="1" x14ac:dyDescent="0.2">
      <c r="B81" s="55"/>
    </row>
    <row r="82" spans="2:2" ht="16.75" customHeight="1" x14ac:dyDescent="0.2">
      <c r="B82" s="55"/>
    </row>
    <row r="83" spans="2:2" ht="16.75" customHeight="1" x14ac:dyDescent="0.2">
      <c r="B83" s="55"/>
    </row>
    <row r="84" spans="2:2" ht="16.75" customHeight="1" x14ac:dyDescent="0.2">
      <c r="B84" s="55"/>
    </row>
    <row r="85" spans="2:2" ht="16.75" customHeight="1" x14ac:dyDescent="0.2">
      <c r="B85" s="55"/>
    </row>
    <row r="86" spans="2:2" ht="16.75" customHeight="1" x14ac:dyDescent="0.2">
      <c r="B86" s="55"/>
    </row>
    <row r="87" spans="2:2" ht="16.75" customHeight="1" x14ac:dyDescent="0.2">
      <c r="B87" s="55"/>
    </row>
    <row r="88" spans="2:2" ht="16.75" customHeight="1" x14ac:dyDescent="0.2">
      <c r="B88" s="55"/>
    </row>
    <row r="89" spans="2:2" ht="16.75" customHeight="1" x14ac:dyDescent="0.2">
      <c r="B89" s="55"/>
    </row>
    <row r="90" spans="2:2" ht="16.75" customHeight="1" x14ac:dyDescent="0.2">
      <c r="B90" s="55"/>
    </row>
    <row r="91" spans="2:2" ht="16.75" customHeight="1" x14ac:dyDescent="0.2">
      <c r="B91" s="55"/>
    </row>
    <row r="92" spans="2:2" ht="16.75" customHeight="1" x14ac:dyDescent="0.2">
      <c r="B92" s="55"/>
    </row>
    <row r="93" spans="2:2" ht="16.75" customHeight="1" x14ac:dyDescent="0.2"/>
    <row r="94" spans="2:2" ht="16.75" customHeight="1" x14ac:dyDescent="0.2"/>
  </sheetData>
  <mergeCells count="1">
    <mergeCell ref="A1:F1"/>
  </mergeCells>
  <phoneticPr fontId="15" type="noConversion"/>
  <pageMargins left="0.75" right="0.75" top="1" bottom="1" header="0.5" footer="0.5"/>
  <pageSetup paperSize="9" orientation="portrait" r:id="rId1"/>
  <headerFooter>
    <oddFooter>&amp;R&amp;1#&amp;"Arial"&amp;7&amp;K000000Public</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72204-5618-6945-9678-FFF4C8A134EB}">
  <sheetPr>
    <outlinePr summaryBelow="0" summaryRight="0"/>
    <pageSetUpPr autoPageBreaks="0"/>
  </sheetPr>
  <dimension ref="A1:IT36"/>
  <sheetViews>
    <sheetView zoomScale="132" workbookViewId="0">
      <selection activeCell="B20" sqref="B20"/>
    </sheetView>
  </sheetViews>
  <sheetFormatPr baseColWidth="10" defaultColWidth="11" defaultRowHeight="14" x14ac:dyDescent="0.15"/>
  <cols>
    <col min="1" max="1" width="36.6640625" style="51" bestFit="1" customWidth="1"/>
    <col min="2" max="2" width="25.83203125" style="51" customWidth="1"/>
    <col min="3" max="8" width="9.33203125" style="51" customWidth="1"/>
    <col min="9" max="255" width="8.83203125" style="51" customWidth="1"/>
    <col min="256" max="256" width="47.83203125" style="51" customWidth="1"/>
    <col min="257" max="258" width="25.83203125" style="51" customWidth="1"/>
    <col min="259" max="264" width="9.33203125" style="51" customWidth="1"/>
    <col min="265" max="511" width="8.83203125" style="51" customWidth="1"/>
    <col min="512" max="512" width="47.83203125" style="51" customWidth="1"/>
    <col min="513" max="514" width="25.83203125" style="51" customWidth="1"/>
    <col min="515" max="520" width="9.33203125" style="51" customWidth="1"/>
    <col min="521" max="767" width="8.83203125" style="51" customWidth="1"/>
    <col min="768" max="768" width="47.83203125" style="51" customWidth="1"/>
    <col min="769" max="770" width="25.83203125" style="51" customWidth="1"/>
    <col min="771" max="776" width="9.33203125" style="51" customWidth="1"/>
    <col min="777" max="1023" width="8.83203125" style="51" customWidth="1"/>
    <col min="1024" max="1024" width="47.83203125" style="51" customWidth="1"/>
    <col min="1025" max="1026" width="25.83203125" style="51" customWidth="1"/>
    <col min="1027" max="1032" width="9.33203125" style="51" customWidth="1"/>
    <col min="1033" max="1279" width="8.83203125" style="51" customWidth="1"/>
    <col min="1280" max="1280" width="47.83203125" style="51" customWidth="1"/>
    <col min="1281" max="1282" width="25.83203125" style="51" customWidth="1"/>
    <col min="1283" max="1288" width="9.33203125" style="51" customWidth="1"/>
    <col min="1289" max="1535" width="8.83203125" style="51" customWidth="1"/>
    <col min="1536" max="1536" width="47.83203125" style="51" customWidth="1"/>
    <col min="1537" max="1538" width="25.83203125" style="51" customWidth="1"/>
    <col min="1539" max="1544" width="9.33203125" style="51" customWidth="1"/>
    <col min="1545" max="1791" width="8.83203125" style="51" customWidth="1"/>
    <col min="1792" max="1792" width="47.83203125" style="51" customWidth="1"/>
    <col min="1793" max="1794" width="25.83203125" style="51" customWidth="1"/>
    <col min="1795" max="1800" width="9.33203125" style="51" customWidth="1"/>
    <col min="1801" max="2047" width="8.83203125" style="51" customWidth="1"/>
    <col min="2048" max="2048" width="47.83203125" style="51" customWidth="1"/>
    <col min="2049" max="2050" width="25.83203125" style="51" customWidth="1"/>
    <col min="2051" max="2056" width="9.33203125" style="51" customWidth="1"/>
    <col min="2057" max="2303" width="8.83203125" style="51" customWidth="1"/>
    <col min="2304" max="2304" width="47.83203125" style="51" customWidth="1"/>
    <col min="2305" max="2306" width="25.83203125" style="51" customWidth="1"/>
    <col min="2307" max="2312" width="9.33203125" style="51" customWidth="1"/>
    <col min="2313" max="2559" width="8.83203125" style="51" customWidth="1"/>
    <col min="2560" max="2560" width="47.83203125" style="51" customWidth="1"/>
    <col min="2561" max="2562" width="25.83203125" style="51" customWidth="1"/>
    <col min="2563" max="2568" width="9.33203125" style="51" customWidth="1"/>
    <col min="2569" max="2815" width="8.83203125" style="51" customWidth="1"/>
    <col min="2816" max="2816" width="47.83203125" style="51" customWidth="1"/>
    <col min="2817" max="2818" width="25.83203125" style="51" customWidth="1"/>
    <col min="2819" max="2824" width="9.33203125" style="51" customWidth="1"/>
    <col min="2825" max="3071" width="8.83203125" style="51" customWidth="1"/>
    <col min="3072" max="3072" width="47.83203125" style="51" customWidth="1"/>
    <col min="3073" max="3074" width="25.83203125" style="51" customWidth="1"/>
    <col min="3075" max="3080" width="9.33203125" style="51" customWidth="1"/>
    <col min="3081" max="3327" width="8.83203125" style="51" customWidth="1"/>
    <col min="3328" max="3328" width="47.83203125" style="51" customWidth="1"/>
    <col min="3329" max="3330" width="25.83203125" style="51" customWidth="1"/>
    <col min="3331" max="3336" width="9.33203125" style="51" customWidth="1"/>
    <col min="3337" max="3583" width="8.83203125" style="51" customWidth="1"/>
    <col min="3584" max="3584" width="47.83203125" style="51" customWidth="1"/>
    <col min="3585" max="3586" width="25.83203125" style="51" customWidth="1"/>
    <col min="3587" max="3592" width="9.33203125" style="51" customWidth="1"/>
    <col min="3593" max="3839" width="8.83203125" style="51" customWidth="1"/>
    <col min="3840" max="3840" width="47.83203125" style="51" customWidth="1"/>
    <col min="3841" max="3842" width="25.83203125" style="51" customWidth="1"/>
    <col min="3843" max="3848" width="9.33203125" style="51" customWidth="1"/>
    <col min="3849" max="4095" width="8.83203125" style="51" customWidth="1"/>
    <col min="4096" max="4096" width="47.83203125" style="51" customWidth="1"/>
    <col min="4097" max="4098" width="25.83203125" style="51" customWidth="1"/>
    <col min="4099" max="4104" width="9.33203125" style="51" customWidth="1"/>
    <col min="4105" max="4351" width="8.83203125" style="51" customWidth="1"/>
    <col min="4352" max="4352" width="47.83203125" style="51" customWidth="1"/>
    <col min="4353" max="4354" width="25.83203125" style="51" customWidth="1"/>
    <col min="4355" max="4360" width="9.33203125" style="51" customWidth="1"/>
    <col min="4361" max="4607" width="8.83203125" style="51" customWidth="1"/>
    <col min="4608" max="4608" width="47.83203125" style="51" customWidth="1"/>
    <col min="4609" max="4610" width="25.83203125" style="51" customWidth="1"/>
    <col min="4611" max="4616" width="9.33203125" style="51" customWidth="1"/>
    <col min="4617" max="4863" width="8.83203125" style="51" customWidth="1"/>
    <col min="4864" max="4864" width="47.83203125" style="51" customWidth="1"/>
    <col min="4865" max="4866" width="25.83203125" style="51" customWidth="1"/>
    <col min="4867" max="4872" width="9.33203125" style="51" customWidth="1"/>
    <col min="4873" max="5119" width="8.83203125" style="51" customWidth="1"/>
    <col min="5120" max="5120" width="47.83203125" style="51" customWidth="1"/>
    <col min="5121" max="5122" width="25.83203125" style="51" customWidth="1"/>
    <col min="5123" max="5128" width="9.33203125" style="51" customWidth="1"/>
    <col min="5129" max="5375" width="8.83203125" style="51" customWidth="1"/>
    <col min="5376" max="5376" width="47.83203125" style="51" customWidth="1"/>
    <col min="5377" max="5378" width="25.83203125" style="51" customWidth="1"/>
    <col min="5379" max="5384" width="9.33203125" style="51" customWidth="1"/>
    <col min="5385" max="5631" width="8.83203125" style="51" customWidth="1"/>
    <col min="5632" max="5632" width="47.83203125" style="51" customWidth="1"/>
    <col min="5633" max="5634" width="25.83203125" style="51" customWidth="1"/>
    <col min="5635" max="5640" width="9.33203125" style="51" customWidth="1"/>
    <col min="5641" max="5887" width="8.83203125" style="51" customWidth="1"/>
    <col min="5888" max="5888" width="47.83203125" style="51" customWidth="1"/>
    <col min="5889" max="5890" width="25.83203125" style="51" customWidth="1"/>
    <col min="5891" max="5896" width="9.33203125" style="51" customWidth="1"/>
    <col min="5897" max="6143" width="8.83203125" style="51" customWidth="1"/>
    <col min="6144" max="6144" width="47.83203125" style="51" customWidth="1"/>
    <col min="6145" max="6146" width="25.83203125" style="51" customWidth="1"/>
    <col min="6147" max="6152" width="9.33203125" style="51" customWidth="1"/>
    <col min="6153" max="6399" width="8.83203125" style="51" customWidth="1"/>
    <col min="6400" max="6400" width="47.83203125" style="51" customWidth="1"/>
    <col min="6401" max="6402" width="25.83203125" style="51" customWidth="1"/>
    <col min="6403" max="6408" width="9.33203125" style="51" customWidth="1"/>
    <col min="6409" max="6655" width="8.83203125" style="51" customWidth="1"/>
    <col min="6656" max="6656" width="47.83203125" style="51" customWidth="1"/>
    <col min="6657" max="6658" width="25.83203125" style="51" customWidth="1"/>
    <col min="6659" max="6664" width="9.33203125" style="51" customWidth="1"/>
    <col min="6665" max="6911" width="8.83203125" style="51" customWidth="1"/>
    <col min="6912" max="6912" width="47.83203125" style="51" customWidth="1"/>
    <col min="6913" max="6914" width="25.83203125" style="51" customWidth="1"/>
    <col min="6915" max="6920" width="9.33203125" style="51" customWidth="1"/>
    <col min="6921" max="7167" width="8.83203125" style="51" customWidth="1"/>
    <col min="7168" max="7168" width="47.83203125" style="51" customWidth="1"/>
    <col min="7169" max="7170" width="25.83203125" style="51" customWidth="1"/>
    <col min="7171" max="7176" width="9.33203125" style="51" customWidth="1"/>
    <col min="7177" max="7423" width="8.83203125" style="51" customWidth="1"/>
    <col min="7424" max="7424" width="47.83203125" style="51" customWidth="1"/>
    <col min="7425" max="7426" width="25.83203125" style="51" customWidth="1"/>
    <col min="7427" max="7432" width="9.33203125" style="51" customWidth="1"/>
    <col min="7433" max="7679" width="8.83203125" style="51" customWidth="1"/>
    <col min="7680" max="7680" width="47.83203125" style="51" customWidth="1"/>
    <col min="7681" max="7682" width="25.83203125" style="51" customWidth="1"/>
    <col min="7683" max="7688" width="9.33203125" style="51" customWidth="1"/>
    <col min="7689" max="7935" width="8.83203125" style="51" customWidth="1"/>
    <col min="7936" max="7936" width="47.83203125" style="51" customWidth="1"/>
    <col min="7937" max="7938" width="25.83203125" style="51" customWidth="1"/>
    <col min="7939" max="7944" width="9.33203125" style="51" customWidth="1"/>
    <col min="7945" max="8191" width="8.83203125" style="51" customWidth="1"/>
    <col min="8192" max="8192" width="47.83203125" style="51" customWidth="1"/>
    <col min="8193" max="8194" width="25.83203125" style="51" customWidth="1"/>
    <col min="8195" max="8200" width="9.33203125" style="51" customWidth="1"/>
    <col min="8201" max="8447" width="8.83203125" style="51" customWidth="1"/>
    <col min="8448" max="8448" width="47.83203125" style="51" customWidth="1"/>
    <col min="8449" max="8450" width="25.83203125" style="51" customWidth="1"/>
    <col min="8451" max="8456" width="9.33203125" style="51" customWidth="1"/>
    <col min="8457" max="8703" width="8.83203125" style="51" customWidth="1"/>
    <col min="8704" max="8704" width="47.83203125" style="51" customWidth="1"/>
    <col min="8705" max="8706" width="25.83203125" style="51" customWidth="1"/>
    <col min="8707" max="8712" width="9.33203125" style="51" customWidth="1"/>
    <col min="8713" max="8959" width="8.83203125" style="51" customWidth="1"/>
    <col min="8960" max="8960" width="47.83203125" style="51" customWidth="1"/>
    <col min="8961" max="8962" width="25.83203125" style="51" customWidth="1"/>
    <col min="8963" max="8968" width="9.33203125" style="51" customWidth="1"/>
    <col min="8969" max="9215" width="8.83203125" style="51" customWidth="1"/>
    <col min="9216" max="9216" width="47.83203125" style="51" customWidth="1"/>
    <col min="9217" max="9218" width="25.83203125" style="51" customWidth="1"/>
    <col min="9219" max="9224" width="9.33203125" style="51" customWidth="1"/>
    <col min="9225" max="9471" width="8.83203125" style="51" customWidth="1"/>
    <col min="9472" max="9472" width="47.83203125" style="51" customWidth="1"/>
    <col min="9473" max="9474" width="25.83203125" style="51" customWidth="1"/>
    <col min="9475" max="9480" width="9.33203125" style="51" customWidth="1"/>
    <col min="9481" max="9727" width="8.83203125" style="51" customWidth="1"/>
    <col min="9728" max="9728" width="47.83203125" style="51" customWidth="1"/>
    <col min="9729" max="9730" width="25.83203125" style="51" customWidth="1"/>
    <col min="9731" max="9736" width="9.33203125" style="51" customWidth="1"/>
    <col min="9737" max="9983" width="8.83203125" style="51" customWidth="1"/>
    <col min="9984" max="9984" width="47.83203125" style="51" customWidth="1"/>
    <col min="9985" max="9986" width="25.83203125" style="51" customWidth="1"/>
    <col min="9987" max="9992" width="9.33203125" style="51" customWidth="1"/>
    <col min="9993" max="10239" width="8.83203125" style="51" customWidth="1"/>
    <col min="10240" max="10240" width="47.83203125" style="51" customWidth="1"/>
    <col min="10241" max="10242" width="25.83203125" style="51" customWidth="1"/>
    <col min="10243" max="10248" width="9.33203125" style="51" customWidth="1"/>
    <col min="10249" max="10495" width="8.83203125" style="51" customWidth="1"/>
    <col min="10496" max="10496" width="47.83203125" style="51" customWidth="1"/>
    <col min="10497" max="10498" width="25.83203125" style="51" customWidth="1"/>
    <col min="10499" max="10504" width="9.33203125" style="51" customWidth="1"/>
    <col min="10505" max="10751" width="8.83203125" style="51" customWidth="1"/>
    <col min="10752" max="10752" width="47.83203125" style="51" customWidth="1"/>
    <col min="10753" max="10754" width="25.83203125" style="51" customWidth="1"/>
    <col min="10755" max="10760" width="9.33203125" style="51" customWidth="1"/>
    <col min="10761" max="11007" width="8.83203125" style="51" customWidth="1"/>
    <col min="11008" max="11008" width="47.83203125" style="51" customWidth="1"/>
    <col min="11009" max="11010" width="25.83203125" style="51" customWidth="1"/>
    <col min="11011" max="11016" width="9.33203125" style="51" customWidth="1"/>
    <col min="11017" max="11263" width="8.83203125" style="51" customWidth="1"/>
    <col min="11264" max="11264" width="47.83203125" style="51" customWidth="1"/>
    <col min="11265" max="11266" width="25.83203125" style="51" customWidth="1"/>
    <col min="11267" max="11272" width="9.33203125" style="51" customWidth="1"/>
    <col min="11273" max="11519" width="8.83203125" style="51" customWidth="1"/>
    <col min="11520" max="11520" width="47.83203125" style="51" customWidth="1"/>
    <col min="11521" max="11522" width="25.83203125" style="51" customWidth="1"/>
    <col min="11523" max="11528" width="9.33203125" style="51" customWidth="1"/>
    <col min="11529" max="11775" width="8.83203125" style="51" customWidth="1"/>
    <col min="11776" max="11776" width="47.83203125" style="51" customWidth="1"/>
    <col min="11777" max="11778" width="25.83203125" style="51" customWidth="1"/>
    <col min="11779" max="11784" width="9.33203125" style="51" customWidth="1"/>
    <col min="11785" max="12031" width="8.83203125" style="51" customWidth="1"/>
    <col min="12032" max="12032" width="47.83203125" style="51" customWidth="1"/>
    <col min="12033" max="12034" width="25.83203125" style="51" customWidth="1"/>
    <col min="12035" max="12040" width="9.33203125" style="51" customWidth="1"/>
    <col min="12041" max="12287" width="8.83203125" style="51" customWidth="1"/>
    <col min="12288" max="12288" width="47.83203125" style="51" customWidth="1"/>
    <col min="12289" max="12290" width="25.83203125" style="51" customWidth="1"/>
    <col min="12291" max="12296" width="9.33203125" style="51" customWidth="1"/>
    <col min="12297" max="12543" width="8.83203125" style="51" customWidth="1"/>
    <col min="12544" max="12544" width="47.83203125" style="51" customWidth="1"/>
    <col min="12545" max="12546" width="25.83203125" style="51" customWidth="1"/>
    <col min="12547" max="12552" width="9.33203125" style="51" customWidth="1"/>
    <col min="12553" max="12799" width="8.83203125" style="51" customWidth="1"/>
    <col min="12800" max="12800" width="47.83203125" style="51" customWidth="1"/>
    <col min="12801" max="12802" width="25.83203125" style="51" customWidth="1"/>
    <col min="12803" max="12808" width="9.33203125" style="51" customWidth="1"/>
    <col min="12809" max="13055" width="8.83203125" style="51" customWidth="1"/>
    <col min="13056" max="13056" width="47.83203125" style="51" customWidth="1"/>
    <col min="13057" max="13058" width="25.83203125" style="51" customWidth="1"/>
    <col min="13059" max="13064" width="9.33203125" style="51" customWidth="1"/>
    <col min="13065" max="13311" width="8.83203125" style="51" customWidth="1"/>
    <col min="13312" max="13312" width="47.83203125" style="51" customWidth="1"/>
    <col min="13313" max="13314" width="25.83203125" style="51" customWidth="1"/>
    <col min="13315" max="13320" width="9.33203125" style="51" customWidth="1"/>
    <col min="13321" max="13567" width="8.83203125" style="51" customWidth="1"/>
    <col min="13568" max="13568" width="47.83203125" style="51" customWidth="1"/>
    <col min="13569" max="13570" width="25.83203125" style="51" customWidth="1"/>
    <col min="13571" max="13576" width="9.33203125" style="51" customWidth="1"/>
    <col min="13577" max="13823" width="8.83203125" style="51" customWidth="1"/>
    <col min="13824" max="13824" width="47.83203125" style="51" customWidth="1"/>
    <col min="13825" max="13826" width="25.83203125" style="51" customWidth="1"/>
    <col min="13827" max="13832" width="9.33203125" style="51" customWidth="1"/>
    <col min="13833" max="14079" width="8.83203125" style="51" customWidth="1"/>
    <col min="14080" max="14080" width="47.83203125" style="51" customWidth="1"/>
    <col min="14081" max="14082" width="25.83203125" style="51" customWidth="1"/>
    <col min="14083" max="14088" width="9.33203125" style="51" customWidth="1"/>
    <col min="14089" max="14335" width="8.83203125" style="51" customWidth="1"/>
    <col min="14336" max="14336" width="47.83203125" style="51" customWidth="1"/>
    <col min="14337" max="14338" width="25.83203125" style="51" customWidth="1"/>
    <col min="14339" max="14344" width="9.33203125" style="51" customWidth="1"/>
    <col min="14345" max="14591" width="8.83203125" style="51" customWidth="1"/>
    <col min="14592" max="14592" width="47.83203125" style="51" customWidth="1"/>
    <col min="14593" max="14594" width="25.83203125" style="51" customWidth="1"/>
    <col min="14595" max="14600" width="9.33203125" style="51" customWidth="1"/>
    <col min="14601" max="14847" width="8.83203125" style="51" customWidth="1"/>
    <col min="14848" max="14848" width="47.83203125" style="51" customWidth="1"/>
    <col min="14849" max="14850" width="25.83203125" style="51" customWidth="1"/>
    <col min="14851" max="14856" width="9.33203125" style="51" customWidth="1"/>
    <col min="14857" max="15103" width="8.83203125" style="51" customWidth="1"/>
    <col min="15104" max="15104" width="47.83203125" style="51" customWidth="1"/>
    <col min="15105" max="15106" width="25.83203125" style="51" customWidth="1"/>
    <col min="15107" max="15112" width="9.33203125" style="51" customWidth="1"/>
    <col min="15113" max="15359" width="8.83203125" style="51" customWidth="1"/>
    <col min="15360" max="15360" width="47.83203125" style="51" customWidth="1"/>
    <col min="15361" max="15362" width="25.83203125" style="51" customWidth="1"/>
    <col min="15363" max="15368" width="9.33203125" style="51" customWidth="1"/>
    <col min="15369" max="15615" width="8.83203125" style="51" customWidth="1"/>
    <col min="15616" max="15616" width="47.83203125" style="51" customWidth="1"/>
    <col min="15617" max="15618" width="25.83203125" style="51" customWidth="1"/>
    <col min="15619" max="15624" width="9.33203125" style="51" customWidth="1"/>
    <col min="15625" max="15871" width="8.83203125" style="51" customWidth="1"/>
    <col min="15872" max="15872" width="47.83203125" style="51" customWidth="1"/>
    <col min="15873" max="15874" width="25.83203125" style="51" customWidth="1"/>
    <col min="15875" max="15880" width="9.33203125" style="51" customWidth="1"/>
    <col min="15881" max="16127" width="8.83203125" style="51" customWidth="1"/>
    <col min="16128" max="16128" width="47.83203125" style="51" customWidth="1"/>
    <col min="16129" max="16130" width="25.83203125" style="51" customWidth="1"/>
    <col min="16131" max="16136" width="9.33203125" style="51" customWidth="1"/>
    <col min="16137" max="16384" width="8.83203125" style="51" customWidth="1"/>
  </cols>
  <sheetData>
    <row r="1" spans="1:254" x14ac:dyDescent="0.15">
      <c r="A1" s="53" t="s">
        <v>162</v>
      </c>
      <c r="B1" s="79" t="s">
        <v>163</v>
      </c>
    </row>
    <row r="2" spans="1:254" x14ac:dyDescent="0.15">
      <c r="A2" s="53" t="s">
        <v>164</v>
      </c>
      <c r="B2" s="80">
        <v>45037</v>
      </c>
    </row>
    <row r="3" spans="1:254" x14ac:dyDescent="0.15">
      <c r="A3" s="81"/>
    </row>
    <row r="5" spans="1:254" x14ac:dyDescent="0.15">
      <c r="A5" s="82" t="s">
        <v>165</v>
      </c>
      <c r="B5" s="82"/>
      <c r="C5" s="83"/>
      <c r="D5" s="83"/>
      <c r="E5" s="83"/>
      <c r="F5" s="83"/>
      <c r="G5" s="83"/>
      <c r="H5" s="83"/>
      <c r="I5" s="83"/>
      <c r="J5" s="83"/>
      <c r="K5" s="83"/>
      <c r="L5" s="83"/>
      <c r="M5" s="83"/>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Q5" s="83"/>
      <c r="AR5" s="83"/>
      <c r="AS5" s="83"/>
      <c r="AT5" s="83"/>
      <c r="AU5" s="83"/>
      <c r="AV5" s="83"/>
      <c r="AW5" s="83"/>
      <c r="AX5" s="83"/>
      <c r="AY5" s="83"/>
      <c r="AZ5" s="83"/>
      <c r="BA5" s="83"/>
      <c r="BB5" s="83"/>
      <c r="BC5" s="83"/>
      <c r="BD5" s="83"/>
      <c r="BE5" s="83"/>
      <c r="BF5" s="83"/>
      <c r="BG5" s="83"/>
      <c r="BH5" s="83"/>
      <c r="BI5" s="83"/>
      <c r="BJ5" s="83"/>
      <c r="BK5" s="83"/>
      <c r="BL5" s="83"/>
      <c r="BM5" s="83"/>
      <c r="BN5" s="83"/>
      <c r="BO5" s="83"/>
      <c r="BP5" s="83"/>
      <c r="BQ5" s="83"/>
      <c r="BR5" s="83"/>
      <c r="BS5" s="83"/>
      <c r="BT5" s="83"/>
      <c r="BU5" s="83"/>
      <c r="BV5" s="83"/>
      <c r="BW5" s="83"/>
      <c r="BX5" s="83"/>
      <c r="BY5" s="83"/>
      <c r="BZ5" s="83"/>
      <c r="CA5" s="83"/>
      <c r="CB5" s="83"/>
      <c r="CC5" s="83"/>
      <c r="CD5" s="83"/>
      <c r="CE5" s="83"/>
      <c r="CF5" s="83"/>
      <c r="CG5" s="83"/>
      <c r="CH5" s="83"/>
      <c r="CI5" s="83"/>
      <c r="CJ5" s="83"/>
      <c r="CK5" s="83"/>
      <c r="CL5" s="83"/>
      <c r="CM5" s="83"/>
      <c r="CN5" s="83"/>
      <c r="CO5" s="83"/>
      <c r="CP5" s="83"/>
      <c r="CQ5" s="83"/>
      <c r="CR5" s="83"/>
      <c r="CS5" s="83"/>
      <c r="CT5" s="83"/>
      <c r="CU5" s="83"/>
      <c r="CV5" s="83"/>
      <c r="CW5" s="83"/>
      <c r="CX5" s="83"/>
      <c r="CY5" s="83"/>
      <c r="CZ5" s="83"/>
      <c r="DA5" s="83"/>
      <c r="DB5" s="83"/>
      <c r="DC5" s="83"/>
      <c r="DD5" s="83"/>
      <c r="DE5" s="83"/>
      <c r="DF5" s="83"/>
      <c r="DG5" s="83"/>
      <c r="DH5" s="83"/>
      <c r="DI5" s="83"/>
      <c r="DJ5" s="83"/>
      <c r="DK5" s="83"/>
      <c r="DL5" s="83"/>
      <c r="DM5" s="83"/>
      <c r="DN5" s="83"/>
      <c r="DO5" s="83"/>
      <c r="DP5" s="83"/>
      <c r="DQ5" s="83"/>
      <c r="DR5" s="83"/>
      <c r="DS5" s="83"/>
      <c r="DT5" s="83"/>
      <c r="DU5" s="83"/>
      <c r="DV5" s="83"/>
      <c r="DW5" s="83"/>
      <c r="DX5" s="83"/>
      <c r="DY5" s="83"/>
      <c r="DZ5" s="83"/>
      <c r="EA5" s="83"/>
      <c r="EB5" s="83"/>
      <c r="EC5" s="83"/>
      <c r="ED5" s="83"/>
      <c r="EE5" s="83"/>
      <c r="EF5" s="83"/>
      <c r="EG5" s="83"/>
      <c r="EH5" s="83"/>
      <c r="EI5" s="83"/>
      <c r="EJ5" s="83"/>
      <c r="EK5" s="83"/>
      <c r="EL5" s="83"/>
      <c r="EM5" s="83"/>
      <c r="EN5" s="83"/>
      <c r="EO5" s="83"/>
      <c r="EP5" s="83"/>
      <c r="EQ5" s="83"/>
      <c r="ER5" s="83"/>
      <c r="ES5" s="83"/>
      <c r="ET5" s="83"/>
      <c r="EU5" s="83"/>
      <c r="EV5" s="83"/>
      <c r="EW5" s="83"/>
      <c r="EX5" s="83"/>
      <c r="EY5" s="83"/>
      <c r="EZ5" s="83"/>
      <c r="FA5" s="83"/>
      <c r="FB5" s="83"/>
      <c r="FC5" s="83"/>
      <c r="FD5" s="83"/>
      <c r="FE5" s="83"/>
      <c r="FF5" s="83"/>
      <c r="FG5" s="83"/>
      <c r="FH5" s="83"/>
      <c r="FI5" s="83"/>
      <c r="FJ5" s="83"/>
      <c r="FK5" s="83"/>
      <c r="FL5" s="83"/>
      <c r="FM5" s="83"/>
      <c r="FN5" s="83"/>
      <c r="FO5" s="83"/>
      <c r="FP5" s="83"/>
      <c r="FQ5" s="83"/>
      <c r="FR5" s="83"/>
      <c r="FS5" s="83"/>
      <c r="FT5" s="83"/>
      <c r="FU5" s="83"/>
      <c r="FV5" s="83"/>
      <c r="FW5" s="83"/>
      <c r="FX5" s="83"/>
      <c r="FY5" s="83"/>
      <c r="FZ5" s="83"/>
      <c r="GA5" s="83"/>
      <c r="GB5" s="83"/>
      <c r="GC5" s="83"/>
      <c r="GD5" s="83"/>
      <c r="GE5" s="83"/>
      <c r="GF5" s="83"/>
      <c r="GG5" s="83"/>
      <c r="GH5" s="83"/>
      <c r="GI5" s="83"/>
      <c r="GJ5" s="83"/>
      <c r="GK5" s="83"/>
      <c r="GL5" s="83"/>
      <c r="GM5" s="83"/>
      <c r="GN5" s="83"/>
      <c r="GO5" s="83"/>
      <c r="GP5" s="83"/>
      <c r="GQ5" s="83"/>
      <c r="GR5" s="83"/>
      <c r="GS5" s="83"/>
      <c r="GT5" s="83"/>
      <c r="GU5" s="83"/>
      <c r="GV5" s="83"/>
      <c r="GW5" s="83"/>
      <c r="GX5" s="83"/>
      <c r="GY5" s="83"/>
      <c r="GZ5" s="83"/>
      <c r="HA5" s="83"/>
      <c r="HB5" s="83"/>
      <c r="HC5" s="83"/>
      <c r="HD5" s="83"/>
      <c r="HE5" s="83"/>
      <c r="HF5" s="83"/>
      <c r="HG5" s="83"/>
      <c r="HH5" s="83"/>
      <c r="HI5" s="83"/>
      <c r="HJ5" s="83"/>
      <c r="HK5" s="83"/>
      <c r="HL5" s="83"/>
      <c r="HM5" s="83"/>
      <c r="HN5" s="83"/>
      <c r="HO5" s="83"/>
      <c r="HP5" s="83"/>
      <c r="HQ5" s="83"/>
      <c r="HR5" s="83"/>
      <c r="HS5" s="83"/>
      <c r="HT5" s="83"/>
      <c r="HU5" s="83"/>
      <c r="HV5" s="83"/>
      <c r="HW5" s="83"/>
      <c r="HX5" s="83"/>
      <c r="HY5" s="83"/>
      <c r="HZ5" s="83"/>
      <c r="IA5" s="83"/>
      <c r="IB5" s="83"/>
      <c r="IC5" s="83"/>
      <c r="ID5" s="83"/>
      <c r="IE5" s="83"/>
      <c r="IF5" s="83"/>
      <c r="IG5" s="83"/>
      <c r="IH5" s="83"/>
      <c r="II5" s="83"/>
      <c r="IJ5" s="83"/>
      <c r="IK5" s="83"/>
      <c r="IL5" s="83"/>
      <c r="IM5" s="83"/>
      <c r="IN5" s="83"/>
      <c r="IO5" s="83"/>
      <c r="IP5" s="83"/>
      <c r="IQ5" s="83"/>
      <c r="IR5" s="83"/>
      <c r="IS5" s="83"/>
      <c r="IT5" s="83"/>
    </row>
    <row r="6" spans="1:254" ht="15" x14ac:dyDescent="0.15">
      <c r="A6" s="84" t="s">
        <v>166</v>
      </c>
      <c r="B6" s="84" t="s">
        <v>193</v>
      </c>
    </row>
    <row r="7" spans="1:254" ht="12" customHeight="1" x14ac:dyDescent="0.15">
      <c r="A7" s="84" t="s">
        <v>177</v>
      </c>
      <c r="B7" s="87" t="s">
        <v>194</v>
      </c>
    </row>
    <row r="8" spans="1:254" ht="12" customHeight="1" x14ac:dyDescent="0.15">
      <c r="A8" s="84" t="s">
        <v>178</v>
      </c>
      <c r="B8" s="87" t="s">
        <v>195</v>
      </c>
    </row>
    <row r="9" spans="1:254" ht="12" customHeight="1" x14ac:dyDescent="0.15">
      <c r="A9" s="84" t="s">
        <v>179</v>
      </c>
      <c r="B9" s="87" t="s">
        <v>196</v>
      </c>
    </row>
    <row r="10" spans="1:254" ht="12" customHeight="1" x14ac:dyDescent="0.15">
      <c r="A10" s="84" t="s">
        <v>180</v>
      </c>
      <c r="B10" s="87" t="s">
        <v>197</v>
      </c>
    </row>
    <row r="11" spans="1:254" ht="12" customHeight="1" x14ac:dyDescent="0.15">
      <c r="A11" s="84" t="s">
        <v>181</v>
      </c>
      <c r="B11" s="87" t="s">
        <v>198</v>
      </c>
    </row>
    <row r="12" spans="1:254" ht="12" customHeight="1" x14ac:dyDescent="0.15">
      <c r="A12" s="84" t="s">
        <v>182</v>
      </c>
      <c r="B12" s="87" t="s">
        <v>199</v>
      </c>
    </row>
    <row r="13" spans="1:254" ht="12" customHeight="1" x14ac:dyDescent="0.15">
      <c r="A13" s="84" t="s">
        <v>183</v>
      </c>
      <c r="B13" s="87" t="s">
        <v>200</v>
      </c>
    </row>
    <row r="14" spans="1:254" ht="12" customHeight="1" x14ac:dyDescent="0.15">
      <c r="A14" s="84" t="s">
        <v>184</v>
      </c>
      <c r="B14" s="87" t="s">
        <v>201</v>
      </c>
    </row>
    <row r="15" spans="1:254" ht="12" customHeight="1" x14ac:dyDescent="0.15">
      <c r="A15" s="84" t="s">
        <v>185</v>
      </c>
      <c r="B15" s="87" t="s">
        <v>202</v>
      </c>
    </row>
    <row r="16" spans="1:254" ht="12" customHeight="1" x14ac:dyDescent="0.15">
      <c r="A16" s="84" t="s">
        <v>186</v>
      </c>
      <c r="B16" s="87" t="s">
        <v>203</v>
      </c>
    </row>
    <row r="17" spans="1:2" x14ac:dyDescent="0.15">
      <c r="A17" s="85"/>
      <c r="B17" s="85"/>
    </row>
    <row r="18" spans="1:2" x14ac:dyDescent="0.15">
      <c r="A18" s="85"/>
      <c r="B18" s="85"/>
    </row>
    <row r="19" spans="1:2" ht="12" customHeight="1" x14ac:dyDescent="0.15">
      <c r="A19" s="84" t="s">
        <v>187</v>
      </c>
      <c r="B19" s="87" t="s">
        <v>204</v>
      </c>
    </row>
    <row r="20" spans="1:2" x14ac:dyDescent="0.15">
      <c r="A20" s="86"/>
      <c r="B20" s="86"/>
    </row>
    <row r="22" spans="1:2" x14ac:dyDescent="0.15">
      <c r="A22" s="81"/>
    </row>
    <row r="36" spans="1:2" ht="25" customHeight="1" x14ac:dyDescent="0.15">
      <c r="A36" s="594"/>
      <c r="B36" s="595"/>
    </row>
  </sheetData>
  <mergeCells count="1">
    <mergeCell ref="A36:B36"/>
  </mergeCells>
  <phoneticPr fontId="15" type="noConversion"/>
  <pageMargins left="0.2" right="0.2" top="0.5" bottom="0.5" header="0.5" footer="0.5"/>
  <pageSetup fitToWidth="0" fitToHeight="0" orientation="landscape" horizontalDpi="0"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19</vt:i4>
      </vt:variant>
      <vt:variant>
        <vt:lpstr>Named Ranges</vt:lpstr>
      </vt:variant>
      <vt:variant>
        <vt:i4>36</vt:i4>
      </vt:variant>
    </vt:vector>
  </HeadingPairs>
  <TitlesOfParts>
    <vt:vector size="55" baseType="lpstr">
      <vt:lpstr>Cover Page</vt:lpstr>
      <vt:lpstr>Currency Exchange</vt:lpstr>
      <vt:lpstr>Valuation Conclusion (USD)</vt:lpstr>
      <vt:lpstr>Proforma Statements</vt:lpstr>
      <vt:lpstr>Input Data</vt:lpstr>
      <vt:lpstr>Combination Financing</vt:lpstr>
      <vt:lpstr>Income Approach wo Synergies</vt:lpstr>
      <vt:lpstr>Income Approach with Synergies</vt:lpstr>
      <vt:lpstr>Terminal Growth</vt:lpstr>
      <vt:lpstr>Combination Analysis</vt:lpstr>
      <vt:lpstr>Market Approach</vt:lpstr>
      <vt:lpstr>Financial Statement Ratios</vt:lpstr>
      <vt:lpstr>WACC</vt:lpstr>
      <vt:lpstr>Cost of Equity</vt:lpstr>
      <vt:lpstr>Cost of Debt</vt:lpstr>
      <vt:lpstr>Statements of Income (Original)</vt:lpstr>
      <vt:lpstr>Balance Sheets (Original)</vt:lpstr>
      <vt:lpstr>Cash Flow (Original)</vt:lpstr>
      <vt:lpstr>Business Description</vt:lpstr>
      <vt:lpstr>adjustCA</vt:lpstr>
      <vt:lpstr>adjustdeftax</vt:lpstr>
      <vt:lpstr>adjustdepreciation</vt:lpstr>
      <vt:lpstr>adjustintexp</vt:lpstr>
      <vt:lpstr>adjustINV</vt:lpstr>
      <vt:lpstr>adjustLTD</vt:lpstr>
      <vt:lpstr>adjustothltl</vt:lpstr>
      <vt:lpstr>adjustUP</vt:lpstr>
      <vt:lpstr>BuyerShares</vt:lpstr>
      <vt:lpstr>cashused</vt:lpstr>
      <vt:lpstr>cegom</vt:lpstr>
      <vt:lpstr>goodwill</vt:lpstr>
      <vt:lpstr>goodwillexps</vt:lpstr>
      <vt:lpstr>incrintexps</vt:lpstr>
      <vt:lpstr>mergefees</vt:lpstr>
      <vt:lpstr>newequity</vt:lpstr>
      <vt:lpstr>newLTD</vt:lpstr>
      <vt:lpstr>newshares</vt:lpstr>
      <vt:lpstr>newtaxrate</vt:lpstr>
      <vt:lpstr>omperc</vt:lpstr>
      <vt:lpstr>'Combination Analysis'!Print_Area</vt:lpstr>
      <vt:lpstr>'Combination Financing'!Print_Area</vt:lpstr>
      <vt:lpstr>'Input Data'!Print_Area</vt:lpstr>
      <vt:lpstr>'Cost of Debt'!Print_Titles</vt:lpstr>
      <vt:lpstr>print50Epurch</vt:lpstr>
      <vt:lpstr>printxpurch</vt:lpstr>
      <vt:lpstr>projname</vt:lpstr>
      <vt:lpstr>purchaseprice</vt:lpstr>
      <vt:lpstr>revenuesynergy</vt:lpstr>
      <vt:lpstr>synergy</vt:lpstr>
      <vt:lpstr>Targco</vt:lpstr>
      <vt:lpstr>targcoprice</vt:lpstr>
      <vt:lpstr>targcoshares</vt:lpstr>
      <vt:lpstr>targdivgrow</vt:lpstr>
      <vt:lpstr>targgrowth</vt:lpstr>
      <vt:lpstr>year1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Chengyi Xu</dc:creator>
  <cp:lastModifiedBy>Chengyi Xu</cp:lastModifiedBy>
  <dcterms:created xsi:type="dcterms:W3CDTF">2023-04-09T16:52:31Z</dcterms:created>
  <dcterms:modified xsi:type="dcterms:W3CDTF">2023-05-18T16:46:32Z</dcterms:modified>
</cp:coreProperties>
</file>