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threadedComments/threadedComment1.xml" ContentType="application/vnd.ms-excel.threadedcomments+xml"/>
  <Override PartName="/xl/drawings/drawing10.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threadedComments/threadedComment2.xml" ContentType="application/vnd.ms-excel.threadedcomments+xml"/>
  <Override PartName="/xl/drawings/drawing11.xml" ContentType="application/vnd.openxmlformats-officedocument.drawing+xml"/>
  <Override PartName="/xl/drawings/drawing12.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3"/>
  <workbookPr codeName="ThisWorkbook" defaultThemeVersion="166925"/>
  <mc:AlternateContent xmlns:mc="http://schemas.openxmlformats.org/markup-compatibility/2006">
    <mc:Choice Requires="x15">
      <x15ac:absPath xmlns:x15ac="http://schemas.microsoft.com/office/spreadsheetml/2010/11/ac" url="/Users/chengyixu/Desktop/JHU/Spring 2/FMV/FMV Project/deliverable c/"/>
    </mc:Choice>
  </mc:AlternateContent>
  <xr:revisionPtr revIDLastSave="0" documentId="13_ncr:1_{808BB601-56C1-B942-BCE4-39BBF9E34790}" xr6:coauthVersionLast="47" xr6:coauthVersionMax="47" xr10:uidLastSave="{00000000-0000-0000-0000-000000000000}"/>
  <bookViews>
    <workbookView xWindow="120" yWindow="1040" windowWidth="28740" windowHeight="17200" tabRatio="722" firstSheet="15" activeTab="24" xr2:uid="{6BEF2778-F456-4441-A509-566EE3E79EA3}"/>
  </bookViews>
  <sheets>
    <sheet name="Cover Page" sheetId="10" r:id="rId1"/>
    <sheet name="Revision Memo" sheetId="37" r:id="rId2"/>
    <sheet name="Bus Description" sheetId="22" r:id="rId3"/>
    <sheet name="IO&amp;CP" sheetId="23" r:id="rId4"/>
    <sheet name="BSori" sheetId="4" r:id="rId5"/>
    <sheet name="ISori" sheetId="5" r:id="rId6"/>
    <sheet name="CFori" sheetId="8" r:id="rId7"/>
    <sheet name="BSmod" sheetId="16" r:id="rId8"/>
    <sheet name="ISmod" sheetId="17" r:id="rId9"/>
    <sheet name="Finratios" sheetId="24" r:id="rId10"/>
    <sheet name="Final Valuation Conclusion" sheetId="59" r:id="rId11"/>
    <sheet name="Valuation Conclusion Risks" sheetId="54" r:id="rId12"/>
    <sheet name="Pessimistic Report" sheetId="57" r:id="rId13"/>
    <sheet name="Optimistic Report" sheetId="56" r:id="rId14"/>
    <sheet name="Neutral Report" sheetId="55" r:id="rId15"/>
    <sheet name="Valuation Conclusion (2)" sheetId="58" state="hidden" r:id="rId16"/>
    <sheet name="Valuation Conclusion" sheetId="38" state="hidden" r:id="rId17"/>
    <sheet name="CB_DATA_" sheetId="40" state="veryHidden" r:id="rId18"/>
    <sheet name="FULL Proforma_Revised &amp; DCF" sheetId="31" r:id="rId19"/>
    <sheet name="FULL Proforma_Revised&amp;DCF RISKS" sheetId="39" r:id="rId20"/>
    <sheet name="Full Report" sheetId="45" r:id="rId21"/>
    <sheet name="Simple Proforma DCF Approach" sheetId="34" r:id="rId22"/>
    <sheet name="Simple Proforma Risks Crystal" sheetId="42" r:id="rId23"/>
    <sheet name="Simple Report" sheetId="44" r:id="rId24"/>
    <sheet name="Multiples Valuation" sheetId="26" r:id="rId25"/>
    <sheet name="Multiples Valuation Crystal" sheetId="46" r:id="rId26"/>
    <sheet name="Multiple Report" sheetId="47" r:id="rId27"/>
    <sheet name="WACC" sheetId="33" r:id="rId28"/>
    <sheet name="Revenue Growth" sheetId="20" r:id="rId29"/>
    <sheet name="Tax Rate" sheetId="12" r:id="rId30"/>
    <sheet name="Ex1. Population growth &amp; est" sheetId="25" r:id="rId31"/>
    <sheet name="xcyAccounting approach" sheetId="28" state="hidden" r:id="rId32"/>
    <sheet name="Isproforma_old" sheetId="19" r:id="rId33"/>
    <sheet name="Bsproforma_old" sheetId="21" r:id="rId34"/>
    <sheet name="risks" sheetId="60" state="hidden" r:id="rId35"/>
    <sheet name="zzyAccounting approach" sheetId="35" state="hidden" r:id="rId36"/>
    <sheet name="zzyEfficient market approach" sheetId="36" state="hidden" r:id="rId37"/>
  </sheets>
  <definedNames>
    <definedName name="CB_039f25f2939242bf85384fd1890ff09b" localSheetId="19" hidden="1">'FULL Proforma_Revised&amp;DCF RISKS'!$F$127</definedName>
    <definedName name="CB_04b68bc54cb1436582a39ceea92d781d" localSheetId="19" hidden="1">'FULL Proforma_Revised&amp;DCF RISKS'!$B$125</definedName>
    <definedName name="CB_0779a3a495de4f3dae1892ca07d0fa98" localSheetId="19" hidden="1">'FULL Proforma_Revised&amp;DCF RISKS'!$U$64</definedName>
    <definedName name="CB_0857cf0a0ba946ecb0890a4371b95243" localSheetId="19" hidden="1">'FULL Proforma_Revised&amp;DCF RISKS'!$F$128</definedName>
    <definedName name="CB_0d3eba1bb5a14718a0e5f14291d0780e" localSheetId="19" hidden="1">'FULL Proforma_Revised&amp;DCF RISKS'!$U$60</definedName>
    <definedName name="CB_0d7a0b33f9454a3693f31b813c1bff93" localSheetId="19" hidden="1">'FULL Proforma_Revised&amp;DCF RISKS'!$U$86</definedName>
    <definedName name="CB_0e81a60727184dd1b0fd45f5411dbeed" localSheetId="19" hidden="1">'FULL Proforma_Revised&amp;DCF RISKS'!$W$40</definedName>
    <definedName name="CB_0ef913afa41246d29c547655f232a797" localSheetId="19" hidden="1">'FULL Proforma_Revised&amp;DCF RISKS'!$H$127</definedName>
    <definedName name="CB_147c729989d74390b87cf6e45941b8cb" localSheetId="19" hidden="1">'FULL Proforma_Revised&amp;DCF RISKS'!$U$83</definedName>
    <definedName name="CB_186448e4342f4d4c98bdd687ddd064cd" localSheetId="25" hidden="1">'Multiples Valuation Crystal'!$C$64</definedName>
    <definedName name="CB_19d431de0bcf4c42b7a904b4f7bf926b" localSheetId="19" hidden="1">'FULL Proforma_Revised&amp;DCF RISKS'!$U$52</definedName>
    <definedName name="CB_1aa64d1f9b7742caa53ceb1726d27d94" localSheetId="25" hidden="1">'Multiples Valuation Crystal'!$E$59</definedName>
    <definedName name="CB_1bf2f8398c6c4618a4d6b3e77621d712" localSheetId="17" hidden="1">#N/A</definedName>
    <definedName name="CB_1ca0d76421e74d65a17b9cc241802f12" localSheetId="19" hidden="1">'FULL Proforma_Revised&amp;DCF RISKS'!$U$40</definedName>
    <definedName name="CB_1ccf982e32584c80a8951ccf8cfc23f4" localSheetId="19" hidden="1">'FULL Proforma_Revised&amp;DCF RISKS'!$W$37</definedName>
    <definedName name="CB_224cdb65f0804fb9a64ceec0adca9721" localSheetId="19" hidden="1">'FULL Proforma_Revised&amp;DCF RISKS'!$U$72</definedName>
    <definedName name="CB_23ba9027244f44b19c296431424e77bf" localSheetId="19" hidden="1">'FULL Proforma_Revised&amp;DCF RISKS'!$U$54</definedName>
    <definedName name="CB_2acf480036034d06a8f94a7eec35a482" localSheetId="17" hidden="1">#N/A</definedName>
    <definedName name="CB_363e6250dddf4939bed5ab487bb33407" localSheetId="19" hidden="1">'FULL Proforma_Revised&amp;DCF RISKS'!$U$93</definedName>
    <definedName name="CB_383adaaab5ae440f9ebb75f6bc7d0e75" localSheetId="19" hidden="1">'FULL Proforma_Revised&amp;DCF RISKS'!$W$33</definedName>
    <definedName name="CB_38e2c263e918424490344efd9b49c8ef" localSheetId="22" hidden="1">'Simple Proforma Risks Crystal'!$E$12</definedName>
    <definedName name="CB_3a260bd64e8f4f2cb450b9ae902427e8" localSheetId="19" hidden="1">'FULL Proforma_Revised&amp;DCF RISKS'!$U$84</definedName>
    <definedName name="CB_3faf0c62f18c4d7793f8a92a13e5eb9a" localSheetId="19" hidden="1">'FULL Proforma_Revised&amp;DCF RISKS'!$U$43</definedName>
    <definedName name="CB_421d8f2f92a34d8792975826e773f988" localSheetId="10" hidden="1">'Final Valuation Conclusion'!$E$14</definedName>
    <definedName name="CB_421d8f2f92a34d8792975826e773f988" localSheetId="11" hidden="1">'Valuation Conclusion Risks'!$E$15</definedName>
    <definedName name="CB_46ae216656944019806290b9d53504ff" localSheetId="22" hidden="1">'Simple Proforma Risks Crystal'!$D$12</definedName>
    <definedName name="CB_4a99ae4262234836a20276b6ea06f176" localSheetId="19" hidden="1">'FULL Proforma_Revised&amp;DCF RISKS'!$U$75</definedName>
    <definedName name="CB_4b53152453594193a79ef2f5554e1930" localSheetId="17" hidden="1">#N/A</definedName>
    <definedName name="CB_4e098cadd98947f19617b4b225164d7b" localSheetId="19" hidden="1">'FULL Proforma_Revised&amp;DCF RISKS'!$U$73</definedName>
    <definedName name="CB_4e6b28e3db994490af3847962a96b857" localSheetId="25" hidden="1">'Multiples Valuation Crystal'!$B$65</definedName>
    <definedName name="CB_4fb90a79876e490abc10449dd2218953" localSheetId="19" hidden="1">'FULL Proforma_Revised&amp;DCF RISKS'!$W$46</definedName>
    <definedName name="CB_5152b14826a24c449341bac55e863b85" localSheetId="19" hidden="1">'FULL Proforma_Revised&amp;DCF RISKS'!$U$46</definedName>
    <definedName name="CB_54e51c0e240b457fbba1589c4d9da021" localSheetId="19" hidden="1">'FULL Proforma_Revised&amp;DCF RISKS'!$U$91</definedName>
    <definedName name="CB_54effcfbe5eb463ca94c856a097af29f" localSheetId="17" hidden="1">#N/A</definedName>
    <definedName name="CB_55e7ec5edf47442aa09c0a89dd08ad01" localSheetId="19" hidden="1">'FULL Proforma_Revised&amp;DCF RISKS'!$U$102</definedName>
    <definedName name="CB_56fbee2e7eb84f548c58516dac209fb5" localSheetId="19" hidden="1">'FULL Proforma_Revised&amp;DCF RISKS'!$U$85</definedName>
    <definedName name="CB_5709961408f04b739f8fd53df8a85c49" localSheetId="19" hidden="1">'FULL Proforma_Revised&amp;DCF RISKS'!$H$128</definedName>
    <definedName name="CB_5862caf608234e898b2a570906c2492e" localSheetId="25" hidden="1">'Multiples Valuation Crystal'!$F$64</definedName>
    <definedName name="CB_60f20103fb884403b981c17c35e09fec" localSheetId="19" hidden="1">'FULL Proforma_Revised&amp;DCF RISKS'!$U$44</definedName>
    <definedName name="CB_64ca559ba6bc43faa039f162c56957e2" localSheetId="19" hidden="1">'FULL Proforma_Revised&amp;DCF RISKS'!$U$59</definedName>
    <definedName name="CB_6699f74e87904a288d034ea72e45d7fe" localSheetId="19" hidden="1">'FULL Proforma_Revised&amp;DCF RISKS'!$U$42</definedName>
    <definedName name="CB_680cc081da0d4203b23f8c0976e32b8e" localSheetId="19" hidden="1">'FULL Proforma_Revised&amp;DCF RISKS'!$U$58</definedName>
    <definedName name="CB_6a38188ad83940719abef5cd79aa7843" localSheetId="19" hidden="1">'FULL Proforma_Revised&amp;DCF RISKS'!$U$104</definedName>
    <definedName name="CB_735ab72f69c0440584481a60b0fa624a" localSheetId="19" hidden="1">'FULL Proforma_Revised&amp;DCF RISKS'!$U$105</definedName>
    <definedName name="CB_73d3f73316934515977b569edd90fed9" localSheetId="25" hidden="1">'Multiples Valuation Crystal'!$G$64</definedName>
    <definedName name="CB_751b4456467d4802814612619729d723" localSheetId="19" hidden="1">'FULL Proforma_Revised&amp;DCF RISKS'!$U$35</definedName>
    <definedName name="CB_8081431ad7604d138b1a6e1fc70f2acd" localSheetId="25" hidden="1">'Multiples Valuation Crystal'!$D$64</definedName>
    <definedName name="CB_856366ace0bd4d28a2400417f5f579c1" localSheetId="19" hidden="1">'FULL Proforma_Revised&amp;DCF RISKS'!$U$95</definedName>
    <definedName name="CB_874d8c296d014d0abc6edef250b4a9ef" localSheetId="19" hidden="1">'FULL Proforma_Revised&amp;DCF RISKS'!$U$92</definedName>
    <definedName name="CB_88395881b7ba4169b8f1649c65c067a5" localSheetId="17" hidden="1">#N/A</definedName>
    <definedName name="CB_8a4d440534fe478cb17f0ca61b3339d6" localSheetId="17" hidden="1">#N/A</definedName>
    <definedName name="CB_8e482b0d15a947d9abe9cf38dbb40392" localSheetId="25" hidden="1">'Multiples Valuation Crystal'!$E$64</definedName>
    <definedName name="CB_9570a6a8cc1c4a47b9e67ac25ef424fa" localSheetId="17" hidden="1">#N/A</definedName>
    <definedName name="CB_9cd76d20b82e4abf936626f8f9a162e5" localSheetId="22" hidden="1">'Simple Proforma Risks Crystal'!$D$13</definedName>
    <definedName name="CB_9ea52a8a802c4047887fd5c03d69e85e" localSheetId="19" hidden="1">'FULL Proforma_Revised&amp;DCF RISKS'!$W$36</definedName>
    <definedName name="CB_a60c435026814dc2a0672ce14ed1aa79" localSheetId="19" hidden="1">'FULL Proforma_Revised&amp;DCF RISKS'!$U$74</definedName>
    <definedName name="CB_a706055ccabe4fe38c72b816d95d5462" localSheetId="19" hidden="1">'FULL Proforma_Revised&amp;DCF RISKS'!$U$103</definedName>
    <definedName name="CB_a7088107268b44ee984f195ccb31090a" localSheetId="25" hidden="1">'Multiples Valuation Crystal'!$C$59</definedName>
    <definedName name="CB_aba0d17325fb474f904efae5c3665b80" localSheetId="19" hidden="1">'FULL Proforma_Revised&amp;DCF RISKS'!$B$142</definedName>
    <definedName name="CB_b12edfe84fd547338939d412959e91ee" localSheetId="22" hidden="1">'Simple Proforma Risks Crystal'!$C$31</definedName>
    <definedName name="CB_b663b80a087c40de941a490d51fde52b" localSheetId="19" hidden="1">'FULL Proforma_Revised&amp;DCF RISKS'!$W$35</definedName>
    <definedName name="CB_b8f01803b5784dd599d80cf835943950" localSheetId="19" hidden="1">'FULL Proforma_Revised&amp;DCF RISKS'!$U$33</definedName>
    <definedName name="CB_ba481bb311654d188f1b77d1343f126d" localSheetId="19" hidden="1">'FULL Proforma_Revised&amp;DCF RISKS'!$U$36</definedName>
    <definedName name="CB_bd47674c2cd64e69a8befaa7752ce311" localSheetId="19" hidden="1">'FULL Proforma_Revised&amp;DCF RISKS'!$U$100</definedName>
    <definedName name="CB_Block_00000000000000000000000000000000" localSheetId="17" hidden="1">"'7.0.0.0"</definedName>
    <definedName name="CB_Block_00000000000000000000000000000000" localSheetId="10" hidden="1">"'7.0.0.0"</definedName>
    <definedName name="CB_Block_00000000000000000000000000000000" localSheetId="19" hidden="1">"'7.0.0.0"</definedName>
    <definedName name="CB_Block_00000000000000000000000000000000" localSheetId="25" hidden="1">"'7.0.0.0"</definedName>
    <definedName name="CB_Block_00000000000000000000000000000000" localSheetId="22" hidden="1">"'7.0.0.0"</definedName>
    <definedName name="CB_Block_00000000000000000000000000000000" localSheetId="11" hidden="1">"'7.0.0.0"</definedName>
    <definedName name="CB_Block_00000000000000000000000000000001" localSheetId="17" hidden="1">"'638189321940043119"</definedName>
    <definedName name="CB_Block_00000000000000000000000000000001" localSheetId="10" hidden="1">"'638189321940043119"</definedName>
    <definedName name="CB_Block_00000000000000000000000000000001" localSheetId="19" hidden="1">"'638189321939893113"</definedName>
    <definedName name="CB_Block_00000000000000000000000000000001" localSheetId="25" hidden="1">"'638189321939593092"</definedName>
    <definedName name="CB_Block_00000000000000000000000000000001" localSheetId="22" hidden="1">"'638189321940193098"</definedName>
    <definedName name="CB_Block_00000000000000000000000000000001" localSheetId="11" hidden="1">"'638189321940043119"</definedName>
    <definedName name="CB_Block_00000000000000000000000000000003" localSheetId="17" hidden="1">"'11.1.4716.0"</definedName>
    <definedName name="CB_Block_00000000000000000000000000000003" localSheetId="10" hidden="1">"'11.1.4716.0"</definedName>
    <definedName name="CB_Block_00000000000000000000000000000003" localSheetId="19" hidden="1">"'11.1.4716.0"</definedName>
    <definedName name="CB_Block_00000000000000000000000000000003" localSheetId="25" hidden="1">"'11.1.4716.0"</definedName>
    <definedName name="CB_Block_00000000000000000000000000000003" localSheetId="22" hidden="1">"'11.1.4716.0"</definedName>
    <definedName name="CB_Block_00000000000000000000000000000003" localSheetId="11" hidden="1">"'11.1.4716.0"</definedName>
    <definedName name="CB_BlockExt_00000000000000000000000000000003" localSheetId="17" hidden="1">"'11.1.2.4.850"</definedName>
    <definedName name="CB_BlockExt_00000000000000000000000000000003" localSheetId="10" hidden="1">"'11.1.2.4.850"</definedName>
    <definedName name="CB_BlockExt_00000000000000000000000000000003" localSheetId="19" hidden="1">"'11.1.2.4.850"</definedName>
    <definedName name="CB_BlockExt_00000000000000000000000000000003" localSheetId="25" hidden="1">"'11.1.2.4.850"</definedName>
    <definedName name="CB_BlockExt_00000000000000000000000000000003" localSheetId="22" hidden="1">"'11.1.2.4.850"</definedName>
    <definedName name="CB_BlockExt_00000000000000000000000000000003" localSheetId="11" hidden="1">"'11.1.2.4.850"</definedName>
    <definedName name="CB_c031e050755c4efbacde4348080fbeb6" localSheetId="19" hidden="1">'FULL Proforma_Revised&amp;DCF RISKS'!$U$34</definedName>
    <definedName name="CB_c2f911d4c02c4e6e89238d6f6f7ebf34" localSheetId="25" hidden="1">'Multiples Valuation Crystal'!$B$64</definedName>
    <definedName name="CB_c31265a27f7e46de9dfff4860464dd42" localSheetId="22" hidden="1">'Simple Proforma Risks Crystal'!$C$19</definedName>
    <definedName name="CB_c4cb69f4017e4c1f95e99985a4202e85" localSheetId="19" hidden="1">'FULL Proforma_Revised&amp;DCF RISKS'!$U$66</definedName>
    <definedName name="CB_c89b6ead338242ebb2ed169b6d99e66a" localSheetId="17" hidden="1">#N/A</definedName>
    <definedName name="CB_ca02f8abb6f349aaaf19ad9b143d3349" localSheetId="17" hidden="1">#N/A</definedName>
    <definedName name="CB_cd285077796f4915bbcd8a23408a6d7e" localSheetId="19" hidden="1">'FULL Proforma_Revised&amp;DCF RISKS'!$U$53</definedName>
    <definedName name="CB_ce1d75f04ec64db0ac46e747a202dad3" localSheetId="25" hidden="1">'Multiples Valuation Crystal'!$B$59</definedName>
    <definedName name="CB_ce8d57c4ba16431dbc72b37f338a3feb" localSheetId="10" hidden="1">'Final Valuation Conclusion'!$B$18</definedName>
    <definedName name="CB_ce8d57c4ba16431dbc72b37f338a3feb" localSheetId="11" hidden="1">'Valuation Conclusion Risks'!$B$18</definedName>
    <definedName name="CB_cea8a6c33b31417d8eb74c68b0802f44" localSheetId="19" hidden="1">'FULL Proforma_Revised&amp;DCF RISKS'!$W$41</definedName>
    <definedName name="CB_d668476e3c1a47bebfecf184e4e2b9d5" localSheetId="10" hidden="1">'Final Valuation Conclusion'!$E$12</definedName>
    <definedName name="CB_d668476e3c1a47bebfecf184e4e2b9d5" localSheetId="11" hidden="1">'Valuation Conclusion Risks'!$E$13</definedName>
    <definedName name="CB_d6e669c934b8478ea38d076c66dd2972" localSheetId="25" hidden="1">'Multiples Valuation Crystal'!$F$59</definedName>
    <definedName name="CB_deaaaa09224949638be6ca5dabf355c9" localSheetId="19" hidden="1">'FULL Proforma_Revised&amp;DCF RISKS'!$U$94</definedName>
    <definedName name="CB_dedef49391ab43398c74e9d0876cbde7" localSheetId="19" hidden="1">'FULL Proforma_Revised&amp;DCF RISKS'!$U$41</definedName>
    <definedName name="CB_e282f40c4d5740aabc25ff1a373db3c3" localSheetId="19" hidden="1">'FULL Proforma_Revised&amp;DCF RISKS'!$W$42</definedName>
    <definedName name="CB_e4e60cda2602451684e7442253ca7f58" localSheetId="19" hidden="1">'FULL Proforma_Revised&amp;DCF RISKS'!$W$43</definedName>
    <definedName name="CB_e5a87982707847f28e3705f158aa1875" localSheetId="19" hidden="1">'FULL Proforma_Revised&amp;DCF RISKS'!$G$127</definedName>
    <definedName name="CB_eba68e8736b846d49a46775e9312af1c" localSheetId="19" hidden="1">'FULL Proforma_Revised&amp;DCF RISKS'!$U$61</definedName>
    <definedName name="CB_ebdd0a16f0d0445a8999c8133062c8f5" localSheetId="19" hidden="1">'FULL Proforma_Revised&amp;DCF RISKS'!$U$37</definedName>
    <definedName name="CB_ec494772dddc44aa9cf18fec81701dab" localSheetId="19" hidden="1">'FULL Proforma_Revised&amp;DCF RISKS'!$U$51</definedName>
    <definedName name="CB_ee3d141743b14b2ba6618fdb45d71d31" localSheetId="22" hidden="1">'Simple Proforma Risks Crystal'!$E$13</definedName>
    <definedName name="CB_ee4657114ab14ded96faf37d80e6a7df" localSheetId="19" hidden="1">'FULL Proforma_Revised&amp;DCF RISKS'!$U$71</definedName>
    <definedName name="CB_f4110a42e35444afbe006162dd5a1561" localSheetId="19" hidden="1">'FULL Proforma_Revised&amp;DCF RISKS'!$U$65</definedName>
    <definedName name="CB_f445946b53d94671a60b5acd9d84af12" localSheetId="22" hidden="1">'Simple Proforma Risks Crystal'!$C$13</definedName>
    <definedName name="CB_f559025cd30b45f7b5a9fe90b75898d5" localSheetId="19" hidden="1">'FULL Proforma_Revised&amp;DCF RISKS'!$U$82</definedName>
    <definedName name="CB_f83f04c4105c4bf5b1a7dc685632fe4d" localSheetId="19" hidden="1">'FULL Proforma_Revised&amp;DCF RISKS'!$W$34</definedName>
    <definedName name="CB_f96235a2f5d94a1e84bd19e9b2539526" localSheetId="22" hidden="1">'Simple Proforma Risks Crystal'!$C$12</definedName>
    <definedName name="CB_fb31a059f33d4f6ea68f907d17520a77" localSheetId="25" hidden="1">'Multiples Valuation Crystal'!$D$59</definedName>
    <definedName name="CB_fcb5f2fe1ace491d87846b441ecbfb10" localSheetId="19" hidden="1">'FULL Proforma_Revised&amp;DCF RISKS'!$W$44</definedName>
    <definedName name="CB_fddedf65443e48bea2b6cb3858df964b" localSheetId="25" hidden="1">'Multiples Valuation Crystal'!$G$59</definedName>
    <definedName name="CB_fe92875a374041ad9b085084db3d6f50" localSheetId="19" hidden="1">'FULL Proforma_Revised&amp;DCF RISKS'!$G$128</definedName>
    <definedName name="CBCR_28c779cd23074028bf8f33bc3d6bc4c3" localSheetId="25" hidden="1">'Multiples Valuation Crystal'!$E$55</definedName>
    <definedName name="CBCR_4dd5fec5d22e43059febe65e0d66320d" localSheetId="25" hidden="1">'Multiples Valuation Crystal'!$F$55</definedName>
    <definedName name="CBCR_50b8d988641d4f38833a53d1b4b58734" localSheetId="25" hidden="1">'Multiples Valuation Crystal'!$G$52</definedName>
    <definedName name="CBCR_680a69d3b4864a468f27ed36ffe11865" localSheetId="25" hidden="1">'Multiples Valuation Crystal'!$F$54</definedName>
    <definedName name="CBCR_6b1b0658d6a44f35ad43ab1f85bd7cb0" localSheetId="25" hidden="1">'Multiples Valuation Crystal'!$D$55</definedName>
    <definedName name="CBCR_7bfca204593d49aebb8460a5fbcb65fa" localSheetId="25" hidden="1">'Multiples Valuation Crystal'!$D$54</definedName>
    <definedName name="CBCR_bc91d2a4947942a0b0e687298dcc03b4" localSheetId="25" hidden="1">'Multiples Valuation Crystal'!$G$51</definedName>
    <definedName name="CBCR_eb482e0fb8f4430791ed368c88553273" localSheetId="25" hidden="1">'Multiples Valuation Crystal'!$E$54</definedName>
    <definedName name="CBCR_fc30bd4aca1546fcb26a87990a963c42" localSheetId="25" hidden="1">'Multiples Valuation Crystal'!$C$47</definedName>
    <definedName name="CBWorkbookPriority" localSheetId="17" hidden="1">-2690464735679370</definedName>
    <definedName name="CBx_0f2616d27fd24520a4ad0a22e9fe265a" localSheetId="17" hidden="1">"'Multiples Valuation Crystal'!$A$1"</definedName>
    <definedName name="CBx_28609387c191429282cfdd8e26e1a58c" localSheetId="17" hidden="1">"'Valuation Conclusion Risks'!$A$1"</definedName>
    <definedName name="CBx_4495611deca14fdd94176ff96ddb9d04" localSheetId="17" hidden="1">"'FULL Proforma_Revised&amp;DCF RISKS'!$A$1"</definedName>
    <definedName name="CBx_5b2d491c2d654983a9d9084dde80f0d5" localSheetId="17" hidden="1">"'Simple Proforma Risks Crystal'!$A$1"</definedName>
    <definedName name="CBx_96330f8ead474389b57e19df84511ff4" localSheetId="17" hidden="1">"'CB_DATA_'!$A$1"</definedName>
    <definedName name="CBx_cf19a37ea64f4360acdcfe66ef456150" localSheetId="17" hidden="1">"'Valuation Conclusion RISKS'!$A$1"</definedName>
    <definedName name="CBx_Sheet_Guid" localSheetId="17" hidden="1">"'96330f8e-ad47-4389-b57e-19df84511ff4"</definedName>
    <definedName name="CBx_Sheet_Guid" localSheetId="10" hidden="1">"'28609387-c191-4292-82cf-dd8e26e1a58c"</definedName>
    <definedName name="CBx_Sheet_Guid" localSheetId="19" hidden="1">"'4495611d-eca1-4fdd-9417-6ff96ddb9d04"</definedName>
    <definedName name="CBx_Sheet_Guid" localSheetId="25" hidden="1">"'0f2616d2-7fd2-4520-a4ad-0a22e9fe265a"</definedName>
    <definedName name="CBx_Sheet_Guid" localSheetId="22" hidden="1">"'5b2d491c-2d65-4983-a9d9-084dde80f0d5"</definedName>
    <definedName name="CBx_Sheet_Guid" localSheetId="11" hidden="1">"'28609387-c191-4292-82cf-dd8e26e1a58c"</definedName>
    <definedName name="CBx_SheetRef" localSheetId="17" hidden="1">CB_DATA_!$A$14</definedName>
    <definedName name="CBx_SheetRef" localSheetId="10" hidden="1">CB_DATA_!$F$14</definedName>
    <definedName name="CBx_SheetRef" localSheetId="19" hidden="1">CB_DATA_!$B$14</definedName>
    <definedName name="CBx_SheetRef" localSheetId="25" hidden="1">CB_DATA_!$D$14</definedName>
    <definedName name="CBx_SheetRef" localSheetId="22" hidden="1">CB_DATA_!$C$14</definedName>
    <definedName name="CBx_SheetRef" localSheetId="11" hidden="1">CB_DATA_!$F$14</definedName>
    <definedName name="CBx_StorageType" localSheetId="17" hidden="1">2</definedName>
    <definedName name="CBx_StorageType" localSheetId="10" hidden="1">2</definedName>
    <definedName name="CBx_StorageType" localSheetId="19" hidden="1">2</definedName>
    <definedName name="CBx_StorageType" localSheetId="25" hidden="1">2</definedName>
    <definedName name="CBx_StorageType" localSheetId="22" hidden="1">2</definedName>
    <definedName name="CBx_StorageType" localSheetId="11" hidden="1">2</definedName>
    <definedName name="_xlnm.Print_Area" localSheetId="20">'Full Report'!$A$1:$J$692</definedName>
    <definedName name="_xlnm.Print_Area" localSheetId="26">'Multiple Report'!$A$1:$J$1087</definedName>
    <definedName name="_xlnm.Print_Area" localSheetId="14">'Neutral Report'!$A$1:$J$1328</definedName>
    <definedName name="_xlnm.Print_Area" localSheetId="13">'Optimistic Report'!$A$1:$J$1356</definedName>
    <definedName name="_xlnm.Print_Area" localSheetId="23">'Simple Report'!$A$1:$J$891</definedName>
    <definedName name="_xlnm.Print_Titles" localSheetId="24">'Multiples Valuation'!#REF!</definedName>
    <definedName name="_xlnm.Print_Titles" localSheetId="25">'Multiples Valuation Crystal'!#REF!</definedName>
    <definedName name="solver_adj" localSheetId="33" hidden="1">Bsproforma_old!$N$64</definedName>
    <definedName name="solver_cvg" localSheetId="33" hidden="1">0.0001</definedName>
    <definedName name="solver_drv" localSheetId="33" hidden="1">1</definedName>
    <definedName name="solver_eng" localSheetId="33" hidden="1">3</definedName>
    <definedName name="solver_itr" localSheetId="33" hidden="1">2147483647</definedName>
    <definedName name="solver_lin" localSheetId="33" hidden="1">2</definedName>
    <definedName name="solver_mip" localSheetId="33" hidden="1">2147483647</definedName>
    <definedName name="solver_mni" localSheetId="33" hidden="1">30</definedName>
    <definedName name="solver_mrt" localSheetId="33" hidden="1">0.075</definedName>
    <definedName name="solver_msl" localSheetId="33" hidden="1">2</definedName>
    <definedName name="solver_neg" localSheetId="33" hidden="1">1</definedName>
    <definedName name="solver_nod" localSheetId="33" hidden="1">2147483647</definedName>
    <definedName name="solver_num" localSheetId="33" hidden="1">0</definedName>
    <definedName name="solver_opt" localSheetId="33" hidden="1">Bsproforma_old!$Q$69</definedName>
    <definedName name="solver_pre" localSheetId="33" hidden="1">0.000001</definedName>
    <definedName name="solver_rbv" localSheetId="33" hidden="1">1</definedName>
    <definedName name="solver_rlx" localSheetId="33" hidden="1">2</definedName>
    <definedName name="solver_rsd" localSheetId="33" hidden="1">0</definedName>
    <definedName name="solver_scl" localSheetId="33" hidden="1">1</definedName>
    <definedName name="solver_sho" localSheetId="33" hidden="1">2</definedName>
    <definedName name="solver_ssz" localSheetId="33" hidden="1">100</definedName>
    <definedName name="solver_tim" localSheetId="33" hidden="1">2147483647</definedName>
    <definedName name="solver_tol" localSheetId="33" hidden="1">0.01</definedName>
    <definedName name="solver_typ" localSheetId="33" hidden="1">3</definedName>
    <definedName name="solver_val" localSheetId="33" hidden="1">29313.11</definedName>
    <definedName name="solver_ver" localSheetId="33" hidden="1">2</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195" i="23" l="1"/>
  <c r="AM191" i="23"/>
  <c r="AM190" i="23"/>
  <c r="AM189" i="23"/>
  <c r="AM188" i="23"/>
  <c r="AM187" i="23"/>
  <c r="AM186" i="23"/>
  <c r="AM183" i="23"/>
  <c r="AL183" i="23"/>
  <c r="AK183" i="23"/>
  <c r="AJ183" i="23"/>
  <c r="AI183" i="23"/>
  <c r="AH183" i="23"/>
  <c r="AL181" i="23"/>
  <c r="AK181" i="23"/>
  <c r="AJ181" i="23"/>
  <c r="AI181" i="23"/>
  <c r="AH181" i="23"/>
  <c r="AL180" i="23"/>
  <c r="AK180" i="23"/>
  <c r="AJ180" i="23"/>
  <c r="AI180" i="23"/>
  <c r="AH180" i="23"/>
  <c r="AL179" i="23"/>
  <c r="AK179" i="23"/>
  <c r="AJ179" i="23"/>
  <c r="AI179" i="23"/>
  <c r="AH179" i="23"/>
  <c r="AL178" i="23"/>
  <c r="AK178" i="23"/>
  <c r="AJ178" i="23"/>
  <c r="AI178" i="23"/>
  <c r="AH178" i="23"/>
  <c r="AL177" i="23"/>
  <c r="AK177" i="23"/>
  <c r="AJ177" i="23"/>
  <c r="AI177" i="23"/>
  <c r="AH177" i="23"/>
  <c r="AL176" i="23"/>
  <c r="AK176" i="23"/>
  <c r="AJ176" i="23"/>
  <c r="AI176" i="23"/>
  <c r="AH176" i="23"/>
  <c r="AL175" i="23"/>
  <c r="AK175" i="23"/>
  <c r="AJ175" i="23"/>
  <c r="AI175" i="23"/>
  <c r="AH175" i="23"/>
  <c r="AL174" i="23"/>
  <c r="AK174" i="23"/>
  <c r="AJ174" i="23"/>
  <c r="AI174" i="23"/>
  <c r="AH174" i="23"/>
  <c r="AL173" i="23"/>
  <c r="AK173" i="23"/>
  <c r="AJ173" i="23"/>
  <c r="AI173" i="23"/>
  <c r="AH173" i="23"/>
  <c r="AL172" i="23"/>
  <c r="AK172" i="23"/>
  <c r="AK190" i="23" s="1"/>
  <c r="AJ172" i="23"/>
  <c r="AJ190" i="23" s="1"/>
  <c r="AI172" i="23"/>
  <c r="AI189" i="23" s="1"/>
  <c r="AH172" i="23"/>
  <c r="AH189" i="23" s="1"/>
  <c r="E20" i="20"/>
  <c r="E21" i="20"/>
  <c r="S107" i="23"/>
  <c r="S106" i="23"/>
  <c r="S99" i="23"/>
  <c r="S93" i="23"/>
  <c r="S92" i="23"/>
  <c r="S102" i="23" s="1"/>
  <c r="S91" i="23"/>
  <c r="P10" i="20"/>
  <c r="H14" i="20"/>
  <c r="H10" i="20"/>
  <c r="N143" i="23"/>
  <c r="N142" i="23"/>
  <c r="N140" i="23"/>
  <c r="N139" i="23"/>
  <c r="N138" i="23"/>
  <c r="N136" i="23"/>
  <c r="N133" i="23"/>
  <c r="N132" i="23"/>
  <c r="N130" i="23"/>
  <c r="N129" i="23"/>
  <c r="N128" i="23"/>
  <c r="N124" i="23"/>
  <c r="N123" i="23"/>
  <c r="N122" i="23"/>
  <c r="N121" i="23"/>
  <c r="N118" i="23"/>
  <c r="N116" i="23"/>
  <c r="N115" i="23"/>
  <c r="N117" i="23" s="1"/>
  <c r="N107" i="23"/>
  <c r="N105" i="23"/>
  <c r="N104" i="23"/>
  <c r="N102" i="23"/>
  <c r="N100" i="23"/>
  <c r="N99" i="23"/>
  <c r="N97" i="23"/>
  <c r="N96" i="23"/>
  <c r="N92" i="23"/>
  <c r="N91" i="23"/>
  <c r="N90" i="23"/>
  <c r="N89" i="23"/>
  <c r="N84" i="23"/>
  <c r="N83" i="23"/>
  <c r="E13" i="59"/>
  <c r="E15" i="59" s="1"/>
  <c r="C13" i="59"/>
  <c r="B13" i="59"/>
  <c r="G13" i="58"/>
  <c r="F11" i="40"/>
  <c r="P2" i="40"/>
  <c r="AI188" i="23" l="1"/>
  <c r="S108" i="23"/>
  <c r="S94" i="23"/>
  <c r="AL195" i="23"/>
  <c r="AJ189" i="23"/>
  <c r="AK189" i="23"/>
  <c r="AM192" i="23"/>
  <c r="AM194" i="23" s="1"/>
  <c r="AH188" i="23"/>
  <c r="AH187" i="23"/>
  <c r="AJ188" i="23"/>
  <c r="AL189" i="23"/>
  <c r="AH191" i="23"/>
  <c r="AH195" i="23"/>
  <c r="AI187" i="23"/>
  <c r="AK188" i="23"/>
  <c r="AI191" i="23"/>
  <c r="AI195" i="23"/>
  <c r="AH186" i="23"/>
  <c r="AJ187" i="23"/>
  <c r="AL188" i="23"/>
  <c r="AH190" i="23"/>
  <c r="AJ191" i="23"/>
  <c r="AJ195" i="23"/>
  <c r="AI186" i="23"/>
  <c r="AK187" i="23"/>
  <c r="AI190" i="23"/>
  <c r="AK191" i="23"/>
  <c r="AK195" i="23"/>
  <c r="AL186" i="23"/>
  <c r="AL190" i="23"/>
  <c r="AJ186" i="23"/>
  <c r="AL187" i="23"/>
  <c r="AL191" i="23"/>
  <c r="AK186" i="23"/>
  <c r="S103" i="23"/>
  <c r="N87" i="23"/>
  <c r="N126" i="23"/>
  <c r="N119" i="23"/>
  <c r="N94" i="23"/>
  <c r="N85" i="23"/>
  <c r="N86" i="23"/>
  <c r="N108" i="23"/>
  <c r="N127" i="23"/>
  <c r="N95" i="23"/>
  <c r="F17" i="58"/>
  <c r="G15" i="58"/>
  <c r="E14" i="54"/>
  <c r="E16" i="54" s="1"/>
  <c r="E13" i="38"/>
  <c r="B31" i="25"/>
  <c r="K120" i="33"/>
  <c r="L120" i="33"/>
  <c r="K121" i="33"/>
  <c r="L121" i="33"/>
  <c r="K122" i="33"/>
  <c r="L122" i="33"/>
  <c r="K123" i="33"/>
  <c r="L123" i="33"/>
  <c r="K124" i="33"/>
  <c r="L124" i="33"/>
  <c r="K125" i="33"/>
  <c r="L125" i="33"/>
  <c r="K126" i="33"/>
  <c r="L126" i="33"/>
  <c r="K127" i="33"/>
  <c r="L127" i="33"/>
  <c r="K128" i="33"/>
  <c r="L128" i="33"/>
  <c r="K129" i="33"/>
  <c r="L129" i="33"/>
  <c r="K130" i="33"/>
  <c r="L130" i="33"/>
  <c r="K131" i="33"/>
  <c r="L131" i="33"/>
  <c r="K132" i="33"/>
  <c r="L132" i="33"/>
  <c r="K133" i="33"/>
  <c r="L133" i="33"/>
  <c r="K134" i="33"/>
  <c r="L134" i="33"/>
  <c r="K135" i="33"/>
  <c r="L135" i="33"/>
  <c r="K136" i="33"/>
  <c r="L136" i="33"/>
  <c r="K137" i="33"/>
  <c r="L137" i="33"/>
  <c r="K138" i="33"/>
  <c r="L138" i="33"/>
  <c r="K139" i="33"/>
  <c r="L139" i="33"/>
  <c r="K140" i="33"/>
  <c r="L140" i="33"/>
  <c r="K141" i="33"/>
  <c r="L141" i="33"/>
  <c r="K142" i="33"/>
  <c r="L142" i="33"/>
  <c r="K143" i="33"/>
  <c r="L143" i="33"/>
  <c r="K144" i="33"/>
  <c r="L144" i="33"/>
  <c r="K145" i="33"/>
  <c r="L145" i="33"/>
  <c r="K146" i="33"/>
  <c r="L146" i="33"/>
  <c r="K147" i="33"/>
  <c r="L147" i="33"/>
  <c r="K148" i="33"/>
  <c r="L148" i="33"/>
  <c r="K149" i="33"/>
  <c r="L149" i="33"/>
  <c r="K150" i="33"/>
  <c r="L150" i="33"/>
  <c r="K151" i="33"/>
  <c r="L151" i="33"/>
  <c r="K152" i="33"/>
  <c r="L152" i="33"/>
  <c r="K153" i="33"/>
  <c r="L153" i="33"/>
  <c r="K154" i="33"/>
  <c r="L154" i="33"/>
  <c r="K155" i="33"/>
  <c r="L155" i="33"/>
  <c r="K156" i="33"/>
  <c r="L156" i="33"/>
  <c r="K157" i="33"/>
  <c r="L157" i="33"/>
  <c r="K158" i="33"/>
  <c r="L158" i="33"/>
  <c r="K159" i="33"/>
  <c r="L159" i="33"/>
  <c r="K160" i="33"/>
  <c r="L160" i="33"/>
  <c r="K161" i="33"/>
  <c r="L161" i="33"/>
  <c r="K162" i="33"/>
  <c r="L162" i="33"/>
  <c r="K163" i="33"/>
  <c r="L163" i="33"/>
  <c r="K164" i="33"/>
  <c r="L164" i="33"/>
  <c r="K165" i="33"/>
  <c r="L165" i="33"/>
  <c r="K166" i="33"/>
  <c r="L166" i="33"/>
  <c r="K167" i="33"/>
  <c r="L167" i="33"/>
  <c r="K168" i="33"/>
  <c r="L168" i="33"/>
  <c r="K169" i="33"/>
  <c r="L169" i="33"/>
  <c r="K170" i="33"/>
  <c r="L170" i="33"/>
  <c r="K171" i="33"/>
  <c r="L171" i="33"/>
  <c r="K172" i="33"/>
  <c r="L172" i="33"/>
  <c r="K173" i="33"/>
  <c r="L173" i="33"/>
  <c r="K174" i="33"/>
  <c r="L174" i="33"/>
  <c r="K175" i="33"/>
  <c r="L175" i="33"/>
  <c r="K176" i="33"/>
  <c r="L176" i="33"/>
  <c r="K177" i="33"/>
  <c r="L177" i="33"/>
  <c r="K178" i="33"/>
  <c r="L178" i="33"/>
  <c r="K179" i="33"/>
  <c r="L179" i="33"/>
  <c r="K180" i="33"/>
  <c r="L180" i="33"/>
  <c r="K181" i="33"/>
  <c r="L181" i="33"/>
  <c r="K182" i="33"/>
  <c r="L182" i="33"/>
  <c r="K183" i="33"/>
  <c r="L183" i="33"/>
  <c r="K184" i="33"/>
  <c r="L184" i="33"/>
  <c r="K185" i="33"/>
  <c r="L185" i="33"/>
  <c r="K186" i="33"/>
  <c r="L186" i="33"/>
  <c r="K187" i="33"/>
  <c r="L187" i="33"/>
  <c r="K188" i="33"/>
  <c r="L188" i="33"/>
  <c r="K189" i="33"/>
  <c r="L189" i="33"/>
  <c r="K190" i="33"/>
  <c r="L190" i="33"/>
  <c r="K191" i="33"/>
  <c r="L191" i="33"/>
  <c r="K192" i="33"/>
  <c r="L192" i="33"/>
  <c r="K193" i="33"/>
  <c r="L193" i="33"/>
  <c r="K194" i="33"/>
  <c r="L194" i="33"/>
  <c r="K195" i="33"/>
  <c r="L195" i="33"/>
  <c r="K196" i="33"/>
  <c r="L196" i="33"/>
  <c r="K197" i="33"/>
  <c r="L197" i="33"/>
  <c r="K198" i="33"/>
  <c r="L198" i="33"/>
  <c r="K199" i="33"/>
  <c r="L199" i="33"/>
  <c r="K200" i="33"/>
  <c r="L200" i="33"/>
  <c r="K201" i="33"/>
  <c r="L201" i="33"/>
  <c r="K202" i="33"/>
  <c r="L202" i="33"/>
  <c r="K203" i="33"/>
  <c r="L203" i="33"/>
  <c r="K204" i="33"/>
  <c r="L204" i="33"/>
  <c r="K205" i="33"/>
  <c r="L205" i="33"/>
  <c r="K206" i="33"/>
  <c r="L206" i="33"/>
  <c r="K207" i="33"/>
  <c r="L207" i="33"/>
  <c r="K208" i="33"/>
  <c r="L208" i="33"/>
  <c r="K209" i="33"/>
  <c r="L209" i="33"/>
  <c r="K210" i="33"/>
  <c r="L210" i="33"/>
  <c r="K211" i="33"/>
  <c r="L211" i="33"/>
  <c r="K212" i="33"/>
  <c r="L212" i="33"/>
  <c r="K213" i="33"/>
  <c r="L213" i="33"/>
  <c r="K214" i="33"/>
  <c r="L214" i="33"/>
  <c r="K215" i="33"/>
  <c r="L215" i="33"/>
  <c r="K216" i="33"/>
  <c r="L216" i="33"/>
  <c r="K217" i="33"/>
  <c r="L217" i="33"/>
  <c r="K218" i="33"/>
  <c r="L218" i="33"/>
  <c r="K219" i="33"/>
  <c r="L219" i="33"/>
  <c r="K220" i="33"/>
  <c r="L220" i="33"/>
  <c r="K221" i="33"/>
  <c r="L221" i="33"/>
  <c r="K222" i="33"/>
  <c r="L222" i="33"/>
  <c r="K223" i="33"/>
  <c r="L223" i="33"/>
  <c r="K224" i="33"/>
  <c r="L224" i="33"/>
  <c r="K225" i="33"/>
  <c r="L225" i="33"/>
  <c r="K226" i="33"/>
  <c r="L226" i="33"/>
  <c r="K227" i="33"/>
  <c r="L227" i="33"/>
  <c r="K228" i="33"/>
  <c r="L228" i="33"/>
  <c r="K229" i="33"/>
  <c r="L229" i="33"/>
  <c r="K230" i="33"/>
  <c r="L230" i="33"/>
  <c r="K231" i="33"/>
  <c r="L231" i="33"/>
  <c r="K232" i="33"/>
  <c r="L232" i="33"/>
  <c r="K233" i="33"/>
  <c r="L233" i="33"/>
  <c r="K234" i="33"/>
  <c r="L234" i="33"/>
  <c r="K235" i="33"/>
  <c r="L235" i="33"/>
  <c r="K236" i="33"/>
  <c r="L236" i="33"/>
  <c r="K237" i="33"/>
  <c r="L237" i="33"/>
  <c r="K238" i="33"/>
  <c r="L238" i="33"/>
  <c r="K239" i="33"/>
  <c r="L239" i="33"/>
  <c r="K240" i="33"/>
  <c r="L240" i="33"/>
  <c r="K241" i="33"/>
  <c r="L241" i="33"/>
  <c r="K242" i="33"/>
  <c r="L242" i="33"/>
  <c r="K243" i="33"/>
  <c r="L243" i="33"/>
  <c r="K244" i="33"/>
  <c r="L244" i="33"/>
  <c r="K245" i="33"/>
  <c r="L245" i="33"/>
  <c r="K246" i="33"/>
  <c r="L246" i="33"/>
  <c r="K247" i="33"/>
  <c r="L247" i="33"/>
  <c r="K248" i="33"/>
  <c r="L248" i="33"/>
  <c r="K249" i="33"/>
  <c r="L249" i="33"/>
  <c r="L119" i="33"/>
  <c r="K119" i="33"/>
  <c r="I108" i="33"/>
  <c r="B100" i="33" s="1"/>
  <c r="L83" i="33"/>
  <c r="L84" i="33"/>
  <c r="L85" i="33"/>
  <c r="L86" i="33"/>
  <c r="L87" i="33"/>
  <c r="L88" i="33"/>
  <c r="L89" i="33"/>
  <c r="L90" i="33"/>
  <c r="L91" i="33"/>
  <c r="L82"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83" i="33"/>
  <c r="G84" i="33"/>
  <c r="G85" i="33"/>
  <c r="G86" i="33"/>
  <c r="G87" i="33"/>
  <c r="G88" i="33"/>
  <c r="G82" i="33"/>
  <c r="B98" i="33"/>
  <c r="AM193" i="23" l="1"/>
  <c r="AH192" i="23"/>
  <c r="AH193" i="23" s="1"/>
  <c r="AK192" i="23"/>
  <c r="AK193" i="23" s="1"/>
  <c r="AL192" i="23"/>
  <c r="AL193" i="23" s="1"/>
  <c r="AI192" i="23"/>
  <c r="AI194" i="23" s="1"/>
  <c r="AJ192" i="23"/>
  <c r="AJ193" i="23" s="1"/>
  <c r="E127" i="33"/>
  <c r="E128" i="33" s="1"/>
  <c r="B83" i="33" s="1"/>
  <c r="J92" i="33"/>
  <c r="B99" i="33" s="1"/>
  <c r="B101" i="33" s="1"/>
  <c r="B19" i="33" s="1"/>
  <c r="L113" i="33"/>
  <c r="L114" i="33"/>
  <c r="L115" i="33" s="1"/>
  <c r="J115" i="33"/>
  <c r="E123" i="33"/>
  <c r="E124" i="33" s="1"/>
  <c r="AL194" i="23" l="1"/>
  <c r="AI193" i="23"/>
  <c r="AJ194" i="23"/>
  <c r="AH194" i="23"/>
  <c r="AK194" i="23"/>
  <c r="C74" i="33"/>
  <c r="D66" i="33" s="1"/>
  <c r="L38" i="33"/>
  <c r="L39" i="33"/>
  <c r="L40" i="33"/>
  <c r="L41" i="33"/>
  <c r="L42" i="33"/>
  <c r="L43" i="33"/>
  <c r="L44" i="33"/>
  <c r="L45" i="33"/>
  <c r="L46" i="33"/>
  <c r="L47" i="33"/>
  <c r="L48" i="33"/>
  <c r="L49" i="33"/>
  <c r="L50" i="33"/>
  <c r="L51" i="33"/>
  <c r="L52" i="33"/>
  <c r="L53" i="33"/>
  <c r="L37" i="33"/>
  <c r="J38" i="33"/>
  <c r="K38" i="33" s="1"/>
  <c r="J39" i="33"/>
  <c r="K39" i="33" s="1"/>
  <c r="J40" i="33"/>
  <c r="K40" i="33" s="1"/>
  <c r="J41" i="33"/>
  <c r="K41" i="33" s="1"/>
  <c r="J42" i="33"/>
  <c r="K42" i="33" s="1"/>
  <c r="J43" i="33"/>
  <c r="K43" i="33" s="1"/>
  <c r="J44" i="33"/>
  <c r="K44" i="33" s="1"/>
  <c r="J45" i="33"/>
  <c r="K45" i="33" s="1"/>
  <c r="J46" i="33"/>
  <c r="K46" i="33" s="1"/>
  <c r="J47" i="33"/>
  <c r="K47" i="33" s="1"/>
  <c r="J48" i="33"/>
  <c r="K48" i="33" s="1"/>
  <c r="J49" i="33"/>
  <c r="K49" i="33" s="1"/>
  <c r="J50" i="33"/>
  <c r="K50" i="33" s="1"/>
  <c r="J51" i="33"/>
  <c r="K51" i="33" s="1"/>
  <c r="J52" i="33"/>
  <c r="K52" i="33" s="1"/>
  <c r="J53" i="33"/>
  <c r="K53" i="33" s="1"/>
  <c r="J37" i="33"/>
  <c r="K37" i="33" s="1"/>
  <c r="F16" i="33"/>
  <c r="D70" i="33" l="1"/>
  <c r="D73" i="33"/>
  <c r="D69" i="33"/>
  <c r="D68" i="33"/>
  <c r="E68" i="33" s="1"/>
  <c r="D71" i="33"/>
  <c r="E71" i="33" s="1"/>
  <c r="D65" i="33"/>
  <c r="E65" i="33" s="1"/>
  <c r="D64" i="33"/>
  <c r="E64" i="33" s="1"/>
  <c r="D63" i="33"/>
  <c r="E63" i="33" s="1"/>
  <c r="D72" i="33"/>
  <c r="E72" i="33" s="1"/>
  <c r="D62" i="33"/>
  <c r="E62" i="33" s="1"/>
  <c r="B55" i="33"/>
  <c r="B12" i="33" s="1"/>
  <c r="D61" i="33"/>
  <c r="E61" i="33" s="1"/>
  <c r="D60" i="33"/>
  <c r="E60" i="33" s="1"/>
  <c r="D67" i="33"/>
  <c r="E67" i="33" s="1"/>
  <c r="D59" i="33"/>
  <c r="E69" i="33"/>
  <c r="E70" i="33"/>
  <c r="E73" i="33"/>
  <c r="E66" i="33"/>
  <c r="D74" i="33" l="1"/>
  <c r="E59" i="33"/>
  <c r="E74" i="33" s="1"/>
  <c r="C28" i="33"/>
  <c r="D28" i="33"/>
  <c r="E28" i="33"/>
  <c r="F28" i="33"/>
  <c r="C29" i="33"/>
  <c r="D29" i="33"/>
  <c r="E29" i="33"/>
  <c r="F29" i="33"/>
  <c r="B29" i="33"/>
  <c r="B28" i="33"/>
  <c r="A46" i="42"/>
  <c r="A157" i="39"/>
  <c r="E11" i="40"/>
  <c r="D11" i="40"/>
  <c r="G56" i="46"/>
  <c r="G52" i="46"/>
  <c r="G53" i="46" s="1"/>
  <c r="G51" i="46"/>
  <c r="G50" i="46"/>
  <c r="G49" i="46"/>
  <c r="G48" i="46"/>
  <c r="G47" i="46"/>
  <c r="E42" i="46"/>
  <c r="D42" i="46"/>
  <c r="C42" i="46"/>
  <c r="E41" i="46"/>
  <c r="D41" i="46"/>
  <c r="C41" i="46"/>
  <c r="E40" i="46"/>
  <c r="D40" i="46"/>
  <c r="C40" i="46"/>
  <c r="E39" i="46"/>
  <c r="D39" i="46"/>
  <c r="C39" i="46"/>
  <c r="E38" i="46"/>
  <c r="D38" i="46"/>
  <c r="C38" i="46"/>
  <c r="E37" i="46"/>
  <c r="D37" i="46"/>
  <c r="C37" i="46"/>
  <c r="E36" i="46"/>
  <c r="D36" i="46"/>
  <c r="C36" i="46"/>
  <c r="E35" i="46"/>
  <c r="D35" i="46"/>
  <c r="C35" i="46"/>
  <c r="E34" i="46"/>
  <c r="D34" i="46"/>
  <c r="C34" i="46"/>
  <c r="E33" i="46"/>
  <c r="E56" i="46" s="1"/>
  <c r="D33" i="46"/>
  <c r="C33" i="46"/>
  <c r="L29" i="46"/>
  <c r="K29" i="46"/>
  <c r="I29" i="46"/>
  <c r="H29" i="46"/>
  <c r="G29" i="46"/>
  <c r="F29" i="46"/>
  <c r="E29" i="46"/>
  <c r="D29" i="46"/>
  <c r="C29" i="46"/>
  <c r="L28" i="46"/>
  <c r="K28" i="46"/>
  <c r="I28" i="46"/>
  <c r="H28" i="46"/>
  <c r="G28" i="46"/>
  <c r="F28" i="46"/>
  <c r="E28" i="46"/>
  <c r="D28" i="46"/>
  <c r="C28" i="46"/>
  <c r="L27" i="46"/>
  <c r="K27" i="46"/>
  <c r="I27" i="46"/>
  <c r="H27" i="46"/>
  <c r="G27" i="46"/>
  <c r="F27" i="46"/>
  <c r="E27" i="46"/>
  <c r="D27" i="46"/>
  <c r="C27" i="46"/>
  <c r="L26" i="46"/>
  <c r="K26" i="46"/>
  <c r="I26" i="46"/>
  <c r="H26" i="46"/>
  <c r="G26" i="46"/>
  <c r="F26" i="46"/>
  <c r="E26" i="46"/>
  <c r="D26" i="46"/>
  <c r="C26" i="46"/>
  <c r="F23" i="46"/>
  <c r="B23" i="46"/>
  <c r="B21" i="46"/>
  <c r="F42" i="46" s="1"/>
  <c r="B20" i="46"/>
  <c r="B41" i="46" s="1"/>
  <c r="B19" i="46"/>
  <c r="F40" i="46" s="1"/>
  <c r="B18" i="46"/>
  <c r="B39" i="46" s="1"/>
  <c r="B17" i="46"/>
  <c r="B38" i="46" s="1"/>
  <c r="B16" i="46"/>
  <c r="F37" i="46" s="1"/>
  <c r="B15" i="46"/>
  <c r="B36" i="46" s="1"/>
  <c r="B14" i="46"/>
  <c r="F35" i="46" s="1"/>
  <c r="B13" i="46"/>
  <c r="F34" i="46" s="1"/>
  <c r="B12" i="46"/>
  <c r="B33" i="46" s="1"/>
  <c r="C11" i="40"/>
  <c r="C33" i="42"/>
  <c r="C32" i="42"/>
  <c r="C28" i="42"/>
  <c r="B142" i="31"/>
  <c r="B11" i="40"/>
  <c r="A11" i="40"/>
  <c r="B144" i="39"/>
  <c r="B143" i="39"/>
  <c r="B140" i="39"/>
  <c r="B138" i="39"/>
  <c r="F119" i="39"/>
  <c r="E119" i="39"/>
  <c r="D119" i="39"/>
  <c r="C119" i="39"/>
  <c r="F118" i="39"/>
  <c r="E118" i="39"/>
  <c r="D118" i="39"/>
  <c r="C118" i="39"/>
  <c r="F117" i="39"/>
  <c r="E117" i="39"/>
  <c r="D117" i="39"/>
  <c r="C117" i="39"/>
  <c r="F116" i="39"/>
  <c r="E116" i="39"/>
  <c r="D116" i="39"/>
  <c r="C116" i="39"/>
  <c r="B116" i="39"/>
  <c r="F96" i="39"/>
  <c r="E96" i="39"/>
  <c r="D96" i="39"/>
  <c r="C96" i="39"/>
  <c r="B96" i="39"/>
  <c r="R92" i="39"/>
  <c r="Q92" i="39"/>
  <c r="P92" i="39"/>
  <c r="O92" i="39"/>
  <c r="N92" i="39"/>
  <c r="U90" i="39"/>
  <c r="H90" i="39" s="1"/>
  <c r="J90" i="39"/>
  <c r="F88" i="39"/>
  <c r="E88" i="39"/>
  <c r="D88" i="39"/>
  <c r="C88" i="39"/>
  <c r="B88" i="39"/>
  <c r="R82" i="39"/>
  <c r="Q82" i="39"/>
  <c r="P82" i="39"/>
  <c r="O82" i="39"/>
  <c r="N82" i="39"/>
  <c r="F76" i="39"/>
  <c r="E76" i="39"/>
  <c r="D76" i="39"/>
  <c r="C76" i="39"/>
  <c r="B76" i="39"/>
  <c r="F69" i="39"/>
  <c r="E69" i="39"/>
  <c r="D69" i="39"/>
  <c r="C69" i="39"/>
  <c r="B69" i="39"/>
  <c r="H68" i="39"/>
  <c r="I68" i="39" s="1"/>
  <c r="J68" i="39" s="1"/>
  <c r="K68" i="39" s="1"/>
  <c r="L68" i="39" s="1"/>
  <c r="H67" i="39"/>
  <c r="R66" i="39"/>
  <c r="Q66" i="39"/>
  <c r="P66" i="39"/>
  <c r="O66" i="39"/>
  <c r="N66" i="39"/>
  <c r="F62" i="39"/>
  <c r="E62" i="39"/>
  <c r="Q34" i="39" s="1"/>
  <c r="D62" i="39"/>
  <c r="C62" i="39"/>
  <c r="O34" i="39" s="1"/>
  <c r="B62" i="39"/>
  <c r="N34" i="39" s="1"/>
  <c r="R61" i="39"/>
  <c r="Q61" i="39"/>
  <c r="P61" i="39"/>
  <c r="O61" i="39"/>
  <c r="N61" i="39"/>
  <c r="R59" i="39"/>
  <c r="Q59" i="39"/>
  <c r="P59" i="39"/>
  <c r="O59" i="39"/>
  <c r="N59" i="39"/>
  <c r="R58" i="39"/>
  <c r="Q58" i="39"/>
  <c r="P58" i="39"/>
  <c r="O58" i="39"/>
  <c r="N58" i="39"/>
  <c r="H57" i="39"/>
  <c r="F55" i="39"/>
  <c r="F78" i="39" s="1"/>
  <c r="E55" i="39"/>
  <c r="D55" i="39"/>
  <c r="C55" i="39"/>
  <c r="B55" i="39"/>
  <c r="R44" i="39"/>
  <c r="Q44" i="39"/>
  <c r="P44" i="39"/>
  <c r="O44" i="39"/>
  <c r="N44" i="39"/>
  <c r="R43" i="39"/>
  <c r="Q43" i="39"/>
  <c r="P43" i="39"/>
  <c r="O43" i="39"/>
  <c r="N43" i="39"/>
  <c r="R42" i="39"/>
  <c r="Q42" i="39"/>
  <c r="P42" i="39"/>
  <c r="O42" i="39"/>
  <c r="N42" i="39"/>
  <c r="F38" i="39"/>
  <c r="E38" i="39"/>
  <c r="D38" i="39"/>
  <c r="C38" i="39"/>
  <c r="B38" i="39"/>
  <c r="R34" i="39"/>
  <c r="P34" i="39"/>
  <c r="B26" i="39"/>
  <c r="B25" i="39"/>
  <c r="F24" i="39"/>
  <c r="F27" i="39" s="1"/>
  <c r="E24" i="39"/>
  <c r="E27" i="39" s="1"/>
  <c r="D24" i="39"/>
  <c r="D27" i="39" s="1"/>
  <c r="C24" i="39"/>
  <c r="C27" i="39" s="1"/>
  <c r="B22" i="39"/>
  <c r="B24" i="39" s="1"/>
  <c r="B27" i="39" s="1"/>
  <c r="B17" i="39"/>
  <c r="F16" i="39"/>
  <c r="F19" i="39" s="1"/>
  <c r="E16" i="39"/>
  <c r="E19" i="39" s="1"/>
  <c r="D16" i="39"/>
  <c r="D19" i="39" s="1"/>
  <c r="C16" i="39"/>
  <c r="C19" i="39" s="1"/>
  <c r="B16" i="39"/>
  <c r="B13" i="54" l="1"/>
  <c r="B12" i="59"/>
  <c r="D78" i="39"/>
  <c r="C78" i="39"/>
  <c r="B19" i="39"/>
  <c r="B30" i="39" s="1"/>
  <c r="C30" i="39"/>
  <c r="O93" i="39" s="1"/>
  <c r="C50" i="46"/>
  <c r="B78" i="39"/>
  <c r="F36" i="46"/>
  <c r="B75" i="33"/>
  <c r="B13" i="33" s="1"/>
  <c r="D30" i="33"/>
  <c r="E30" i="33"/>
  <c r="B30" i="33"/>
  <c r="C30" i="33"/>
  <c r="F30" i="33"/>
  <c r="E78" i="39"/>
  <c r="D30" i="39"/>
  <c r="P83" i="39" s="1"/>
  <c r="D56" i="46"/>
  <c r="E30" i="39"/>
  <c r="Q84" i="39" s="1"/>
  <c r="F30" i="39"/>
  <c r="R86" i="39" s="1"/>
  <c r="I90" i="39"/>
  <c r="G54" i="46"/>
  <c r="K90" i="39"/>
  <c r="C51" i="46"/>
  <c r="B40" i="46"/>
  <c r="B27" i="46"/>
  <c r="B35" i="46"/>
  <c r="F39" i="46"/>
  <c r="D47" i="46"/>
  <c r="D51" i="46"/>
  <c r="E51" i="46"/>
  <c r="B28" i="46"/>
  <c r="F33" i="46"/>
  <c r="B37" i="46"/>
  <c r="F41" i="46"/>
  <c r="D50" i="46"/>
  <c r="B34" i="46"/>
  <c r="F38" i="46"/>
  <c r="B42" i="46"/>
  <c r="C49" i="46"/>
  <c r="E50" i="46"/>
  <c r="G55" i="46"/>
  <c r="B29" i="46"/>
  <c r="D49" i="46"/>
  <c r="C48" i="46"/>
  <c r="E49" i="46"/>
  <c r="C52" i="46"/>
  <c r="C56" i="46"/>
  <c r="B26" i="46"/>
  <c r="D48" i="46"/>
  <c r="D52" i="46"/>
  <c r="E47" i="46"/>
  <c r="C47" i="46"/>
  <c r="E48" i="46"/>
  <c r="E52" i="46"/>
  <c r="C17" i="42"/>
  <c r="W23" i="39"/>
  <c r="W29" i="39"/>
  <c r="W25" i="39"/>
  <c r="W22" i="39"/>
  <c r="W26" i="39"/>
  <c r="U18" i="39"/>
  <c r="H18" i="39" s="1"/>
  <c r="U17" i="39"/>
  <c r="H17" i="39" s="1"/>
  <c r="U15" i="39"/>
  <c r="H15" i="39" s="1"/>
  <c r="U14" i="39"/>
  <c r="H14" i="39" s="1"/>
  <c r="W17" i="39"/>
  <c r="W15" i="39"/>
  <c r="W14" i="39"/>
  <c r="W18" i="39"/>
  <c r="U26" i="39"/>
  <c r="H26" i="39" s="1"/>
  <c r="U23" i="39"/>
  <c r="H23" i="39" s="1"/>
  <c r="U25" i="39"/>
  <c r="H25" i="39" s="1"/>
  <c r="U22" i="39"/>
  <c r="H22" i="39" s="1"/>
  <c r="U29" i="39"/>
  <c r="H29" i="39" s="1"/>
  <c r="R41" i="39"/>
  <c r="R85" i="39"/>
  <c r="R75" i="39"/>
  <c r="F45" i="39"/>
  <c r="F47" i="39" s="1"/>
  <c r="R83" i="39"/>
  <c r="R52" i="39"/>
  <c r="R35" i="39"/>
  <c r="R53" i="39"/>
  <c r="R74" i="39"/>
  <c r="O64" i="39"/>
  <c r="O60" i="39"/>
  <c r="O51" i="39"/>
  <c r="C45" i="39"/>
  <c r="C47" i="39" s="1"/>
  <c r="O104" i="39"/>
  <c r="O73" i="39"/>
  <c r="O65" i="39"/>
  <c r="O52" i="39"/>
  <c r="O37" i="39"/>
  <c r="O35" i="39"/>
  <c r="O90" i="39"/>
  <c r="O54" i="39"/>
  <c r="O33" i="39"/>
  <c r="O15" i="39"/>
  <c r="O41" i="39"/>
  <c r="O23" i="39"/>
  <c r="O91" i="39"/>
  <c r="O85" i="39"/>
  <c r="O29" i="39"/>
  <c r="O25" i="39"/>
  <c r="O102" i="39"/>
  <c r="O74" i="39"/>
  <c r="O71" i="39"/>
  <c r="O53" i="39"/>
  <c r="O40" i="39"/>
  <c r="P84" i="39"/>
  <c r="P74" i="39"/>
  <c r="P85" i="39"/>
  <c r="P75" i="39"/>
  <c r="P60" i="39"/>
  <c r="P25" i="39"/>
  <c r="P100" i="39"/>
  <c r="P95" i="39"/>
  <c r="Q100" i="39"/>
  <c r="Q65" i="39"/>
  <c r="H66" i="39"/>
  <c r="I57" i="39"/>
  <c r="H58" i="39"/>
  <c r="I67" i="39"/>
  <c r="L90" i="39"/>
  <c r="E15" i="38"/>
  <c r="C32" i="34"/>
  <c r="C14" i="54" s="1"/>
  <c r="C31" i="34"/>
  <c r="B14" i="54" s="1"/>
  <c r="B143" i="31"/>
  <c r="C13" i="54" l="1"/>
  <c r="C12" i="59"/>
  <c r="N54" i="39"/>
  <c r="N15" i="39"/>
  <c r="N104" i="39"/>
  <c r="N25" i="39"/>
  <c r="N33" i="39"/>
  <c r="P15" i="39"/>
  <c r="P23" i="39"/>
  <c r="P90" i="39"/>
  <c r="P33" i="39"/>
  <c r="P105" i="39"/>
  <c r="P51" i="39"/>
  <c r="P36" i="39"/>
  <c r="P26" i="39"/>
  <c r="P93" i="39"/>
  <c r="O26" i="39"/>
  <c r="O95" i="39"/>
  <c r="O83" i="39"/>
  <c r="O72" i="39"/>
  <c r="P14" i="39"/>
  <c r="P52" i="39"/>
  <c r="O75" i="39"/>
  <c r="O86" i="39"/>
  <c r="O100" i="39"/>
  <c r="R51" i="39"/>
  <c r="P94" i="39"/>
  <c r="P17" i="39"/>
  <c r="P29" i="39"/>
  <c r="P53" i="39"/>
  <c r="P35" i="39"/>
  <c r="P71" i="39"/>
  <c r="P37" i="39"/>
  <c r="O36" i="39"/>
  <c r="P40" i="39"/>
  <c r="O84" i="39"/>
  <c r="O18" i="39"/>
  <c r="O94" i="39"/>
  <c r="P64" i="39"/>
  <c r="P54" i="39"/>
  <c r="P65" i="39"/>
  <c r="O22" i="39"/>
  <c r="O14" i="39"/>
  <c r="O17" i="39"/>
  <c r="O105" i="39"/>
  <c r="R90" i="39"/>
  <c r="R54" i="39"/>
  <c r="N26" i="39"/>
  <c r="Q25" i="39"/>
  <c r="Q105" i="39"/>
  <c r="N64" i="39"/>
  <c r="N100" i="39"/>
  <c r="Q33" i="39"/>
  <c r="Q72" i="39"/>
  <c r="N18" i="39"/>
  <c r="N105" i="39"/>
  <c r="N65" i="39"/>
  <c r="N102" i="39"/>
  <c r="Q26" i="39"/>
  <c r="N41" i="39"/>
  <c r="Q71" i="39"/>
  <c r="N14" i="39"/>
  <c r="N71" i="39"/>
  <c r="Q94" i="39"/>
  <c r="N95" i="39"/>
  <c r="Q37" i="39"/>
  <c r="N74" i="39"/>
  <c r="Q102" i="39"/>
  <c r="N51" i="39"/>
  <c r="Q17" i="39"/>
  <c r="N29" i="39"/>
  <c r="N93" i="39"/>
  <c r="N35" i="39"/>
  <c r="Q36" i="39"/>
  <c r="P72" i="39"/>
  <c r="P22" i="39"/>
  <c r="P41" i="39"/>
  <c r="P91" i="39"/>
  <c r="P73" i="39"/>
  <c r="P104" i="39"/>
  <c r="R73" i="39"/>
  <c r="R71" i="39"/>
  <c r="N94" i="39"/>
  <c r="N37" i="39"/>
  <c r="N85" i="39"/>
  <c r="B45" i="39"/>
  <c r="B47" i="39" s="1"/>
  <c r="B101" i="39" s="1"/>
  <c r="Q15" i="39"/>
  <c r="Q23" i="39"/>
  <c r="P86" i="39"/>
  <c r="P18" i="39"/>
  <c r="D45" i="39"/>
  <c r="D47" i="39" s="1"/>
  <c r="P102" i="39"/>
  <c r="R104" i="39"/>
  <c r="R95" i="39"/>
  <c r="N60" i="39"/>
  <c r="N52" i="39"/>
  <c r="N91" i="39"/>
  <c r="Q18" i="39"/>
  <c r="Q40" i="39"/>
  <c r="R14" i="39"/>
  <c r="E45" i="39"/>
  <c r="E47" i="39" s="1"/>
  <c r="E101" i="39" s="1"/>
  <c r="Q101" i="39" s="1"/>
  <c r="R22" i="39"/>
  <c r="R64" i="39"/>
  <c r="Q93" i="39"/>
  <c r="Q22" i="39"/>
  <c r="Q73" i="39"/>
  <c r="Q64" i="39"/>
  <c r="Q91" i="39"/>
  <c r="Q90" i="39"/>
  <c r="R65" i="39"/>
  <c r="R18" i="39"/>
  <c r="R93" i="39"/>
  <c r="R40" i="39"/>
  <c r="R33" i="39"/>
  <c r="N53" i="39"/>
  <c r="N36" i="39"/>
  <c r="N84" i="39"/>
  <c r="N86" i="39"/>
  <c r="N75" i="39"/>
  <c r="B47" i="46"/>
  <c r="R17" i="39"/>
  <c r="R60" i="39"/>
  <c r="R91" i="39"/>
  <c r="R102" i="39"/>
  <c r="Q52" i="39"/>
  <c r="Q53" i="39"/>
  <c r="R26" i="39"/>
  <c r="R25" i="39"/>
  <c r="Q14" i="39"/>
  <c r="Q51" i="39"/>
  <c r="Q75" i="39"/>
  <c r="Q74" i="39"/>
  <c r="R84" i="39"/>
  <c r="R37" i="39"/>
  <c r="R29" i="39"/>
  <c r="R72" i="39"/>
  <c r="R105" i="39"/>
  <c r="N17" i="39"/>
  <c r="N99" i="39"/>
  <c r="N90" i="39"/>
  <c r="N73" i="39"/>
  <c r="N40" i="39"/>
  <c r="B56" i="46"/>
  <c r="Q86" i="39"/>
  <c r="Q35" i="39"/>
  <c r="Q95" i="39"/>
  <c r="R15" i="39"/>
  <c r="Q104" i="39"/>
  <c r="Q54" i="39"/>
  <c r="Q83" i="39"/>
  <c r="Q41" i="39"/>
  <c r="Q29" i="39"/>
  <c r="Q60" i="39"/>
  <c r="Q85" i="39"/>
  <c r="R23" i="39"/>
  <c r="R94" i="39"/>
  <c r="R36" i="39"/>
  <c r="R100" i="39"/>
  <c r="N22" i="39"/>
  <c r="N23" i="39"/>
  <c r="N72" i="39"/>
  <c r="N83" i="39"/>
  <c r="B51" i="46"/>
  <c r="B50" i="46"/>
  <c r="E53" i="46"/>
  <c r="E54" i="46" s="1"/>
  <c r="E55" i="46"/>
  <c r="B49" i="46"/>
  <c r="C53" i="46"/>
  <c r="C54" i="46" s="1"/>
  <c r="D53" i="46"/>
  <c r="D55" i="46" s="1"/>
  <c r="B48" i="46"/>
  <c r="B52" i="46"/>
  <c r="F49" i="46"/>
  <c r="F50" i="46"/>
  <c r="F51" i="46"/>
  <c r="F47" i="46"/>
  <c r="F56" i="46"/>
  <c r="F52" i="46"/>
  <c r="F48" i="46"/>
  <c r="I29" i="39"/>
  <c r="J29" i="39" s="1"/>
  <c r="K29" i="39" s="1"/>
  <c r="L29" i="39" s="1"/>
  <c r="H16" i="39"/>
  <c r="H19" i="39" s="1"/>
  <c r="I25" i="39"/>
  <c r="J25" i="39" s="1"/>
  <c r="K25" i="39" s="1"/>
  <c r="L25" i="39" s="1"/>
  <c r="I15" i="39"/>
  <c r="J15" i="39" s="1"/>
  <c r="K15" i="39" s="1"/>
  <c r="L15" i="39" s="1"/>
  <c r="I18" i="39"/>
  <c r="J18" i="39" s="1"/>
  <c r="K18" i="39" s="1"/>
  <c r="L18" i="39" s="1"/>
  <c r="I17" i="39"/>
  <c r="J17" i="39" s="1"/>
  <c r="K17" i="39" s="1"/>
  <c r="I22" i="39"/>
  <c r="J22" i="39" s="1"/>
  <c r="I14" i="39"/>
  <c r="H24" i="39"/>
  <c r="H27" i="39" s="1"/>
  <c r="I23" i="39"/>
  <c r="J23" i="39" s="1"/>
  <c r="K23" i="39" s="1"/>
  <c r="L23" i="39" s="1"/>
  <c r="I26" i="39"/>
  <c r="J26" i="39" s="1"/>
  <c r="K26" i="39" s="1"/>
  <c r="L26" i="39" s="1"/>
  <c r="I66" i="39"/>
  <c r="J67" i="39"/>
  <c r="D115" i="39"/>
  <c r="P103" i="39"/>
  <c r="D101" i="39"/>
  <c r="P101" i="39" s="1"/>
  <c r="J57" i="39"/>
  <c r="I58" i="39"/>
  <c r="I59" i="39" s="1"/>
  <c r="F101" i="39"/>
  <c r="R101" i="39" s="1"/>
  <c r="R103" i="39"/>
  <c r="F115" i="39"/>
  <c r="J82" i="39"/>
  <c r="I82" i="39"/>
  <c r="H82" i="39"/>
  <c r="H42" i="39" s="1"/>
  <c r="L82" i="39"/>
  <c r="K82" i="39"/>
  <c r="H59" i="39"/>
  <c r="H61" i="39" s="1"/>
  <c r="N103" i="39"/>
  <c r="B115" i="39"/>
  <c r="C115" i="39"/>
  <c r="O103" i="39"/>
  <c r="C101" i="39"/>
  <c r="O101" i="39" s="1"/>
  <c r="F129" i="39"/>
  <c r="B126" i="39" s="1"/>
  <c r="C27" i="34"/>
  <c r="B139" i="31"/>
  <c r="B137" i="31"/>
  <c r="D54" i="46" l="1"/>
  <c r="E115" i="39"/>
  <c r="Q103" i="39"/>
  <c r="C28" i="34"/>
  <c r="C29" i="42"/>
  <c r="F53" i="46"/>
  <c r="F54" i="46" s="1"/>
  <c r="C55" i="46"/>
  <c r="B53" i="46"/>
  <c r="B54" i="46" s="1"/>
  <c r="H30" i="39"/>
  <c r="H33" i="39" s="1"/>
  <c r="I16" i="39"/>
  <c r="I19" i="39" s="1"/>
  <c r="I24" i="39"/>
  <c r="I27" i="39" s="1"/>
  <c r="J14" i="39"/>
  <c r="I61" i="39"/>
  <c r="K42" i="39"/>
  <c r="K57" i="39"/>
  <c r="J58" i="39"/>
  <c r="J59" i="39" s="1"/>
  <c r="J61" i="39" s="1"/>
  <c r="L17" i="39"/>
  <c r="J66" i="39"/>
  <c r="K67" i="39"/>
  <c r="K22" i="39"/>
  <c r="J24" i="39"/>
  <c r="J27" i="39" s="1"/>
  <c r="L42" i="39"/>
  <c r="J42" i="39"/>
  <c r="B106" i="39"/>
  <c r="N101" i="39"/>
  <c r="I42" i="39"/>
  <c r="F55" i="46" l="1"/>
  <c r="B55" i="46"/>
  <c r="H102" i="39"/>
  <c r="H112" i="39"/>
  <c r="H54" i="39"/>
  <c r="H41" i="39"/>
  <c r="H93" i="39"/>
  <c r="H72" i="39"/>
  <c r="H73" i="39"/>
  <c r="H85" i="39"/>
  <c r="H95" i="39"/>
  <c r="H75" i="39"/>
  <c r="H83" i="39"/>
  <c r="H53" i="39"/>
  <c r="H84" i="39"/>
  <c r="H36" i="39"/>
  <c r="H105" i="39"/>
  <c r="H64" i="39"/>
  <c r="H52" i="39"/>
  <c r="H74" i="39"/>
  <c r="H100" i="39"/>
  <c r="H35" i="39"/>
  <c r="H37" i="39"/>
  <c r="H60" i="39"/>
  <c r="H62" i="39" s="1"/>
  <c r="H34" i="39" s="1"/>
  <c r="H116" i="39" s="1"/>
  <c r="H104" i="39"/>
  <c r="H91" i="39"/>
  <c r="H40" i="39"/>
  <c r="H94" i="39"/>
  <c r="H65" i="39"/>
  <c r="H71" i="39"/>
  <c r="H86" i="39"/>
  <c r="I30" i="39"/>
  <c r="I64" i="39" s="1"/>
  <c r="J16" i="39"/>
  <c r="J19" i="39" s="1"/>
  <c r="J30" i="39" s="1"/>
  <c r="K14" i="39"/>
  <c r="L22" i="39"/>
  <c r="L24" i="39" s="1"/>
  <c r="L27" i="39" s="1"/>
  <c r="K24" i="39"/>
  <c r="K27" i="39" s="1"/>
  <c r="C99" i="39"/>
  <c r="B107" i="39"/>
  <c r="L57" i="39"/>
  <c r="K58" i="39"/>
  <c r="K59" i="39" s="1"/>
  <c r="K66" i="39"/>
  <c r="L67" i="39"/>
  <c r="L66" i="39" s="1"/>
  <c r="D116" i="31"/>
  <c r="E116" i="31"/>
  <c r="F116" i="31"/>
  <c r="C116" i="31"/>
  <c r="I74" i="39" l="1"/>
  <c r="H119" i="39"/>
  <c r="I72" i="39"/>
  <c r="I91" i="39"/>
  <c r="I93" i="39"/>
  <c r="I60" i="39"/>
  <c r="I62" i="39" s="1"/>
  <c r="I34" i="39" s="1"/>
  <c r="I116" i="39" s="1"/>
  <c r="I100" i="39"/>
  <c r="I54" i="39"/>
  <c r="I102" i="39"/>
  <c r="I105" i="39"/>
  <c r="I65" i="39"/>
  <c r="I33" i="39"/>
  <c r="I75" i="39"/>
  <c r="I71" i="39"/>
  <c r="I44" i="39" s="1"/>
  <c r="I95" i="39"/>
  <c r="H38" i="39"/>
  <c r="I53" i="39"/>
  <c r="I40" i="39"/>
  <c r="H76" i="39"/>
  <c r="I41" i="39"/>
  <c r="I94" i="39"/>
  <c r="I52" i="39"/>
  <c r="H117" i="39"/>
  <c r="H69" i="39"/>
  <c r="I73" i="39"/>
  <c r="I84" i="39"/>
  <c r="I85" i="39"/>
  <c r="I104" i="39"/>
  <c r="I35" i="39"/>
  <c r="H44" i="39"/>
  <c r="I112" i="39"/>
  <c r="I86" i="39"/>
  <c r="I36" i="39"/>
  <c r="I37" i="39"/>
  <c r="I83" i="39"/>
  <c r="J73" i="39"/>
  <c r="J74" i="39"/>
  <c r="J102" i="39"/>
  <c r="J33" i="39"/>
  <c r="J100" i="39"/>
  <c r="J86" i="39"/>
  <c r="J37" i="39"/>
  <c r="J52" i="39"/>
  <c r="J40" i="39"/>
  <c r="J71" i="39"/>
  <c r="J44" i="39" s="1"/>
  <c r="J95" i="39"/>
  <c r="J112" i="39"/>
  <c r="J104" i="39"/>
  <c r="J64" i="39"/>
  <c r="J53" i="39"/>
  <c r="J65" i="39"/>
  <c r="J105" i="39"/>
  <c r="J91" i="39"/>
  <c r="J36" i="39"/>
  <c r="J94" i="39"/>
  <c r="J54" i="39"/>
  <c r="J85" i="39"/>
  <c r="J35" i="39"/>
  <c r="J60" i="39"/>
  <c r="J62" i="39" s="1"/>
  <c r="J34" i="39" s="1"/>
  <c r="J116" i="39" s="1"/>
  <c r="L14" i="39"/>
  <c r="L16" i="39" s="1"/>
  <c r="L19" i="39" s="1"/>
  <c r="L30" i="39" s="1"/>
  <c r="K16" i="39"/>
  <c r="K19" i="39" s="1"/>
  <c r="K30" i="39" s="1"/>
  <c r="J41" i="39"/>
  <c r="J83" i="39"/>
  <c r="J75" i="39"/>
  <c r="J84" i="39"/>
  <c r="J72" i="39"/>
  <c r="J93" i="39"/>
  <c r="K61" i="39"/>
  <c r="L58" i="39"/>
  <c r="L59" i="39" s="1"/>
  <c r="C106" i="39"/>
  <c r="O99" i="39"/>
  <c r="O91" i="31"/>
  <c r="P91" i="31"/>
  <c r="Q91" i="31"/>
  <c r="R91" i="31"/>
  <c r="N91" i="31"/>
  <c r="U89" i="31"/>
  <c r="I89" i="31" s="1"/>
  <c r="O81" i="31"/>
  <c r="P81" i="31"/>
  <c r="Q81" i="31"/>
  <c r="R81" i="31"/>
  <c r="N81" i="31"/>
  <c r="O43" i="31"/>
  <c r="P43" i="31"/>
  <c r="Q43" i="31"/>
  <c r="R43" i="31"/>
  <c r="N43" i="31"/>
  <c r="W43" i="31" s="1"/>
  <c r="H67" i="31"/>
  <c r="I67" i="31" s="1"/>
  <c r="J67" i="31" s="1"/>
  <c r="K67" i="31" s="1"/>
  <c r="L67" i="31" s="1"/>
  <c r="H66" i="31"/>
  <c r="I66" i="31" s="1"/>
  <c r="J66" i="31" s="1"/>
  <c r="K66" i="31" s="1"/>
  <c r="O65" i="31"/>
  <c r="P65" i="31"/>
  <c r="Q65" i="31"/>
  <c r="R65" i="31"/>
  <c r="N65" i="31"/>
  <c r="O60" i="31"/>
  <c r="P60" i="31"/>
  <c r="Q60" i="31"/>
  <c r="R60" i="31"/>
  <c r="N60" i="31"/>
  <c r="O58" i="31"/>
  <c r="P58" i="31"/>
  <c r="Q58" i="31"/>
  <c r="R58" i="31"/>
  <c r="N58" i="31"/>
  <c r="O57" i="31"/>
  <c r="P57" i="31"/>
  <c r="Q57" i="31"/>
  <c r="R57" i="31"/>
  <c r="N57" i="31"/>
  <c r="H56" i="31"/>
  <c r="O42" i="31"/>
  <c r="P42" i="31"/>
  <c r="Q42" i="31"/>
  <c r="R42" i="31"/>
  <c r="N42" i="31"/>
  <c r="O41" i="31"/>
  <c r="P41" i="31"/>
  <c r="Q41" i="31"/>
  <c r="R41" i="31"/>
  <c r="N41" i="31"/>
  <c r="I117" i="39" l="1"/>
  <c r="I119" i="39"/>
  <c r="I69" i="39"/>
  <c r="I76" i="39"/>
  <c r="H109" i="39"/>
  <c r="J76" i="39"/>
  <c r="J117" i="39"/>
  <c r="J38" i="39"/>
  <c r="K60" i="39"/>
  <c r="K93" i="39"/>
  <c r="K41" i="39"/>
  <c r="K84" i="39"/>
  <c r="K105" i="39"/>
  <c r="K86" i="39"/>
  <c r="K75" i="39"/>
  <c r="K37" i="39"/>
  <c r="K71" i="39"/>
  <c r="K44" i="39" s="1"/>
  <c r="J69" i="39"/>
  <c r="L60" i="39"/>
  <c r="L86" i="39"/>
  <c r="L85" i="39"/>
  <c r="L71" i="39"/>
  <c r="L44" i="39" s="1"/>
  <c r="L94" i="39"/>
  <c r="L37" i="39"/>
  <c r="L52" i="39"/>
  <c r="L75" i="39"/>
  <c r="L83" i="39"/>
  <c r="L36" i="39"/>
  <c r="L40" i="39"/>
  <c r="L65" i="39"/>
  <c r="L93" i="39"/>
  <c r="L91" i="39"/>
  <c r="L105" i="39"/>
  <c r="L104" i="39"/>
  <c r="L53" i="39"/>
  <c r="L72" i="39"/>
  <c r="L95" i="39"/>
  <c r="L100" i="39"/>
  <c r="L74" i="39"/>
  <c r="L41" i="39"/>
  <c r="L35" i="39"/>
  <c r="L73" i="39"/>
  <c r="L54" i="39"/>
  <c r="L102" i="39"/>
  <c r="L64" i="39"/>
  <c r="L112" i="39"/>
  <c r="K72" i="39"/>
  <c r="K95" i="39"/>
  <c r="K36" i="39"/>
  <c r="K94" i="39"/>
  <c r="K102" i="39"/>
  <c r="K91" i="39"/>
  <c r="K74" i="39"/>
  <c r="K54" i="39"/>
  <c r="K35" i="39"/>
  <c r="K112" i="39"/>
  <c r="K73" i="39"/>
  <c r="K100" i="39"/>
  <c r="K65" i="39"/>
  <c r="K33" i="39"/>
  <c r="K40" i="39"/>
  <c r="J119" i="39"/>
  <c r="K83" i="39"/>
  <c r="K85" i="39"/>
  <c r="K104" i="39"/>
  <c r="K64" i="39"/>
  <c r="K52" i="39"/>
  <c r="K53" i="39"/>
  <c r="L61" i="39"/>
  <c r="L33" i="39"/>
  <c r="L84" i="39"/>
  <c r="C107" i="39"/>
  <c r="D99" i="39"/>
  <c r="I38" i="39"/>
  <c r="U57" i="31"/>
  <c r="H57" i="31" s="1"/>
  <c r="U43" i="31"/>
  <c r="U81" i="31"/>
  <c r="U65" i="31"/>
  <c r="H65" i="31" s="1"/>
  <c r="U58" i="31"/>
  <c r="H89" i="31"/>
  <c r="L89" i="31"/>
  <c r="K89" i="31"/>
  <c r="I56" i="31"/>
  <c r="J89" i="31"/>
  <c r="L66" i="31"/>
  <c r="K65" i="31" l="1"/>
  <c r="H58" i="31"/>
  <c r="I109" i="39"/>
  <c r="J109" i="39"/>
  <c r="L119" i="39"/>
  <c r="K119" i="39"/>
  <c r="L69" i="39"/>
  <c r="K76" i="39"/>
  <c r="K62" i="39"/>
  <c r="K34" i="39" s="1"/>
  <c r="K116" i="39" s="1"/>
  <c r="K117" i="39"/>
  <c r="L117" i="39"/>
  <c r="L76" i="39"/>
  <c r="K69" i="39"/>
  <c r="L62" i="39"/>
  <c r="L34" i="39" s="1"/>
  <c r="L116" i="39" s="1"/>
  <c r="D106" i="39"/>
  <c r="P99" i="39"/>
  <c r="L65" i="31"/>
  <c r="J65" i="31"/>
  <c r="I65" i="31"/>
  <c r="J56" i="31"/>
  <c r="I57" i="31"/>
  <c r="I58" i="31" s="1"/>
  <c r="K38" i="39" l="1"/>
  <c r="K109" i="39"/>
  <c r="L109" i="39"/>
  <c r="L38" i="39"/>
  <c r="E99" i="39"/>
  <c r="D107" i="39"/>
  <c r="K56" i="31"/>
  <c r="J57" i="31"/>
  <c r="J58" i="31" s="1"/>
  <c r="Q99" i="39" l="1"/>
  <c r="E106" i="39"/>
  <c r="L56" i="31"/>
  <c r="L57" i="31" s="1"/>
  <c r="L58" i="31" s="1"/>
  <c r="K57" i="31"/>
  <c r="K58" i="31" s="1"/>
  <c r="E50" i="35"/>
  <c r="B48" i="35"/>
  <c r="B46" i="35"/>
  <c r="B44" i="35"/>
  <c r="B50" i="35" s="1"/>
  <c r="E28" i="35"/>
  <c r="E17" i="35"/>
  <c r="E31" i="35" s="1"/>
  <c r="B15" i="35"/>
  <c r="B31" i="35" s="1"/>
  <c r="F99" i="39" l="1"/>
  <c r="E107" i="39"/>
  <c r="D9" i="36"/>
  <c r="B9" i="36"/>
  <c r="A42" i="28"/>
  <c r="F106" i="39" l="1"/>
  <c r="R99" i="39"/>
  <c r="L28" i="28"/>
  <c r="H99" i="39" l="1"/>
  <c r="F107" i="39"/>
  <c r="B6" i="28"/>
  <c r="B7" i="28"/>
  <c r="B34" i="28"/>
  <c r="I34" i="28" s="1"/>
  <c r="B33" i="28"/>
  <c r="I33" i="28" s="1"/>
  <c r="B32" i="28"/>
  <c r="I32" i="28" s="1"/>
  <c r="E22" i="28"/>
  <c r="E24" i="28"/>
  <c r="E25" i="28"/>
  <c r="E26" i="28"/>
  <c r="E27" i="28"/>
  <c r="E11" i="28"/>
  <c r="L11" i="28" s="1"/>
  <c r="E12" i="28"/>
  <c r="L12" i="28" s="1"/>
  <c r="E13" i="28"/>
  <c r="L13" i="28" s="1"/>
  <c r="E14" i="28"/>
  <c r="L14" i="28" s="1"/>
  <c r="E15" i="28"/>
  <c r="L15" i="28" s="1"/>
  <c r="E10" i="28"/>
  <c r="L10" i="28" s="1"/>
  <c r="E8" i="28"/>
  <c r="L8" i="28" s="1"/>
  <c r="E4" i="28"/>
  <c r="L4" i="28" s="1"/>
  <c r="B26" i="28"/>
  <c r="B27" i="28"/>
  <c r="B28" i="28"/>
  <c r="B29" i="28"/>
  <c r="B25" i="28"/>
  <c r="B19" i="28"/>
  <c r="B20" i="28"/>
  <c r="B21" i="28"/>
  <c r="B22" i="28"/>
  <c r="B18" i="28"/>
  <c r="B11" i="28"/>
  <c r="B12" i="28"/>
  <c r="B13" i="28"/>
  <c r="B14" i="28"/>
  <c r="B10" i="28"/>
  <c r="B5" i="28"/>
  <c r="B90" i="33"/>
  <c r="B17" i="33" s="1"/>
  <c r="F18" i="25"/>
  <c r="G18" i="25"/>
  <c r="H18" i="25"/>
  <c r="I18" i="25"/>
  <c r="J18" i="25"/>
  <c r="K18" i="25"/>
  <c r="K19" i="25" s="1"/>
  <c r="L18" i="25"/>
  <c r="M18" i="25"/>
  <c r="N18" i="25"/>
  <c r="O18" i="25"/>
  <c r="P18" i="25"/>
  <c r="Q18" i="25"/>
  <c r="R18" i="25"/>
  <c r="S18" i="25"/>
  <c r="S19" i="25" s="1"/>
  <c r="T18" i="25"/>
  <c r="U18" i="25"/>
  <c r="V18" i="25"/>
  <c r="W18" i="25"/>
  <c r="X18" i="25"/>
  <c r="Y18" i="25"/>
  <c r="Z18" i="25"/>
  <c r="AA18" i="25"/>
  <c r="AB18" i="25"/>
  <c r="E18" i="25"/>
  <c r="G55" i="26"/>
  <c r="G58" i="26" s="1"/>
  <c r="G46" i="26"/>
  <c r="G47" i="26"/>
  <c r="G48" i="26"/>
  <c r="G49" i="26"/>
  <c r="G50" i="26"/>
  <c r="G51" i="26"/>
  <c r="D115" i="31"/>
  <c r="E115" i="31"/>
  <c r="F115" i="31"/>
  <c r="D117" i="31"/>
  <c r="E117" i="31"/>
  <c r="F117" i="31"/>
  <c r="D118" i="31"/>
  <c r="E118" i="31"/>
  <c r="F118" i="31"/>
  <c r="C115" i="31"/>
  <c r="H19" i="25" l="1"/>
  <c r="B35" i="28"/>
  <c r="I35" i="28" s="1"/>
  <c r="Y19" i="25"/>
  <c r="Q19" i="25"/>
  <c r="C43" i="28"/>
  <c r="B43" i="28"/>
  <c r="L17" i="28"/>
  <c r="L38" i="28" s="1"/>
  <c r="I10" i="28" s="1"/>
  <c r="I38" i="28" s="1"/>
  <c r="C42" i="28" s="1"/>
  <c r="C44" i="28" s="1"/>
  <c r="E17" i="28"/>
  <c r="G52" i="26"/>
  <c r="G53" i="26" s="1"/>
  <c r="AB19" i="25"/>
  <c r="T19" i="25"/>
  <c r="L19" i="25"/>
  <c r="Z19" i="25"/>
  <c r="I19" i="25"/>
  <c r="V19" i="25"/>
  <c r="N19" i="25"/>
  <c r="F19" i="25"/>
  <c r="AA19" i="25"/>
  <c r="R19" i="25"/>
  <c r="U19" i="25"/>
  <c r="M19" i="25"/>
  <c r="J19" i="25"/>
  <c r="X19" i="25"/>
  <c r="P19" i="25"/>
  <c r="W19" i="25"/>
  <c r="O19" i="25"/>
  <c r="G19" i="25"/>
  <c r="B30" i="28"/>
  <c r="B8" i="28"/>
  <c r="B15" i="28"/>
  <c r="B23" i="28"/>
  <c r="B38" i="28" l="1"/>
  <c r="B42" i="28" s="1"/>
  <c r="B44" i="28" s="1"/>
  <c r="G54" i="26"/>
  <c r="B23" i="25"/>
  <c r="C118" i="31" l="1"/>
  <c r="C117" i="31"/>
  <c r="B115" i="31"/>
  <c r="F95" i="31"/>
  <c r="E95" i="31"/>
  <c r="D95" i="31"/>
  <c r="C95" i="31"/>
  <c r="B95" i="31"/>
  <c r="F87" i="31"/>
  <c r="E87" i="31"/>
  <c r="D87" i="31"/>
  <c r="C87" i="31"/>
  <c r="B87" i="31"/>
  <c r="F75" i="31"/>
  <c r="E75" i="31"/>
  <c r="D75" i="31"/>
  <c r="C75" i="31"/>
  <c r="B75" i="31"/>
  <c r="F68" i="31"/>
  <c r="E68" i="31"/>
  <c r="D68" i="31"/>
  <c r="C68" i="31"/>
  <c r="B68" i="31"/>
  <c r="F61" i="31"/>
  <c r="R33" i="31" s="1"/>
  <c r="E61" i="31"/>
  <c r="Q33" i="31" s="1"/>
  <c r="D61" i="31"/>
  <c r="P33" i="31" s="1"/>
  <c r="C61" i="31"/>
  <c r="O33" i="31" s="1"/>
  <c r="B61" i="31"/>
  <c r="N33" i="31" s="1"/>
  <c r="U60" i="31"/>
  <c r="F54" i="31"/>
  <c r="E54" i="31"/>
  <c r="D54" i="31"/>
  <c r="C54" i="31"/>
  <c r="B54" i="31"/>
  <c r="F37" i="31"/>
  <c r="E37" i="31"/>
  <c r="D37" i="31"/>
  <c r="C37" i="31"/>
  <c r="B37" i="31"/>
  <c r="B25" i="31"/>
  <c r="B24" i="31"/>
  <c r="F23" i="31"/>
  <c r="E23" i="31"/>
  <c r="E26" i="31" s="1"/>
  <c r="D23" i="31"/>
  <c r="D26" i="31" s="1"/>
  <c r="C23" i="31"/>
  <c r="C26" i="31" s="1"/>
  <c r="B21" i="31"/>
  <c r="B23" i="31" s="1"/>
  <c r="B16" i="31"/>
  <c r="F15" i="31"/>
  <c r="E15" i="31"/>
  <c r="D15" i="31"/>
  <c r="C15" i="31"/>
  <c r="C18" i="31" s="1"/>
  <c r="B15" i="31"/>
  <c r="J60" i="31" l="1"/>
  <c r="L60" i="31"/>
  <c r="I60" i="31"/>
  <c r="K60" i="31"/>
  <c r="H60" i="31"/>
  <c r="E77" i="31"/>
  <c r="F77" i="31"/>
  <c r="C77" i="31"/>
  <c r="B77" i="31"/>
  <c r="D77" i="31"/>
  <c r="U91" i="31"/>
  <c r="B18" i="31"/>
  <c r="C29" i="31"/>
  <c r="D18" i="31"/>
  <c r="D29" i="31" s="1"/>
  <c r="E18" i="31"/>
  <c r="B26" i="31"/>
  <c r="F18" i="31"/>
  <c r="F26" i="31"/>
  <c r="D32" i="24" l="1"/>
  <c r="C32" i="24"/>
  <c r="O24" i="31"/>
  <c r="O103" i="31"/>
  <c r="O90" i="31"/>
  <c r="O72" i="31"/>
  <c r="O51" i="31"/>
  <c r="O89" i="31"/>
  <c r="O50" i="31"/>
  <c r="O70" i="31"/>
  <c r="O101" i="31"/>
  <c r="O71" i="31"/>
  <c r="O74" i="31"/>
  <c r="O85" i="31"/>
  <c r="O59" i="31"/>
  <c r="O99" i="31"/>
  <c r="O84" i="31"/>
  <c r="O64" i="31"/>
  <c r="O82" i="31"/>
  <c r="O53" i="31"/>
  <c r="O83" i="31"/>
  <c r="O63" i="31"/>
  <c r="O94" i="31"/>
  <c r="O93" i="31"/>
  <c r="O104" i="31"/>
  <c r="O92" i="31"/>
  <c r="O73" i="31"/>
  <c r="O52" i="31"/>
  <c r="P99" i="31"/>
  <c r="P84" i="31"/>
  <c r="P64" i="31"/>
  <c r="P63" i="31"/>
  <c r="P72" i="31"/>
  <c r="P71" i="31"/>
  <c r="P83" i="31"/>
  <c r="P51" i="31"/>
  <c r="P94" i="31"/>
  <c r="P82" i="31"/>
  <c r="P59" i="31"/>
  <c r="P90" i="31"/>
  <c r="P89" i="31"/>
  <c r="P50" i="31"/>
  <c r="P93" i="31"/>
  <c r="P74" i="31"/>
  <c r="P53" i="31"/>
  <c r="P101" i="31"/>
  <c r="P104" i="31"/>
  <c r="P92" i="31"/>
  <c r="P73" i="31"/>
  <c r="P52" i="31"/>
  <c r="P103" i="31"/>
  <c r="P85" i="31"/>
  <c r="P70" i="31"/>
  <c r="O39" i="31"/>
  <c r="O35" i="31"/>
  <c r="P39" i="31"/>
  <c r="O25" i="31"/>
  <c r="O13" i="31"/>
  <c r="O17" i="31"/>
  <c r="O16" i="31"/>
  <c r="P36" i="31"/>
  <c r="O32" i="31"/>
  <c r="O40" i="31"/>
  <c r="C44" i="31"/>
  <c r="O28" i="31"/>
  <c r="P13" i="31"/>
  <c r="O21" i="31"/>
  <c r="P34" i="31"/>
  <c r="P16" i="31"/>
  <c r="P17" i="31"/>
  <c r="P22" i="31"/>
  <c r="P14" i="31"/>
  <c r="P35" i="31"/>
  <c r="P32" i="31"/>
  <c r="P25" i="31"/>
  <c r="P21" i="31"/>
  <c r="P24" i="31"/>
  <c r="P40" i="31"/>
  <c r="D44" i="31"/>
  <c r="D46" i="31" s="1"/>
  <c r="P28" i="31"/>
  <c r="O36" i="31"/>
  <c r="O14" i="31"/>
  <c r="O34" i="31"/>
  <c r="O22" i="31"/>
  <c r="E29" i="31"/>
  <c r="E32" i="24" s="1"/>
  <c r="F29" i="31"/>
  <c r="F32" i="24" s="1"/>
  <c r="B29" i="31"/>
  <c r="B32" i="24" s="1"/>
  <c r="P102" i="31" l="1"/>
  <c r="D45" i="24"/>
  <c r="D11" i="24"/>
  <c r="N94" i="31"/>
  <c r="N82" i="31"/>
  <c r="N59" i="31"/>
  <c r="N74" i="31"/>
  <c r="U74" i="31" s="1"/>
  <c r="N52" i="31"/>
  <c r="N84" i="31"/>
  <c r="N93" i="31"/>
  <c r="N53" i="31"/>
  <c r="N73" i="31"/>
  <c r="N104" i="31"/>
  <c r="N92" i="31"/>
  <c r="N70" i="31"/>
  <c r="N99" i="31"/>
  <c r="N103" i="31"/>
  <c r="N90" i="31"/>
  <c r="N72" i="31"/>
  <c r="N51" i="31"/>
  <c r="N101" i="31"/>
  <c r="N89" i="31"/>
  <c r="N71" i="31"/>
  <c r="N50" i="31"/>
  <c r="N64" i="31"/>
  <c r="N98" i="31"/>
  <c r="N83" i="31"/>
  <c r="N63" i="31"/>
  <c r="N85" i="31"/>
  <c r="R101" i="31"/>
  <c r="U101" i="31" s="1"/>
  <c r="R89" i="31"/>
  <c r="R71" i="31"/>
  <c r="R50" i="31"/>
  <c r="R70" i="31"/>
  <c r="R93" i="31"/>
  <c r="R73" i="31"/>
  <c r="R85" i="31"/>
  <c r="R53" i="31"/>
  <c r="R92" i="31"/>
  <c r="R99" i="31"/>
  <c r="R84" i="31"/>
  <c r="R64" i="31"/>
  <c r="R52" i="31"/>
  <c r="R83" i="31"/>
  <c r="R63" i="31"/>
  <c r="R74" i="31"/>
  <c r="R94" i="31"/>
  <c r="R82" i="31"/>
  <c r="R59" i="31"/>
  <c r="U59" i="31" s="1"/>
  <c r="R104" i="31"/>
  <c r="R103" i="31"/>
  <c r="U103" i="31" s="1"/>
  <c r="R90" i="31"/>
  <c r="R72" i="31"/>
  <c r="R51" i="31"/>
  <c r="Q93" i="31"/>
  <c r="Q74" i="31"/>
  <c r="Q53" i="31"/>
  <c r="Q104" i="31"/>
  <c r="Q73" i="31"/>
  <c r="Q83" i="31"/>
  <c r="Q92" i="31"/>
  <c r="Q52" i="31"/>
  <c r="Q103" i="31"/>
  <c r="Q90" i="31"/>
  <c r="Q72" i="31"/>
  <c r="Q51" i="31"/>
  <c r="Q99" i="31"/>
  <c r="Q101" i="31"/>
  <c r="Q89" i="31"/>
  <c r="Q71" i="31"/>
  <c r="Q50" i="31"/>
  <c r="Q85" i="31"/>
  <c r="Q70" i="31"/>
  <c r="Q84" i="31"/>
  <c r="Q63" i="31"/>
  <c r="Q64" i="31"/>
  <c r="Q94" i="31"/>
  <c r="Q82" i="31"/>
  <c r="Q59" i="31"/>
  <c r="D114" i="31"/>
  <c r="D100" i="31"/>
  <c r="P100" i="31" s="1"/>
  <c r="C46" i="31"/>
  <c r="R35" i="31"/>
  <c r="R25" i="31"/>
  <c r="F44" i="31"/>
  <c r="R39" i="31"/>
  <c r="R24" i="31"/>
  <c r="R14" i="31"/>
  <c r="R22" i="31"/>
  <c r="R13" i="31"/>
  <c r="R21" i="31"/>
  <c r="R40" i="31"/>
  <c r="R32" i="31"/>
  <c r="R34" i="31"/>
  <c r="R36" i="31"/>
  <c r="R28" i="31"/>
  <c r="R17" i="31"/>
  <c r="R16" i="31"/>
  <c r="Q28" i="31"/>
  <c r="Q24" i="31"/>
  <c r="Q21" i="31"/>
  <c r="Q16" i="31"/>
  <c r="Q13" i="31"/>
  <c r="Q35" i="31"/>
  <c r="Q39" i="31"/>
  <c r="E44" i="31"/>
  <c r="Q32" i="31"/>
  <c r="Q14" i="31"/>
  <c r="Q34" i="31"/>
  <c r="Q36" i="31"/>
  <c r="Q25" i="31"/>
  <c r="Q40" i="31"/>
  <c r="Q22" i="31"/>
  <c r="Q17" i="31"/>
  <c r="N36" i="31"/>
  <c r="N34" i="31"/>
  <c r="N32" i="31"/>
  <c r="B44" i="31"/>
  <c r="N40" i="31"/>
  <c r="N13" i="31"/>
  <c r="N28" i="31"/>
  <c r="N17" i="31"/>
  <c r="N39" i="31"/>
  <c r="N35" i="31"/>
  <c r="N14" i="31"/>
  <c r="N22" i="31"/>
  <c r="N24" i="31"/>
  <c r="N21" i="31"/>
  <c r="N25" i="31"/>
  <c r="N16" i="31"/>
  <c r="U82" i="31" l="1"/>
  <c r="U83" i="31"/>
  <c r="U72" i="31"/>
  <c r="U90" i="31"/>
  <c r="C45" i="24"/>
  <c r="D25" i="24" s="1"/>
  <c r="C11" i="24"/>
  <c r="U64" i="31"/>
  <c r="U52" i="31"/>
  <c r="U70" i="31"/>
  <c r="C100" i="31"/>
  <c r="O100" i="31" s="1"/>
  <c r="O102" i="31"/>
  <c r="U93" i="31"/>
  <c r="U92" i="31"/>
  <c r="U84" i="31"/>
  <c r="U50" i="31"/>
  <c r="U71" i="31"/>
  <c r="U85" i="31"/>
  <c r="U63" i="31"/>
  <c r="U51" i="31"/>
  <c r="U73" i="31"/>
  <c r="U94" i="31"/>
  <c r="C114" i="31"/>
  <c r="W32" i="31"/>
  <c r="W39" i="31"/>
  <c r="U40" i="31"/>
  <c r="U41" i="31"/>
  <c r="U42" i="31" s="1"/>
  <c r="B46" i="31"/>
  <c r="W34" i="31"/>
  <c r="W36" i="31"/>
  <c r="E46" i="31"/>
  <c r="U36" i="31"/>
  <c r="U34" i="31"/>
  <c r="U35" i="31"/>
  <c r="U39" i="31"/>
  <c r="F46" i="31"/>
  <c r="W41" i="31"/>
  <c r="W42" i="31" s="1"/>
  <c r="W35" i="31"/>
  <c r="W40" i="31"/>
  <c r="U32" i="31"/>
  <c r="E33" i="26"/>
  <c r="E34" i="26"/>
  <c r="E35" i="26"/>
  <c r="E36" i="26"/>
  <c r="E37" i="26"/>
  <c r="E38" i="26"/>
  <c r="E39" i="26"/>
  <c r="E40" i="26"/>
  <c r="E41" i="26"/>
  <c r="E32" i="26"/>
  <c r="D33" i="26"/>
  <c r="D34" i="26"/>
  <c r="D35" i="26"/>
  <c r="D36" i="26"/>
  <c r="D37" i="26"/>
  <c r="D38" i="26"/>
  <c r="D39" i="26"/>
  <c r="D40" i="26"/>
  <c r="D41" i="26"/>
  <c r="D32" i="26"/>
  <c r="C33" i="26"/>
  <c r="C34" i="26"/>
  <c r="C35" i="26"/>
  <c r="C36" i="26"/>
  <c r="C37" i="26"/>
  <c r="C38" i="26"/>
  <c r="C39" i="26"/>
  <c r="C40" i="26"/>
  <c r="C41" i="26"/>
  <c r="C32" i="26"/>
  <c r="E22" i="26"/>
  <c r="F17" i="33" s="1"/>
  <c r="F18" i="33" s="1"/>
  <c r="F19" i="33" s="1"/>
  <c r="B43" i="24"/>
  <c r="C43" i="24"/>
  <c r="C44" i="24" s="1"/>
  <c r="C27" i="33" s="1"/>
  <c r="D43" i="24"/>
  <c r="D44" i="24" s="1"/>
  <c r="D27" i="33" s="1"/>
  <c r="E43" i="24"/>
  <c r="E44" i="24" s="1"/>
  <c r="E27" i="33" s="1"/>
  <c r="F43" i="24"/>
  <c r="F22" i="26"/>
  <c r="C25" i="26"/>
  <c r="D25" i="26"/>
  <c r="E25" i="26"/>
  <c r="F25" i="26"/>
  <c r="G25" i="26"/>
  <c r="H25" i="26"/>
  <c r="I25" i="26"/>
  <c r="K25" i="26"/>
  <c r="L25" i="26"/>
  <c r="C26" i="26"/>
  <c r="D26" i="26"/>
  <c r="E26" i="26"/>
  <c r="F26" i="26"/>
  <c r="G26" i="26"/>
  <c r="H26" i="26"/>
  <c r="I26" i="26"/>
  <c r="K26" i="26"/>
  <c r="L26" i="26"/>
  <c r="C27" i="26"/>
  <c r="D27" i="26"/>
  <c r="E27" i="26"/>
  <c r="F27" i="26"/>
  <c r="G27" i="26"/>
  <c r="H27" i="26"/>
  <c r="I27" i="26"/>
  <c r="K27" i="26"/>
  <c r="L27" i="26"/>
  <c r="C28" i="26"/>
  <c r="D28" i="26"/>
  <c r="E28" i="26"/>
  <c r="F28" i="26"/>
  <c r="G28" i="26"/>
  <c r="H28" i="26"/>
  <c r="I28" i="26"/>
  <c r="K28" i="26"/>
  <c r="L28" i="26"/>
  <c r="B22" i="26"/>
  <c r="F48" i="24" s="1"/>
  <c r="B82" i="33" s="1"/>
  <c r="B94" i="33" s="1"/>
  <c r="B12" i="26"/>
  <c r="B33" i="26" s="1"/>
  <c r="B13" i="26"/>
  <c r="B34" i="26" s="1"/>
  <c r="B14" i="26"/>
  <c r="B35" i="26" s="1"/>
  <c r="B15" i="26"/>
  <c r="B36" i="26" s="1"/>
  <c r="B16" i="26"/>
  <c r="B37" i="26" s="1"/>
  <c r="B17" i="26"/>
  <c r="B38" i="26" s="1"/>
  <c r="B18" i="26"/>
  <c r="B39" i="26" s="1"/>
  <c r="B19" i="26"/>
  <c r="B40" i="26" s="1"/>
  <c r="B20" i="26"/>
  <c r="B41" i="26" s="1"/>
  <c r="B11" i="26"/>
  <c r="B32" i="26" s="1"/>
  <c r="F41" i="26" l="1"/>
  <c r="E32" i="33"/>
  <c r="D32" i="33"/>
  <c r="F44" i="24"/>
  <c r="F27" i="33" s="1"/>
  <c r="F32" i="33" s="1"/>
  <c r="E23" i="46"/>
  <c r="F39" i="26"/>
  <c r="F33" i="26"/>
  <c r="C48" i="26"/>
  <c r="C47" i="26"/>
  <c r="C55" i="26"/>
  <c r="C49" i="26"/>
  <c r="C58" i="26" s="1"/>
  <c r="C46" i="26"/>
  <c r="C51" i="26"/>
  <c r="C50" i="26"/>
  <c r="F40" i="26"/>
  <c r="D50" i="26"/>
  <c r="D55" i="26"/>
  <c r="D58" i="26" s="1"/>
  <c r="D49" i="26"/>
  <c r="D46" i="26"/>
  <c r="D51" i="26"/>
  <c r="D48" i="26"/>
  <c r="D47" i="26"/>
  <c r="F38" i="26"/>
  <c r="E46" i="26"/>
  <c r="E51" i="26"/>
  <c r="E48" i="26"/>
  <c r="E50" i="26"/>
  <c r="E49" i="26"/>
  <c r="E58" i="26" s="1"/>
  <c r="E55" i="26"/>
  <c r="E47" i="26"/>
  <c r="F37" i="26"/>
  <c r="F36" i="26"/>
  <c r="B51" i="26"/>
  <c r="B48" i="26"/>
  <c r="B55" i="26"/>
  <c r="B58" i="26" s="1"/>
  <c r="B49" i="26"/>
  <c r="B46" i="26"/>
  <c r="B50" i="26"/>
  <c r="B47" i="26"/>
  <c r="F32" i="26"/>
  <c r="F35" i="26"/>
  <c r="F34" i="26"/>
  <c r="F45" i="24"/>
  <c r="F11" i="24"/>
  <c r="Q102" i="31"/>
  <c r="E45" i="24"/>
  <c r="E25" i="24" s="1"/>
  <c r="E11" i="24"/>
  <c r="B11" i="24"/>
  <c r="B45" i="24"/>
  <c r="F114" i="31"/>
  <c r="R102" i="31"/>
  <c r="B100" i="31"/>
  <c r="N100" i="31" s="1"/>
  <c r="N102" i="31"/>
  <c r="C45" i="28"/>
  <c r="C46" i="28" s="1"/>
  <c r="C47" i="28" s="1"/>
  <c r="B45" i="28"/>
  <c r="B46" i="28" s="1"/>
  <c r="B47" i="28" s="1"/>
  <c r="D60" i="26"/>
  <c r="E60" i="26"/>
  <c r="G60" i="26"/>
  <c r="C60" i="26"/>
  <c r="F100" i="31"/>
  <c r="R100" i="31" s="1"/>
  <c r="E114" i="31"/>
  <c r="E100" i="31"/>
  <c r="Q100" i="31" s="1"/>
  <c r="B44" i="24"/>
  <c r="B27" i="33" s="1"/>
  <c r="C32" i="33" s="1"/>
  <c r="G22" i="26"/>
  <c r="B114" i="31"/>
  <c r="B28" i="26"/>
  <c r="B26" i="26"/>
  <c r="B25" i="26"/>
  <c r="B27" i="26"/>
  <c r="F16" i="25"/>
  <c r="G16" i="25"/>
  <c r="H16" i="25"/>
  <c r="I16" i="25"/>
  <c r="J16" i="25"/>
  <c r="K16" i="25"/>
  <c r="K17" i="25" s="1"/>
  <c r="L16" i="25"/>
  <c r="L17" i="25" s="1"/>
  <c r="M16" i="25"/>
  <c r="N16" i="25"/>
  <c r="O16" i="25"/>
  <c r="P16" i="25"/>
  <c r="Q16" i="25"/>
  <c r="R16" i="25"/>
  <c r="R17" i="25" s="1"/>
  <c r="S16" i="25"/>
  <c r="S17" i="25" s="1"/>
  <c r="T16" i="25"/>
  <c r="T17" i="25" s="1"/>
  <c r="U16" i="25"/>
  <c r="V16" i="25"/>
  <c r="W16" i="25"/>
  <c r="X16" i="25"/>
  <c r="Y16" i="25"/>
  <c r="Z16" i="25"/>
  <c r="Z17" i="25" s="1"/>
  <c r="AA16" i="25"/>
  <c r="AA17" i="25" s="1"/>
  <c r="AB16" i="25"/>
  <c r="AB17" i="25" s="1"/>
  <c r="E16" i="25"/>
  <c r="J10" i="25"/>
  <c r="K10" i="25"/>
  <c r="L10" i="25"/>
  <c r="M10" i="25"/>
  <c r="N10" i="25"/>
  <c r="O10" i="25"/>
  <c r="P10" i="25"/>
  <c r="Q10" i="25"/>
  <c r="R10" i="25"/>
  <c r="S10" i="25"/>
  <c r="T10" i="25"/>
  <c r="U10" i="25"/>
  <c r="V10" i="25"/>
  <c r="W10" i="25"/>
  <c r="X10" i="25"/>
  <c r="Y10" i="25"/>
  <c r="Z10" i="25"/>
  <c r="AA10" i="25"/>
  <c r="AB10" i="25"/>
  <c r="F12" i="24"/>
  <c r="E12" i="24"/>
  <c r="D12" i="24"/>
  <c r="C12" i="24"/>
  <c r="B12" i="24"/>
  <c r="I46" i="24"/>
  <c r="J46" i="24"/>
  <c r="K46" i="24"/>
  <c r="L46" i="24"/>
  <c r="H46" i="24"/>
  <c r="H15" i="20"/>
  <c r="H11" i="20"/>
  <c r="N42" i="19"/>
  <c r="P42" i="19" s="1"/>
  <c r="G11" i="12"/>
  <c r="G7" i="12"/>
  <c r="C33" i="33" l="1"/>
  <c r="B11" i="33" s="1"/>
  <c r="F12" i="33" s="1"/>
  <c r="D20" i="20"/>
  <c r="G61" i="46"/>
  <c r="E61" i="46"/>
  <c r="G23" i="46"/>
  <c r="D61" i="46"/>
  <c r="C61" i="46"/>
  <c r="J22" i="26"/>
  <c r="D59" i="26" s="1"/>
  <c r="D61" i="26" s="1"/>
  <c r="D62" i="26" s="1"/>
  <c r="J23" i="46"/>
  <c r="D60" i="46" s="1"/>
  <c r="D21" i="20"/>
  <c r="H127" i="31"/>
  <c r="E12" i="34"/>
  <c r="K22" i="26"/>
  <c r="B62" i="26" s="1"/>
  <c r="K23" i="46"/>
  <c r="H17" i="25"/>
  <c r="D53" i="26"/>
  <c r="C52" i="26"/>
  <c r="C54" i="26" s="1"/>
  <c r="D52" i="26"/>
  <c r="D54" i="26" s="1"/>
  <c r="B52" i="26"/>
  <c r="B53" i="26" s="1"/>
  <c r="B54" i="26"/>
  <c r="E52" i="26"/>
  <c r="E54" i="26" s="1"/>
  <c r="F48" i="26"/>
  <c r="F58" i="26" s="1"/>
  <c r="F49" i="26"/>
  <c r="F47" i="26"/>
  <c r="F46" i="26"/>
  <c r="F51" i="26"/>
  <c r="F55" i="26"/>
  <c r="F50" i="26"/>
  <c r="U102" i="31"/>
  <c r="B43" i="26"/>
  <c r="B105" i="31"/>
  <c r="C98" i="31" s="1"/>
  <c r="O98" i="31" s="1"/>
  <c r="Y17" i="25"/>
  <c r="Q17" i="25"/>
  <c r="X17" i="25"/>
  <c r="P17" i="25"/>
  <c r="W17" i="25"/>
  <c r="O17" i="25"/>
  <c r="G17" i="25"/>
  <c r="I17" i="25"/>
  <c r="V17" i="25"/>
  <c r="N17" i="25"/>
  <c r="J17" i="25"/>
  <c r="F17" i="25"/>
  <c r="U17" i="25"/>
  <c r="M17" i="25"/>
  <c r="D23" i="24"/>
  <c r="E23" i="24"/>
  <c r="C23" i="24"/>
  <c r="U42" i="19"/>
  <c r="T42" i="19"/>
  <c r="W42" i="19"/>
  <c r="V42" i="19"/>
  <c r="S42" i="19"/>
  <c r="J50" i="21"/>
  <c r="F29" i="24" s="1"/>
  <c r="H50" i="21"/>
  <c r="E29" i="24" s="1"/>
  <c r="F50" i="21"/>
  <c r="D29" i="24" s="1"/>
  <c r="D50" i="21"/>
  <c r="C29" i="24" s="1"/>
  <c r="B50" i="21"/>
  <c r="D43" i="26" l="1"/>
  <c r="D44" i="46"/>
  <c r="B29" i="24"/>
  <c r="B44" i="46"/>
  <c r="B63" i="46"/>
  <c r="G127" i="31"/>
  <c r="D12" i="34"/>
  <c r="D62" i="46"/>
  <c r="D63" i="46" s="1"/>
  <c r="G126" i="31"/>
  <c r="D11" i="34"/>
  <c r="F52" i="26"/>
  <c r="F54" i="26" s="1"/>
  <c r="E53" i="26"/>
  <c r="C53" i="26"/>
  <c r="B106" i="31"/>
  <c r="C105" i="31"/>
  <c r="B22" i="25"/>
  <c r="G9" i="12"/>
  <c r="G10" i="12"/>
  <c r="G12" i="12"/>
  <c r="G13" i="12"/>
  <c r="G14" i="12"/>
  <c r="G15" i="12"/>
  <c r="G16" i="12"/>
  <c r="G17" i="12"/>
  <c r="G8" i="12"/>
  <c r="C18" i="12"/>
  <c r="D18" i="12"/>
  <c r="E18" i="12"/>
  <c r="F18" i="12"/>
  <c r="B18" i="12"/>
  <c r="F57" i="16"/>
  <c r="B17" i="21"/>
  <c r="D17" i="21"/>
  <c r="C28" i="24" s="1"/>
  <c r="F17" i="21"/>
  <c r="D28" i="24" s="1"/>
  <c r="H17" i="21"/>
  <c r="E28" i="24" s="1"/>
  <c r="J17" i="21"/>
  <c r="F28" i="24" s="1"/>
  <c r="B24" i="21"/>
  <c r="D24" i="21"/>
  <c r="F24" i="21"/>
  <c r="H24" i="21"/>
  <c r="J24" i="21"/>
  <c r="B31" i="21"/>
  <c r="D31" i="21"/>
  <c r="F31" i="21"/>
  <c r="H31" i="21"/>
  <c r="J31" i="21"/>
  <c r="B38" i="21"/>
  <c r="D38" i="21"/>
  <c r="F38" i="21"/>
  <c r="H38" i="21"/>
  <c r="J38" i="21"/>
  <c r="J58" i="21"/>
  <c r="H58" i="21"/>
  <c r="F58" i="21"/>
  <c r="D58" i="21"/>
  <c r="B58" i="21"/>
  <c r="P13" i="19"/>
  <c r="P11" i="20"/>
  <c r="P14" i="20"/>
  <c r="C20" i="20" s="1"/>
  <c r="P15" i="20"/>
  <c r="J37" i="19"/>
  <c r="H37" i="19"/>
  <c r="F37" i="19"/>
  <c r="D37" i="19"/>
  <c r="B37" i="19"/>
  <c r="B25" i="19"/>
  <c r="B24" i="19"/>
  <c r="J23" i="19"/>
  <c r="J26" i="19" s="1"/>
  <c r="H23" i="19"/>
  <c r="H26" i="19" s="1"/>
  <c r="F23" i="19"/>
  <c r="F26" i="19" s="1"/>
  <c r="D23" i="19"/>
  <c r="D26" i="19" s="1"/>
  <c r="B21" i="19"/>
  <c r="B23" i="19" s="1"/>
  <c r="B16" i="19"/>
  <c r="J15" i="19"/>
  <c r="H15" i="19"/>
  <c r="H18" i="19" s="1"/>
  <c r="F15" i="19"/>
  <c r="F18" i="19" s="1"/>
  <c r="D15" i="19"/>
  <c r="D18" i="19" s="1"/>
  <c r="B15" i="19"/>
  <c r="D31" i="16"/>
  <c r="E31" i="16"/>
  <c r="F31" i="16"/>
  <c r="C31" i="16"/>
  <c r="B31" i="16"/>
  <c r="C23" i="16"/>
  <c r="D23" i="16"/>
  <c r="E23" i="16"/>
  <c r="F23" i="16"/>
  <c r="B23" i="16"/>
  <c r="B23" i="17"/>
  <c r="B15" i="17"/>
  <c r="B24" i="17"/>
  <c r="B20" i="17"/>
  <c r="B22" i="17" s="1"/>
  <c r="C22" i="17"/>
  <c r="C25" i="17" s="1"/>
  <c r="D22" i="17"/>
  <c r="D25" i="17" s="1"/>
  <c r="E22" i="17"/>
  <c r="E25" i="17" s="1"/>
  <c r="F22" i="17"/>
  <c r="F25" i="17" s="1"/>
  <c r="C14" i="17"/>
  <c r="C17" i="17" s="1"/>
  <c r="D14" i="17"/>
  <c r="D17" i="17" s="1"/>
  <c r="E14" i="17"/>
  <c r="E17" i="17" s="1"/>
  <c r="F14" i="17"/>
  <c r="F17" i="17" s="1"/>
  <c r="B14" i="17"/>
  <c r="C57" i="16"/>
  <c r="D57" i="16"/>
  <c r="E57" i="16"/>
  <c r="B57" i="16"/>
  <c r="C38" i="16"/>
  <c r="D38" i="16"/>
  <c r="E38" i="16"/>
  <c r="F38" i="16"/>
  <c r="B38" i="16"/>
  <c r="F36" i="17"/>
  <c r="E36" i="17"/>
  <c r="D36" i="17"/>
  <c r="C36" i="17"/>
  <c r="B36" i="17"/>
  <c r="C28" i="17" l="1"/>
  <c r="C43" i="17" s="1"/>
  <c r="C16" i="34"/>
  <c r="W14" i="31"/>
  <c r="W17" i="31"/>
  <c r="W13" i="31"/>
  <c r="W16" i="31"/>
  <c r="F53" i="26"/>
  <c r="F126" i="31"/>
  <c r="C11" i="34"/>
  <c r="C21" i="20"/>
  <c r="B28" i="24"/>
  <c r="H126" i="31"/>
  <c r="F128" i="31" s="1"/>
  <c r="B125" i="31" s="1"/>
  <c r="E11" i="34"/>
  <c r="C23" i="20"/>
  <c r="W25" i="31"/>
  <c r="W28" i="31"/>
  <c r="W22" i="31"/>
  <c r="W24" i="31"/>
  <c r="W21" i="31"/>
  <c r="D98" i="31"/>
  <c r="P98" i="31" s="1"/>
  <c r="C106" i="31"/>
  <c r="P21" i="19"/>
  <c r="N16" i="19"/>
  <c r="S16" i="19" s="1"/>
  <c r="H40" i="21"/>
  <c r="P14" i="19"/>
  <c r="P17" i="19"/>
  <c r="P28" i="19"/>
  <c r="P25" i="19"/>
  <c r="P16" i="19"/>
  <c r="P24" i="19"/>
  <c r="P22" i="19"/>
  <c r="G18" i="12"/>
  <c r="J18" i="19"/>
  <c r="J29" i="19" s="1"/>
  <c r="J40" i="21"/>
  <c r="D40" i="21"/>
  <c r="F40" i="21"/>
  <c r="B40" i="21"/>
  <c r="B26" i="19"/>
  <c r="F29" i="19"/>
  <c r="D24" i="24" s="1"/>
  <c r="H29" i="19"/>
  <c r="B18" i="19"/>
  <c r="D29" i="19"/>
  <c r="D28" i="17"/>
  <c r="D43" i="17" s="1"/>
  <c r="D45" i="17" s="1"/>
  <c r="D62" i="16" s="1"/>
  <c r="E28" i="17"/>
  <c r="E43" i="17" s="1"/>
  <c r="E45" i="17" s="1"/>
  <c r="E62" i="16" s="1"/>
  <c r="B17" i="17"/>
  <c r="F28" i="17"/>
  <c r="F43" i="17" s="1"/>
  <c r="F45" i="17" s="1"/>
  <c r="F62" i="16" s="1"/>
  <c r="B25" i="17"/>
  <c r="B28" i="17" s="1"/>
  <c r="B43" i="17" s="1"/>
  <c r="B45" i="17" s="1"/>
  <c r="B62" i="16" s="1"/>
  <c r="B67" i="16" s="1"/>
  <c r="C45" i="17"/>
  <c r="C62" i="16" s="1"/>
  <c r="C121" i="39" l="1"/>
  <c r="E120" i="39"/>
  <c r="F121" i="39"/>
  <c r="C120" i="39"/>
  <c r="C122" i="39" s="1"/>
  <c r="E121" i="39"/>
  <c r="B120" i="39"/>
  <c r="D121" i="39"/>
  <c r="B121" i="39"/>
  <c r="F120" i="39"/>
  <c r="D120" i="39"/>
  <c r="H120" i="39"/>
  <c r="L120" i="39"/>
  <c r="J120" i="39"/>
  <c r="K120" i="39"/>
  <c r="I120" i="39"/>
  <c r="E119" i="31"/>
  <c r="C119" i="31"/>
  <c r="F120" i="31"/>
  <c r="C120" i="31"/>
  <c r="F119" i="31"/>
  <c r="F121" i="31" s="1"/>
  <c r="D120" i="31"/>
  <c r="E120" i="31"/>
  <c r="F13" i="33"/>
  <c r="B119" i="31"/>
  <c r="B121" i="31" s="1"/>
  <c r="D119" i="31"/>
  <c r="B120" i="31"/>
  <c r="U45" i="31"/>
  <c r="W45" i="31"/>
  <c r="C14" i="42"/>
  <c r="C18" i="42" s="1"/>
  <c r="C13" i="34"/>
  <c r="C17" i="34" s="1"/>
  <c r="G15" i="19"/>
  <c r="F127" i="31"/>
  <c r="C12" i="34"/>
  <c r="E24" i="24"/>
  <c r="H23" i="46"/>
  <c r="L23" i="46"/>
  <c r="L22" i="26"/>
  <c r="H22" i="26"/>
  <c r="U17" i="31"/>
  <c r="U16" i="31"/>
  <c r="U14" i="31"/>
  <c r="U13" i="31"/>
  <c r="H13" i="31" s="1"/>
  <c r="D105" i="31"/>
  <c r="N14" i="19"/>
  <c r="S14" i="19" s="1"/>
  <c r="T14" i="19" s="1"/>
  <c r="U14" i="19" s="1"/>
  <c r="V14" i="19" s="1"/>
  <c r="W14" i="19" s="1"/>
  <c r="N13" i="19"/>
  <c r="S13" i="19" s="1"/>
  <c r="T13" i="19" s="1"/>
  <c r="U13" i="19" s="1"/>
  <c r="V13" i="19" s="1"/>
  <c r="W13" i="19" s="1"/>
  <c r="H17" i="31"/>
  <c r="I17" i="31" s="1"/>
  <c r="J17" i="31" s="1"/>
  <c r="K17" i="31" s="1"/>
  <c r="L17" i="31" s="1"/>
  <c r="H14" i="31"/>
  <c r="I14" i="31" s="1"/>
  <c r="J14" i="31" s="1"/>
  <c r="K14" i="31" s="1"/>
  <c r="L14" i="31" s="1"/>
  <c r="H16" i="31"/>
  <c r="I16" i="31" s="1"/>
  <c r="J16" i="31" s="1"/>
  <c r="K16" i="31" s="1"/>
  <c r="L16" i="31" s="1"/>
  <c r="N17" i="19"/>
  <c r="S17" i="19" s="1"/>
  <c r="T17" i="19" s="1"/>
  <c r="U17" i="19" s="1"/>
  <c r="V17" i="19" s="1"/>
  <c r="W17" i="19" s="1"/>
  <c r="F24" i="24"/>
  <c r="D42" i="24"/>
  <c r="D20" i="24" s="1"/>
  <c r="E42" i="24"/>
  <c r="E20" i="24" s="1"/>
  <c r="C42" i="24"/>
  <c r="C20" i="24" s="1"/>
  <c r="B42" i="24"/>
  <c r="F42" i="24"/>
  <c r="I18" i="19"/>
  <c r="I49" i="21"/>
  <c r="I47" i="21"/>
  <c r="I48" i="21"/>
  <c r="K58" i="21"/>
  <c r="K47" i="21"/>
  <c r="K48" i="21"/>
  <c r="K49" i="21"/>
  <c r="G18" i="19"/>
  <c r="G49" i="21"/>
  <c r="E18" i="19"/>
  <c r="E47" i="21"/>
  <c r="E48" i="21"/>
  <c r="E49" i="21"/>
  <c r="T16" i="19"/>
  <c r="U16" i="19" s="1"/>
  <c r="P45" i="19"/>
  <c r="N45" i="19"/>
  <c r="E40" i="21"/>
  <c r="E37" i="19"/>
  <c r="N22" i="19"/>
  <c r="S22" i="19" s="1"/>
  <c r="T22" i="19" s="1"/>
  <c r="U22" i="19" s="1"/>
  <c r="V22" i="19" s="1"/>
  <c r="W22" i="19" s="1"/>
  <c r="N21" i="19"/>
  <c r="S21" i="19" s="1"/>
  <c r="T21" i="19" s="1"/>
  <c r="U21" i="19" s="1"/>
  <c r="N24" i="19"/>
  <c r="S24" i="19" s="1"/>
  <c r="T24" i="19" s="1"/>
  <c r="U24" i="19" s="1"/>
  <c r="V24" i="19" s="1"/>
  <c r="W24" i="19" s="1"/>
  <c r="N25" i="19"/>
  <c r="S25" i="19" s="1"/>
  <c r="T25" i="19" s="1"/>
  <c r="U25" i="19" s="1"/>
  <c r="V25" i="19" s="1"/>
  <c r="W25" i="19" s="1"/>
  <c r="N28" i="19"/>
  <c r="S28" i="19" s="1"/>
  <c r="T28" i="19" s="1"/>
  <c r="U28" i="19" s="1"/>
  <c r="V28" i="19" s="1"/>
  <c r="W28" i="19" s="1"/>
  <c r="H44" i="19"/>
  <c r="I14" i="21"/>
  <c r="I22" i="21"/>
  <c r="I29" i="21"/>
  <c r="I37" i="21"/>
  <c r="I45" i="21"/>
  <c r="I54" i="21"/>
  <c r="I65" i="21"/>
  <c r="I40" i="19"/>
  <c r="I33" i="19"/>
  <c r="I16" i="19"/>
  <c r="I25" i="19"/>
  <c r="I15" i="21"/>
  <c r="I30" i="21"/>
  <c r="I38" i="21"/>
  <c r="I46" i="21"/>
  <c r="I55" i="21"/>
  <c r="I66" i="21"/>
  <c r="I41" i="19"/>
  <c r="I23" i="21"/>
  <c r="I16" i="21"/>
  <c r="I24" i="21"/>
  <c r="I31" i="21"/>
  <c r="I56" i="21"/>
  <c r="I67" i="21"/>
  <c r="I42" i="19"/>
  <c r="I35" i="19"/>
  <c r="I28" i="19"/>
  <c r="I17" i="21"/>
  <c r="I57" i="21"/>
  <c r="I19" i="21"/>
  <c r="I26" i="21"/>
  <c r="I34" i="21"/>
  <c r="I62" i="21"/>
  <c r="I45" i="19"/>
  <c r="I32" i="19"/>
  <c r="I22" i="19"/>
  <c r="I20" i="21"/>
  <c r="I27" i="21"/>
  <c r="I35" i="21"/>
  <c r="I52" i="21"/>
  <c r="I33" i="21"/>
  <c r="I17" i="19"/>
  <c r="I21" i="19"/>
  <c r="I44" i="21"/>
  <c r="I34" i="19"/>
  <c r="I50" i="21"/>
  <c r="I36" i="19"/>
  <c r="I36" i="21"/>
  <c r="I64" i="21"/>
  <c r="I39" i="19"/>
  <c r="I23" i="19"/>
  <c r="I13" i="21"/>
  <c r="I24" i="19"/>
  <c r="I21" i="21"/>
  <c r="I53" i="21"/>
  <c r="I58" i="21"/>
  <c r="I14" i="19"/>
  <c r="I29" i="19"/>
  <c r="I28" i="21"/>
  <c r="I43" i="19"/>
  <c r="I15" i="19"/>
  <c r="I13" i="19"/>
  <c r="F44" i="19"/>
  <c r="G13" i="21"/>
  <c r="G21" i="21"/>
  <c r="G28" i="21"/>
  <c r="G36" i="21"/>
  <c r="G44" i="21"/>
  <c r="G53" i="21"/>
  <c r="G36" i="19"/>
  <c r="G28" i="19"/>
  <c r="G14" i="21"/>
  <c r="G22" i="21"/>
  <c r="G29" i="21"/>
  <c r="G45" i="21"/>
  <c r="G54" i="21"/>
  <c r="G62" i="21"/>
  <c r="G37" i="21"/>
  <c r="G15" i="21"/>
  <c r="G23" i="21"/>
  <c r="G30" i="21"/>
  <c r="G38" i="21"/>
  <c r="G46" i="21"/>
  <c r="G64" i="21"/>
  <c r="G21" i="19"/>
  <c r="G13" i="19"/>
  <c r="G16" i="21"/>
  <c r="G24" i="21"/>
  <c r="G31" i="21"/>
  <c r="G47" i="21"/>
  <c r="G65" i="21"/>
  <c r="G55" i="21"/>
  <c r="G33" i="21"/>
  <c r="G57" i="21"/>
  <c r="G67" i="21"/>
  <c r="G33" i="19"/>
  <c r="G41" i="19"/>
  <c r="G24" i="19"/>
  <c r="G19" i="21"/>
  <c r="G26" i="21"/>
  <c r="G34" i="21"/>
  <c r="G17" i="21"/>
  <c r="G48" i="21"/>
  <c r="G34" i="19"/>
  <c r="G32" i="19"/>
  <c r="G16" i="19"/>
  <c r="G56" i="21"/>
  <c r="G39" i="19"/>
  <c r="G40" i="19"/>
  <c r="G20" i="21"/>
  <c r="G52" i="21"/>
  <c r="G35" i="19"/>
  <c r="G14" i="19"/>
  <c r="G29" i="19"/>
  <c r="G37" i="19"/>
  <c r="G27" i="21"/>
  <c r="G17" i="19"/>
  <c r="G58" i="21"/>
  <c r="G35" i="21"/>
  <c r="G42" i="19"/>
  <c r="G22" i="19"/>
  <c r="G66" i="21"/>
  <c r="G43" i="19"/>
  <c r="G23" i="19"/>
  <c r="G45" i="19"/>
  <c r="G25" i="19"/>
  <c r="I40" i="21"/>
  <c r="J44" i="19"/>
  <c r="K44" i="19" s="1"/>
  <c r="K13" i="21"/>
  <c r="K21" i="21"/>
  <c r="N21" i="21" s="1"/>
  <c r="K28" i="21"/>
  <c r="K36" i="21"/>
  <c r="K44" i="21"/>
  <c r="K53" i="21"/>
  <c r="K43" i="19"/>
  <c r="K32" i="19"/>
  <c r="K22" i="19"/>
  <c r="K22" i="21"/>
  <c r="N22" i="21" s="1"/>
  <c r="K29" i="21"/>
  <c r="K37" i="21"/>
  <c r="K45" i="21"/>
  <c r="K54" i="21"/>
  <c r="K45" i="19"/>
  <c r="K23" i="19"/>
  <c r="K14" i="21"/>
  <c r="K64" i="21"/>
  <c r="K15" i="21"/>
  <c r="K23" i="21"/>
  <c r="N23" i="21" s="1"/>
  <c r="K30" i="21"/>
  <c r="K38" i="21"/>
  <c r="K46" i="21"/>
  <c r="K55" i="21"/>
  <c r="K65" i="21"/>
  <c r="N65" i="21" s="1"/>
  <c r="K39" i="19"/>
  <c r="K24" i="19"/>
  <c r="K24" i="21"/>
  <c r="K56" i="21"/>
  <c r="K66" i="21"/>
  <c r="N66" i="21" s="1"/>
  <c r="K33" i="19"/>
  <c r="K16" i="19"/>
  <c r="K25" i="19"/>
  <c r="K16" i="21"/>
  <c r="K17" i="21"/>
  <c r="K33" i="21"/>
  <c r="K40" i="19"/>
  <c r="K35" i="19"/>
  <c r="K28" i="19"/>
  <c r="K19" i="21"/>
  <c r="K26" i="21"/>
  <c r="K34" i="21"/>
  <c r="K20" i="21"/>
  <c r="K67" i="21"/>
  <c r="K14" i="19"/>
  <c r="K35" i="21"/>
  <c r="K41" i="19"/>
  <c r="K52" i="21"/>
  <c r="K42" i="19"/>
  <c r="K27" i="21"/>
  <c r="K17" i="19"/>
  <c r="K21" i="19"/>
  <c r="K57" i="21"/>
  <c r="K34" i="19"/>
  <c r="K29" i="19"/>
  <c r="K36" i="19"/>
  <c r="K13" i="19"/>
  <c r="K62" i="21"/>
  <c r="K37" i="19"/>
  <c r="K26" i="19"/>
  <c r="G40" i="21"/>
  <c r="E58" i="21"/>
  <c r="E31" i="21"/>
  <c r="K15" i="19"/>
  <c r="K40" i="21"/>
  <c r="I26" i="19"/>
  <c r="K50" i="21"/>
  <c r="G26" i="19"/>
  <c r="K31" i="21"/>
  <c r="D44" i="19"/>
  <c r="E19" i="21"/>
  <c r="E26" i="21"/>
  <c r="E34" i="21"/>
  <c r="E29" i="19"/>
  <c r="E45" i="19"/>
  <c r="E20" i="21"/>
  <c r="E27" i="21"/>
  <c r="E35" i="21"/>
  <c r="E52" i="21"/>
  <c r="E13" i="21"/>
  <c r="E21" i="21"/>
  <c r="E28" i="21"/>
  <c r="E36" i="21"/>
  <c r="E44" i="21"/>
  <c r="E53" i="21"/>
  <c r="E62" i="21"/>
  <c r="E22" i="19"/>
  <c r="E39" i="19"/>
  <c r="E13" i="19"/>
  <c r="E14" i="21"/>
  <c r="E22" i="21"/>
  <c r="E29" i="21"/>
  <c r="E37" i="21"/>
  <c r="E45" i="21"/>
  <c r="E54" i="21"/>
  <c r="E16" i="21"/>
  <c r="E24" i="21"/>
  <c r="E65" i="21"/>
  <c r="E16" i="19"/>
  <c r="E25" i="19"/>
  <c r="E34" i="19"/>
  <c r="E42" i="19"/>
  <c r="E17" i="21"/>
  <c r="E38" i="21"/>
  <c r="E57" i="21"/>
  <c r="E24" i="19"/>
  <c r="E46" i="21"/>
  <c r="E66" i="21"/>
  <c r="E28" i="19"/>
  <c r="E41" i="19"/>
  <c r="E15" i="19"/>
  <c r="E43" i="19"/>
  <c r="E23" i="21"/>
  <c r="E17" i="19"/>
  <c r="E64" i="21"/>
  <c r="E26" i="19"/>
  <c r="E40" i="19"/>
  <c r="E15" i="21"/>
  <c r="E14" i="19"/>
  <c r="E50" i="21"/>
  <c r="E67" i="21"/>
  <c r="E32" i="19"/>
  <c r="E33" i="19"/>
  <c r="E30" i="21"/>
  <c r="E21" i="19"/>
  <c r="E35" i="19"/>
  <c r="E33" i="21"/>
  <c r="E56" i="21"/>
  <c r="E23" i="19"/>
  <c r="E36" i="19"/>
  <c r="E55" i="21"/>
  <c r="G50" i="21"/>
  <c r="K18" i="19"/>
  <c r="I37" i="19"/>
  <c r="B29" i="19"/>
  <c r="C40" i="21" s="1"/>
  <c r="F20" i="24" l="1"/>
  <c r="F14" i="24"/>
  <c r="B122" i="39"/>
  <c r="E121" i="31"/>
  <c r="F43" i="26"/>
  <c r="C59" i="26"/>
  <c r="C61" i="26" s="1"/>
  <c r="C62" i="26" s="1"/>
  <c r="C43" i="26"/>
  <c r="F62" i="26"/>
  <c r="F44" i="46"/>
  <c r="C60" i="46"/>
  <c r="C62" i="46" s="1"/>
  <c r="C63" i="46" s="1"/>
  <c r="F63" i="46"/>
  <c r="C44" i="46"/>
  <c r="C15" i="34"/>
  <c r="C21" i="34" s="1"/>
  <c r="D21" i="34" s="1"/>
  <c r="C16" i="42"/>
  <c r="C22" i="42" s="1"/>
  <c r="G60" i="46"/>
  <c r="G62" i="46" s="1"/>
  <c r="G63" i="46" s="1"/>
  <c r="G59" i="26"/>
  <c r="G61" i="26" s="1"/>
  <c r="G62" i="26" s="1"/>
  <c r="G43" i="26"/>
  <c r="G44" i="46"/>
  <c r="D122" i="39"/>
  <c r="E122" i="39"/>
  <c r="C49" i="21"/>
  <c r="C37" i="21"/>
  <c r="C28" i="21"/>
  <c r="C19" i="21"/>
  <c r="N19" i="21" s="1"/>
  <c r="C67" i="21"/>
  <c r="C56" i="21"/>
  <c r="N56" i="21" s="1"/>
  <c r="C35" i="21"/>
  <c r="C16" i="21"/>
  <c r="C34" i="21"/>
  <c r="C15" i="21"/>
  <c r="C54" i="21"/>
  <c r="N54" i="21" s="1"/>
  <c r="C23" i="21"/>
  <c r="C62" i="21"/>
  <c r="C21" i="21"/>
  <c r="C57" i="21"/>
  <c r="C48" i="21"/>
  <c r="N48" i="21" s="1"/>
  <c r="C36" i="21"/>
  <c r="C27" i="21"/>
  <c r="C66" i="21"/>
  <c r="C47" i="21"/>
  <c r="N47" i="21" s="1"/>
  <c r="C26" i="21"/>
  <c r="N26" i="21" s="1"/>
  <c r="C46" i="21"/>
  <c r="N46" i="21" s="1"/>
  <c r="C64" i="21"/>
  <c r="C45" i="21"/>
  <c r="C14" i="21"/>
  <c r="C44" i="21"/>
  <c r="C61" i="21"/>
  <c r="C65" i="21"/>
  <c r="C55" i="21"/>
  <c r="N55" i="21" s="1"/>
  <c r="C22" i="21"/>
  <c r="C52" i="21"/>
  <c r="C33" i="21"/>
  <c r="C53" i="21"/>
  <c r="N53" i="21" s="1"/>
  <c r="C13" i="21"/>
  <c r="C29" i="21"/>
  <c r="C30" i="21"/>
  <c r="N30" i="21" s="1"/>
  <c r="C20" i="21"/>
  <c r="N20" i="21" s="1"/>
  <c r="C50" i="21"/>
  <c r="C38" i="21"/>
  <c r="C31" i="21"/>
  <c r="C58" i="21"/>
  <c r="C24" i="21"/>
  <c r="C17" i="21"/>
  <c r="U25" i="31"/>
  <c r="H25" i="31" s="1"/>
  <c r="I25" i="31" s="1"/>
  <c r="J25" i="31" s="1"/>
  <c r="K25" i="31" s="1"/>
  <c r="L25" i="31" s="1"/>
  <c r="U24" i="31"/>
  <c r="H24" i="31" s="1"/>
  <c r="I24" i="31" s="1"/>
  <c r="J24" i="31" s="1"/>
  <c r="K24" i="31" s="1"/>
  <c r="L24" i="31" s="1"/>
  <c r="U28" i="31"/>
  <c r="H28" i="31" s="1"/>
  <c r="I28" i="31" s="1"/>
  <c r="J28" i="31" s="1"/>
  <c r="K28" i="31" s="1"/>
  <c r="L28" i="31" s="1"/>
  <c r="U22" i="31"/>
  <c r="H22" i="31" s="1"/>
  <c r="I22" i="31" s="1"/>
  <c r="J22" i="31" s="1"/>
  <c r="K22" i="31" s="1"/>
  <c r="L22" i="31" s="1"/>
  <c r="U21" i="31"/>
  <c r="H21" i="31" s="1"/>
  <c r="I21" i="31" s="1"/>
  <c r="D121" i="31"/>
  <c r="C121" i="31"/>
  <c r="F122" i="39"/>
  <c r="D106" i="31"/>
  <c r="E98" i="31"/>
  <c r="Q98" i="31" s="1"/>
  <c r="U15" i="19"/>
  <c r="U18" i="19" s="1"/>
  <c r="H23" i="31"/>
  <c r="S15" i="19"/>
  <c r="S18" i="19" s="1"/>
  <c r="W15" i="19"/>
  <c r="I13" i="31"/>
  <c r="H15" i="31"/>
  <c r="H18" i="31" s="1"/>
  <c r="T15" i="19"/>
  <c r="T18" i="19" s="1"/>
  <c r="V15" i="19"/>
  <c r="J46" i="19"/>
  <c r="F18" i="24" s="1"/>
  <c r="E19" i="24"/>
  <c r="E47" i="24"/>
  <c r="E39" i="24" s="1"/>
  <c r="E38" i="24"/>
  <c r="D38" i="24"/>
  <c r="D19" i="24"/>
  <c r="D47" i="24"/>
  <c r="D39" i="24" s="1"/>
  <c r="C24" i="24"/>
  <c r="C19" i="24"/>
  <c r="C38" i="24"/>
  <c r="C47" i="24"/>
  <c r="C39" i="24" s="1"/>
  <c r="C14" i="24"/>
  <c r="E14" i="24"/>
  <c r="B14" i="24"/>
  <c r="D14" i="24"/>
  <c r="V16" i="19"/>
  <c r="W16" i="19" s="1"/>
  <c r="C26" i="19"/>
  <c r="U23" i="19"/>
  <c r="U26" i="19" s="1"/>
  <c r="V21" i="19"/>
  <c r="S23" i="19"/>
  <c r="S26" i="19" s="1"/>
  <c r="C18" i="19"/>
  <c r="F46" i="19"/>
  <c r="D18" i="24" s="1"/>
  <c r="G44" i="19"/>
  <c r="B44" i="19"/>
  <c r="C39" i="19"/>
  <c r="P39" i="19" s="1"/>
  <c r="C28" i="19"/>
  <c r="N57" i="21"/>
  <c r="N33" i="21"/>
  <c r="C35" i="19"/>
  <c r="P35" i="19" s="1"/>
  <c r="C17" i="19"/>
  <c r="N34" i="21"/>
  <c r="N13" i="21"/>
  <c r="N28" i="21"/>
  <c r="N36" i="21"/>
  <c r="N44" i="21"/>
  <c r="N64" i="21"/>
  <c r="C42" i="19"/>
  <c r="C33" i="19"/>
  <c r="P33" i="19" s="1"/>
  <c r="N14" i="21"/>
  <c r="N29" i="21"/>
  <c r="N37" i="21"/>
  <c r="N27" i="21"/>
  <c r="C43" i="19"/>
  <c r="P43" i="19" s="1"/>
  <c r="C14" i="19"/>
  <c r="C45" i="19"/>
  <c r="N35" i="21"/>
  <c r="C34" i="19"/>
  <c r="P34" i="19" s="1"/>
  <c r="C36" i="19"/>
  <c r="P36" i="19" s="1"/>
  <c r="C16" i="19"/>
  <c r="N15" i="21"/>
  <c r="N45" i="21"/>
  <c r="C32" i="19"/>
  <c r="P32" i="19" s="1"/>
  <c r="C40" i="19"/>
  <c r="P40" i="19" s="1"/>
  <c r="C29" i="19"/>
  <c r="C13" i="19"/>
  <c r="N52" i="21"/>
  <c r="C41" i="19"/>
  <c r="P41" i="19" s="1"/>
  <c r="C22" i="19"/>
  <c r="C37" i="19"/>
  <c r="C15" i="19"/>
  <c r="C24" i="19"/>
  <c r="C21" i="19"/>
  <c r="C25" i="19"/>
  <c r="C23" i="19"/>
  <c r="D46" i="19"/>
  <c r="C18" i="24" s="1"/>
  <c r="E44" i="19"/>
  <c r="H46" i="19"/>
  <c r="I44" i="19"/>
  <c r="K46" i="19"/>
  <c r="C60" i="16"/>
  <c r="C67" i="16" s="1"/>
  <c r="F49" i="16"/>
  <c r="E49" i="16"/>
  <c r="D49" i="16"/>
  <c r="C49" i="16"/>
  <c r="B49" i="16"/>
  <c r="B68" i="16" s="1"/>
  <c r="F16" i="16"/>
  <c r="E16" i="16"/>
  <c r="D16" i="16"/>
  <c r="C16" i="16"/>
  <c r="B16" i="16"/>
  <c r="C27" i="5"/>
  <c r="D27" i="5"/>
  <c r="E27" i="5"/>
  <c r="F27" i="5"/>
  <c r="B27" i="5"/>
  <c r="C16" i="4"/>
  <c r="D16" i="4"/>
  <c r="E16" i="4"/>
  <c r="F16" i="4"/>
  <c r="B16" i="4"/>
  <c r="C23" i="4"/>
  <c r="D23" i="4"/>
  <c r="E23" i="4"/>
  <c r="F23" i="4"/>
  <c r="B23" i="4"/>
  <c r="C55" i="4"/>
  <c r="D55" i="4"/>
  <c r="E55" i="4"/>
  <c r="F55" i="4"/>
  <c r="B55" i="4"/>
  <c r="F43" i="8"/>
  <c r="E43" i="8"/>
  <c r="D43" i="8"/>
  <c r="C43" i="8"/>
  <c r="B43" i="8"/>
  <c r="F31" i="8"/>
  <c r="E31" i="8"/>
  <c r="D31" i="8"/>
  <c r="C31" i="8"/>
  <c r="B31" i="8"/>
  <c r="F40" i="4"/>
  <c r="E40" i="4"/>
  <c r="D40" i="4"/>
  <c r="C40" i="4"/>
  <c r="B40" i="4"/>
  <c r="F14" i="5"/>
  <c r="F16" i="5" s="1"/>
  <c r="F19" i="5" s="1"/>
  <c r="F34" i="5" s="1"/>
  <c r="F36" i="5" s="1"/>
  <c r="F11" i="8" s="1"/>
  <c r="F23" i="8" s="1"/>
  <c r="E14" i="5"/>
  <c r="E16" i="5" s="1"/>
  <c r="E19" i="5" s="1"/>
  <c r="D14" i="5"/>
  <c r="D16" i="5" s="1"/>
  <c r="D19" i="5" s="1"/>
  <c r="C14" i="5"/>
  <c r="C16" i="5" s="1"/>
  <c r="C19" i="5" s="1"/>
  <c r="B14" i="5"/>
  <c r="B16" i="5" s="1"/>
  <c r="B19" i="5" s="1"/>
  <c r="N34" i="19" l="1"/>
  <c r="H26" i="31"/>
  <c r="H29" i="31" s="1"/>
  <c r="C24" i="42"/>
  <c r="D22" i="42"/>
  <c r="C23" i="34"/>
  <c r="E105" i="31"/>
  <c r="W18" i="19"/>
  <c r="I15" i="31"/>
  <c r="I18" i="31" s="1"/>
  <c r="J13" i="31"/>
  <c r="S29" i="19"/>
  <c r="Q56" i="21" s="1"/>
  <c r="I23" i="31"/>
  <c r="I26" i="31" s="1"/>
  <c r="J21" i="31"/>
  <c r="V18" i="19"/>
  <c r="C17" i="24"/>
  <c r="D17" i="24"/>
  <c r="D26" i="24"/>
  <c r="U29" i="19"/>
  <c r="E26" i="24"/>
  <c r="E17" i="24"/>
  <c r="N39" i="19"/>
  <c r="F25" i="24"/>
  <c r="F19" i="24"/>
  <c r="F38" i="24"/>
  <c r="F47" i="24"/>
  <c r="I23" i="46" s="1"/>
  <c r="C44" i="19"/>
  <c r="E18" i="24"/>
  <c r="J63" i="21"/>
  <c r="F17" i="24"/>
  <c r="F26" i="24"/>
  <c r="D45" i="8"/>
  <c r="F45" i="8"/>
  <c r="N41" i="19"/>
  <c r="V23" i="19"/>
  <c r="V26" i="19" s="1"/>
  <c r="W21" i="19"/>
  <c r="W23" i="19" s="1"/>
  <c r="W26" i="19" s="1"/>
  <c r="Q64" i="21"/>
  <c r="Q33" i="21"/>
  <c r="Q57" i="21"/>
  <c r="Q19" i="21"/>
  <c r="T23" i="19"/>
  <c r="T26" i="19" s="1"/>
  <c r="T29" i="19" s="1"/>
  <c r="N40" i="19"/>
  <c r="S34" i="19"/>
  <c r="N36" i="19"/>
  <c r="B46" i="19"/>
  <c r="N32" i="19"/>
  <c r="N35" i="19"/>
  <c r="N43" i="19"/>
  <c r="N33" i="19"/>
  <c r="D63" i="21"/>
  <c r="E63" i="21" s="1"/>
  <c r="E46" i="19"/>
  <c r="H63" i="21"/>
  <c r="I63" i="21" s="1"/>
  <c r="I46" i="19"/>
  <c r="G46" i="19"/>
  <c r="F63" i="21"/>
  <c r="G63" i="21" s="1"/>
  <c r="D60" i="16"/>
  <c r="D67" i="16" s="1"/>
  <c r="C68" i="16"/>
  <c r="B40" i="16"/>
  <c r="F40" i="16"/>
  <c r="C40" i="16"/>
  <c r="D40" i="16"/>
  <c r="E40" i="16"/>
  <c r="E34" i="5"/>
  <c r="E36" i="5" s="1"/>
  <c r="E11" i="8" s="1"/>
  <c r="E23" i="8" s="1"/>
  <c r="E45" i="8" s="1"/>
  <c r="F57" i="4"/>
  <c r="B57" i="4"/>
  <c r="C57" i="4"/>
  <c r="D57" i="4"/>
  <c r="E57" i="4"/>
  <c r="E31" i="4"/>
  <c r="B31" i="4"/>
  <c r="C31" i="4"/>
  <c r="D31" i="4"/>
  <c r="F31" i="4"/>
  <c r="B34" i="5"/>
  <c r="B36" i="5" s="1"/>
  <c r="B11" i="8" s="1"/>
  <c r="B23" i="8" s="1"/>
  <c r="B45" i="8" s="1"/>
  <c r="B47" i="8" s="1"/>
  <c r="C46" i="8" s="1"/>
  <c r="C34" i="5"/>
  <c r="C36" i="5" s="1"/>
  <c r="C11" i="8" s="1"/>
  <c r="C23" i="8" s="1"/>
  <c r="C45" i="8" s="1"/>
  <c r="D34" i="5"/>
  <c r="D36" i="5" s="1"/>
  <c r="D11" i="8" s="1"/>
  <c r="D23" i="8" s="1"/>
  <c r="S40" i="19" l="1"/>
  <c r="C47" i="8"/>
  <c r="D46" i="8" s="1"/>
  <c r="Q14" i="21"/>
  <c r="S35" i="19"/>
  <c r="Q47" i="21"/>
  <c r="Q22" i="21"/>
  <c r="Q52" i="21"/>
  <c r="E60" i="46"/>
  <c r="E62" i="46" s="1"/>
  <c r="E63" i="46" s="1"/>
  <c r="E44" i="46"/>
  <c r="E22" i="42"/>
  <c r="D24" i="42"/>
  <c r="Q16" i="21"/>
  <c r="Q45" i="21"/>
  <c r="Q62" i="21"/>
  <c r="Q36" i="21"/>
  <c r="Q29" i="21"/>
  <c r="Q53" i="21"/>
  <c r="W29" i="19"/>
  <c r="U56" i="21" s="1"/>
  <c r="S33" i="19"/>
  <c r="Q23" i="21"/>
  <c r="Q48" i="21"/>
  <c r="S32" i="19"/>
  <c r="Q20" i="21"/>
  <c r="Q66" i="21"/>
  <c r="Q55" i="21"/>
  <c r="K63" i="21"/>
  <c r="E23" i="28"/>
  <c r="D23" i="34"/>
  <c r="E21" i="34"/>
  <c r="H85" i="31"/>
  <c r="H24" i="24"/>
  <c r="H39" i="31"/>
  <c r="F39" i="24"/>
  <c r="I22" i="26"/>
  <c r="H99" i="31"/>
  <c r="H59" i="31"/>
  <c r="H61" i="31" s="1"/>
  <c r="H52" i="31"/>
  <c r="H70" i="31"/>
  <c r="H43" i="31" s="1"/>
  <c r="H74" i="31"/>
  <c r="H72" i="31"/>
  <c r="H64" i="31"/>
  <c r="H63" i="31"/>
  <c r="H73" i="31"/>
  <c r="H51" i="31"/>
  <c r="H71" i="31"/>
  <c r="H111" i="31"/>
  <c r="H53" i="31"/>
  <c r="H83" i="31"/>
  <c r="H82" i="31"/>
  <c r="H104" i="31"/>
  <c r="H90" i="31"/>
  <c r="H32" i="31"/>
  <c r="H40" i="31"/>
  <c r="H93" i="31"/>
  <c r="H94" i="31"/>
  <c r="H92" i="31"/>
  <c r="H101" i="31"/>
  <c r="H81" i="31"/>
  <c r="H36" i="31"/>
  <c r="H34" i="31"/>
  <c r="H103" i="31"/>
  <c r="F98" i="31"/>
  <c r="R98" i="31" s="1"/>
  <c r="E106" i="31"/>
  <c r="H35" i="31"/>
  <c r="H84" i="31"/>
  <c r="S43" i="19"/>
  <c r="Q67" i="21"/>
  <c r="Q54" i="21"/>
  <c r="Q27" i="21"/>
  <c r="K21" i="31"/>
  <c r="J23" i="31"/>
  <c r="J26" i="31" s="1"/>
  <c r="Q15" i="21"/>
  <c r="V29" i="19"/>
  <c r="U43" i="19"/>
  <c r="Q28" i="21"/>
  <c r="Q34" i="21"/>
  <c r="Q21" i="21"/>
  <c r="Q44" i="21"/>
  <c r="K13" i="31"/>
  <c r="J15" i="31"/>
  <c r="J18" i="31" s="1"/>
  <c r="Q37" i="21"/>
  <c r="Q74" i="21"/>
  <c r="S39" i="19"/>
  <c r="Q26" i="21"/>
  <c r="S36" i="19"/>
  <c r="Q30" i="21"/>
  <c r="Q35" i="21"/>
  <c r="Q46" i="21"/>
  <c r="Q65" i="21"/>
  <c r="S41" i="19"/>
  <c r="I29" i="31"/>
  <c r="I24" i="24" s="1"/>
  <c r="U35" i="19"/>
  <c r="U16" i="21"/>
  <c r="S44" i="21"/>
  <c r="U36" i="21"/>
  <c r="U41" i="19"/>
  <c r="U55" i="21"/>
  <c r="U29" i="21"/>
  <c r="U19" i="21"/>
  <c r="B63" i="21"/>
  <c r="C63" i="21" s="1"/>
  <c r="B17" i="24"/>
  <c r="B18" i="24"/>
  <c r="E13" i="24"/>
  <c r="E15" i="24"/>
  <c r="E22" i="24"/>
  <c r="U34" i="19"/>
  <c r="U62" i="21"/>
  <c r="U32" i="19"/>
  <c r="T16" i="21"/>
  <c r="U36" i="19"/>
  <c r="C26" i="24"/>
  <c r="F13" i="24"/>
  <c r="F22" i="24"/>
  <c r="F15" i="24"/>
  <c r="U40" i="19"/>
  <c r="D13" i="24"/>
  <c r="D22" i="24"/>
  <c r="D15" i="24"/>
  <c r="U39" i="19"/>
  <c r="B19" i="24"/>
  <c r="B47" i="24"/>
  <c r="B39" i="24" s="1"/>
  <c r="B38" i="24"/>
  <c r="B20" i="24"/>
  <c r="C25" i="24"/>
  <c r="U64" i="21"/>
  <c r="U33" i="19"/>
  <c r="C13" i="24"/>
  <c r="C15" i="24"/>
  <c r="C22" i="24"/>
  <c r="D47" i="8"/>
  <c r="E46" i="8" s="1"/>
  <c r="E47" i="8" s="1"/>
  <c r="F46" i="8" s="1"/>
  <c r="F47" i="8" s="1"/>
  <c r="U53" i="21"/>
  <c r="T44" i="21"/>
  <c r="U44" i="21"/>
  <c r="U20" i="21"/>
  <c r="T53" i="21"/>
  <c r="C46" i="19"/>
  <c r="U35" i="21"/>
  <c r="T27" i="21"/>
  <c r="T67" i="21"/>
  <c r="U67" i="21"/>
  <c r="U33" i="21"/>
  <c r="U34" i="21"/>
  <c r="U57" i="21"/>
  <c r="U14" i="21"/>
  <c r="U28" i="21"/>
  <c r="U47" i="21"/>
  <c r="U52" i="21"/>
  <c r="T29" i="21"/>
  <c r="T62" i="21"/>
  <c r="T66" i="21"/>
  <c r="T21" i="21"/>
  <c r="T36" i="21"/>
  <c r="T33" i="21"/>
  <c r="T47" i="21"/>
  <c r="T35" i="21"/>
  <c r="U30" i="21"/>
  <c r="T37" i="21"/>
  <c r="T34" i="21"/>
  <c r="U74" i="21"/>
  <c r="R44" i="21"/>
  <c r="T19" i="21"/>
  <c r="U26" i="21"/>
  <c r="U54" i="21"/>
  <c r="U45" i="21"/>
  <c r="U48" i="21"/>
  <c r="T46" i="21"/>
  <c r="T74" i="21"/>
  <c r="U66" i="21"/>
  <c r="U23" i="21"/>
  <c r="U65" i="21"/>
  <c r="U22" i="21"/>
  <c r="U21" i="21"/>
  <c r="U15" i="21"/>
  <c r="T26" i="21"/>
  <c r="T54" i="21"/>
  <c r="T45" i="21"/>
  <c r="T48" i="21"/>
  <c r="U46" i="21"/>
  <c r="T64" i="21"/>
  <c r="W40" i="19"/>
  <c r="W33" i="19"/>
  <c r="W35" i="19"/>
  <c r="W43" i="19"/>
  <c r="W39" i="19"/>
  <c r="W41" i="19"/>
  <c r="W36" i="19"/>
  <c r="W34" i="19"/>
  <c r="W32" i="19"/>
  <c r="V43" i="19"/>
  <c r="V34" i="19"/>
  <c r="V32" i="19"/>
  <c r="V39" i="19"/>
  <c r="V35" i="19"/>
  <c r="V36" i="19"/>
  <c r="V40" i="19"/>
  <c r="R47" i="21"/>
  <c r="S57" i="21"/>
  <c r="S64" i="21"/>
  <c r="S56" i="21"/>
  <c r="S48" i="21"/>
  <c r="S54" i="21"/>
  <c r="S36" i="21"/>
  <c r="S45" i="21"/>
  <c r="S37" i="21"/>
  <c r="S67" i="21"/>
  <c r="S26" i="21"/>
  <c r="S29" i="21"/>
  <c r="S20" i="21"/>
  <c r="S74" i="21"/>
  <c r="S47" i="21"/>
  <c r="S34" i="21"/>
  <c r="S33" i="21"/>
  <c r="S28" i="21"/>
  <c r="S46" i="21"/>
  <c r="S55" i="21"/>
  <c r="S35" i="21"/>
  <c r="S27" i="21"/>
  <c r="S19" i="21"/>
  <c r="T40" i="19"/>
  <c r="R62" i="21"/>
  <c r="R16" i="21"/>
  <c r="R65" i="21"/>
  <c r="R23" i="21"/>
  <c r="R66" i="21"/>
  <c r="R21" i="21"/>
  <c r="R22" i="21"/>
  <c r="R30" i="21"/>
  <c r="R37" i="21"/>
  <c r="R33" i="21"/>
  <c r="R74" i="21"/>
  <c r="R67" i="21"/>
  <c r="R15" i="21"/>
  <c r="R55" i="21"/>
  <c r="R52" i="21"/>
  <c r="R20" i="21"/>
  <c r="R27" i="21"/>
  <c r="R45" i="21"/>
  <c r="R26" i="21"/>
  <c r="R57" i="21"/>
  <c r="R53" i="21"/>
  <c r="R19" i="21"/>
  <c r="T39" i="19"/>
  <c r="R28" i="21"/>
  <c r="R36" i="21"/>
  <c r="R54" i="21"/>
  <c r="R14" i="21"/>
  <c r="R34" i="21"/>
  <c r="R35" i="21"/>
  <c r="R56" i="21"/>
  <c r="T35" i="19"/>
  <c r="S16" i="21"/>
  <c r="S62" i="21"/>
  <c r="S66" i="21"/>
  <c r="S23" i="21"/>
  <c r="S21" i="21"/>
  <c r="S65" i="21"/>
  <c r="S22" i="21"/>
  <c r="S14" i="21"/>
  <c r="S30" i="21"/>
  <c r="R29" i="21"/>
  <c r="R48" i="21"/>
  <c r="R46" i="21"/>
  <c r="R64" i="21"/>
  <c r="T32" i="19"/>
  <c r="T34" i="19"/>
  <c r="T36" i="19"/>
  <c r="T33" i="19"/>
  <c r="T41" i="19"/>
  <c r="T43" i="19"/>
  <c r="E60" i="16"/>
  <c r="E67" i="16" s="1"/>
  <c r="D68" i="16"/>
  <c r="S37" i="19" l="1"/>
  <c r="U27" i="21"/>
  <c r="U37" i="21"/>
  <c r="Q24" i="21"/>
  <c r="E23" i="34"/>
  <c r="F21" i="34"/>
  <c r="Q58" i="21"/>
  <c r="B67" i="46"/>
  <c r="B65" i="46"/>
  <c r="B69" i="46"/>
  <c r="E24" i="42"/>
  <c r="F22" i="42"/>
  <c r="H41" i="31"/>
  <c r="H119" i="31" s="1"/>
  <c r="H43" i="24"/>
  <c r="E59" i="26"/>
  <c r="E61" i="26" s="1"/>
  <c r="E62" i="26" s="1"/>
  <c r="E43" i="26"/>
  <c r="I99" i="31"/>
  <c r="I74" i="31"/>
  <c r="I64" i="31"/>
  <c r="I72" i="31"/>
  <c r="I70" i="31"/>
  <c r="I43" i="31" s="1"/>
  <c r="I59" i="31"/>
  <c r="I52" i="31"/>
  <c r="I51" i="31"/>
  <c r="I63" i="31"/>
  <c r="I111" i="31"/>
  <c r="I73" i="31"/>
  <c r="I71" i="31"/>
  <c r="H116" i="31"/>
  <c r="H75" i="31"/>
  <c r="H68" i="31"/>
  <c r="F105" i="31"/>
  <c r="Q38" i="21"/>
  <c r="S44" i="19"/>
  <c r="S45" i="19" s="1"/>
  <c r="S46" i="19" s="1"/>
  <c r="Q31" i="21"/>
  <c r="I53" i="31"/>
  <c r="I104" i="31"/>
  <c r="I103" i="31"/>
  <c r="I84" i="31"/>
  <c r="I93" i="31"/>
  <c r="I101" i="31"/>
  <c r="I94" i="31"/>
  <c r="I92" i="31"/>
  <c r="I85" i="31"/>
  <c r="I90" i="31"/>
  <c r="I81" i="31"/>
  <c r="I82" i="31"/>
  <c r="I83" i="31"/>
  <c r="I35" i="31"/>
  <c r="I32" i="31"/>
  <c r="I40" i="31"/>
  <c r="I36" i="31"/>
  <c r="I34" i="31"/>
  <c r="I39" i="31"/>
  <c r="T30" i="21"/>
  <c r="T31" i="21" s="1"/>
  <c r="V41" i="19"/>
  <c r="T14" i="21"/>
  <c r="T52" i="21"/>
  <c r="T57" i="21"/>
  <c r="T23" i="21"/>
  <c r="T56" i="21"/>
  <c r="J29" i="31"/>
  <c r="J24" i="24" s="1"/>
  <c r="K23" i="31"/>
  <c r="K26" i="31" s="1"/>
  <c r="L21" i="31"/>
  <c r="L23" i="31" s="1"/>
  <c r="L26" i="31" s="1"/>
  <c r="T15" i="21"/>
  <c r="T22" i="21"/>
  <c r="V33" i="19"/>
  <c r="V37" i="19" s="1"/>
  <c r="T28" i="21"/>
  <c r="T20" i="21"/>
  <c r="T55" i="21"/>
  <c r="T65" i="21"/>
  <c r="L13" i="31"/>
  <c r="L15" i="31" s="1"/>
  <c r="L18" i="31" s="1"/>
  <c r="K15" i="31"/>
  <c r="K18" i="31" s="1"/>
  <c r="U37" i="19"/>
  <c r="U44" i="19" s="1"/>
  <c r="U45" i="19" s="1"/>
  <c r="U46" i="19" s="1"/>
  <c r="B13" i="24"/>
  <c r="B15" i="24"/>
  <c r="U24" i="21"/>
  <c r="U58" i="21"/>
  <c r="U38" i="21"/>
  <c r="U31" i="21"/>
  <c r="T38" i="21"/>
  <c r="W37" i="19"/>
  <c r="W44" i="19" s="1"/>
  <c r="S52" i="21"/>
  <c r="S15" i="21"/>
  <c r="S53" i="21"/>
  <c r="R38" i="21"/>
  <c r="S38" i="21"/>
  <c r="S24" i="21"/>
  <c r="S31" i="21"/>
  <c r="R58" i="21"/>
  <c r="R31" i="21"/>
  <c r="R24" i="21"/>
  <c r="T37" i="19"/>
  <c r="T44" i="19" s="1"/>
  <c r="F60" i="16"/>
  <c r="F67" i="16" s="1"/>
  <c r="F68" i="16" s="1"/>
  <c r="E68" i="16"/>
  <c r="F23" i="34" l="1"/>
  <c r="G21" i="34"/>
  <c r="T24" i="21"/>
  <c r="G22" i="42"/>
  <c r="G23" i="42" s="1"/>
  <c r="G24" i="42" s="1"/>
  <c r="F24" i="42"/>
  <c r="V44" i="19"/>
  <c r="B64" i="26"/>
  <c r="B68" i="26"/>
  <c r="C14" i="59" s="1"/>
  <c r="C18" i="59" s="1"/>
  <c r="C17" i="59" s="1"/>
  <c r="B66" i="26"/>
  <c r="B14" i="59" s="1"/>
  <c r="B18" i="59" s="1"/>
  <c r="B17" i="59" s="1"/>
  <c r="I41" i="31"/>
  <c r="I119" i="31" s="1"/>
  <c r="I43" i="24"/>
  <c r="I116" i="31"/>
  <c r="J99" i="31"/>
  <c r="J53" i="31"/>
  <c r="J64" i="31"/>
  <c r="J59" i="31"/>
  <c r="J70" i="31"/>
  <c r="J74" i="31"/>
  <c r="J72" i="31"/>
  <c r="J52" i="31"/>
  <c r="J71" i="31"/>
  <c r="J51" i="31"/>
  <c r="J111" i="31"/>
  <c r="J73" i="31"/>
  <c r="J63" i="31"/>
  <c r="H108" i="31"/>
  <c r="H98" i="31"/>
  <c r="F106" i="31"/>
  <c r="T58" i="21"/>
  <c r="J104" i="31"/>
  <c r="J103" i="31"/>
  <c r="J93" i="31"/>
  <c r="J94" i="31"/>
  <c r="J92" i="31"/>
  <c r="J85" i="31"/>
  <c r="J84" i="31"/>
  <c r="J81" i="31"/>
  <c r="J101" i="31"/>
  <c r="J82" i="31"/>
  <c r="J83" i="31"/>
  <c r="J90" i="31"/>
  <c r="J36" i="31"/>
  <c r="J40" i="31"/>
  <c r="J32" i="31"/>
  <c r="J34" i="31"/>
  <c r="J39" i="31"/>
  <c r="J35" i="31"/>
  <c r="I75" i="31"/>
  <c r="K29" i="31"/>
  <c r="K24" i="24" s="1"/>
  <c r="I68" i="31"/>
  <c r="L29" i="31"/>
  <c r="S58" i="21"/>
  <c r="Q63" i="21"/>
  <c r="V45" i="19"/>
  <c r="T45" i="19"/>
  <c r="T46" i="19" s="1"/>
  <c r="W45" i="19"/>
  <c r="W46" i="19" s="1"/>
  <c r="S63" i="21"/>
  <c r="B68" i="21"/>
  <c r="D15" i="54" l="1"/>
  <c r="D14" i="59"/>
  <c r="V46" i="19"/>
  <c r="C17" i="38"/>
  <c r="C15" i="54"/>
  <c r="C18" i="54" s="1"/>
  <c r="B17" i="38"/>
  <c r="B15" i="54"/>
  <c r="B18" i="54" s="1"/>
  <c r="J68" i="31"/>
  <c r="C27" i="42"/>
  <c r="C30" i="42" s="1"/>
  <c r="C31" i="42" s="1"/>
  <c r="A36" i="42" s="1"/>
  <c r="B34" i="24"/>
  <c r="C68" i="21"/>
  <c r="J41" i="31"/>
  <c r="J119" i="31" s="1"/>
  <c r="J43" i="24"/>
  <c r="L24" i="24"/>
  <c r="K99" i="31"/>
  <c r="K53" i="31"/>
  <c r="K59" i="31"/>
  <c r="K64" i="31"/>
  <c r="K72" i="31"/>
  <c r="K74" i="31"/>
  <c r="K52" i="31"/>
  <c r="K70" i="31"/>
  <c r="K73" i="31"/>
  <c r="K71" i="31"/>
  <c r="K51" i="31"/>
  <c r="K111" i="31"/>
  <c r="K63" i="31"/>
  <c r="J43" i="31"/>
  <c r="J75" i="31"/>
  <c r="J116" i="31"/>
  <c r="L99" i="31"/>
  <c r="L53" i="31"/>
  <c r="L72" i="31"/>
  <c r="L70" i="31"/>
  <c r="L74" i="31"/>
  <c r="L59" i="31"/>
  <c r="L64" i="31"/>
  <c r="L52" i="31"/>
  <c r="L73" i="31"/>
  <c r="L71" i="31"/>
  <c r="L51" i="31"/>
  <c r="L111" i="31"/>
  <c r="L63" i="31"/>
  <c r="K32" i="31"/>
  <c r="K104" i="31"/>
  <c r="K103" i="31"/>
  <c r="K85" i="31"/>
  <c r="K83" i="31"/>
  <c r="K84" i="31"/>
  <c r="K82" i="31"/>
  <c r="K94" i="31"/>
  <c r="K81" i="31"/>
  <c r="K93" i="31"/>
  <c r="K101" i="31"/>
  <c r="K92" i="31"/>
  <c r="K90" i="31"/>
  <c r="K34" i="31"/>
  <c r="K39" i="31"/>
  <c r="K36" i="31"/>
  <c r="K35" i="31"/>
  <c r="K40" i="31"/>
  <c r="L40" i="31"/>
  <c r="L104" i="31"/>
  <c r="L103" i="31"/>
  <c r="L83" i="31"/>
  <c r="L90" i="31"/>
  <c r="L81" i="31"/>
  <c r="L82" i="31"/>
  <c r="L101" i="31"/>
  <c r="L85" i="31"/>
  <c r="L93" i="31"/>
  <c r="L84" i="31"/>
  <c r="L92" i="31"/>
  <c r="L94" i="31"/>
  <c r="L35" i="31"/>
  <c r="L32" i="31"/>
  <c r="L39" i="31"/>
  <c r="L34" i="31"/>
  <c r="L36" i="31"/>
  <c r="R63" i="21"/>
  <c r="T63" i="21"/>
  <c r="U63" i="21"/>
  <c r="B36" i="24"/>
  <c r="B35" i="24"/>
  <c r="D61" i="21"/>
  <c r="E61" i="21" s="1"/>
  <c r="B69" i="21"/>
  <c r="C69" i="21" s="1"/>
  <c r="K68" i="31" l="1"/>
  <c r="L41" i="31"/>
  <c r="L119" i="31" s="1"/>
  <c r="L43" i="24"/>
  <c r="K41" i="31"/>
  <c r="K119" i="31" s="1"/>
  <c r="K43" i="24"/>
  <c r="K43" i="31"/>
  <c r="K75" i="31"/>
  <c r="L43" i="31"/>
  <c r="L75" i="31"/>
  <c r="L68" i="31"/>
  <c r="K116" i="31"/>
  <c r="L116" i="31"/>
  <c r="D68" i="21"/>
  <c r="C34" i="24" s="1"/>
  <c r="E68" i="21" l="1"/>
  <c r="C35" i="24"/>
  <c r="C36" i="24"/>
  <c r="D69" i="21"/>
  <c r="E69" i="21" s="1"/>
  <c r="F61" i="21"/>
  <c r="G61" i="21" s="1"/>
  <c r="F68" i="21" l="1"/>
  <c r="D34" i="24" s="1"/>
  <c r="G68" i="21" l="1"/>
  <c r="D35" i="24"/>
  <c r="D36" i="24"/>
  <c r="H61" i="21"/>
  <c r="I61" i="21" s="1"/>
  <c r="F69" i="21"/>
  <c r="G69" i="21" s="1"/>
  <c r="H68" i="21" l="1"/>
  <c r="E34" i="24" s="1"/>
  <c r="I68" i="21" l="1"/>
  <c r="E36" i="24"/>
  <c r="E35" i="24"/>
  <c r="J61" i="21"/>
  <c r="H69" i="21"/>
  <c r="I69" i="21" s="1"/>
  <c r="K61" i="21" l="1"/>
  <c r="E21" i="28"/>
  <c r="E28" i="28" s="1"/>
  <c r="E38" i="28" s="1"/>
  <c r="J68" i="21"/>
  <c r="M23" i="46" s="1"/>
  <c r="F34" i="24" l="1"/>
  <c r="M22" i="26"/>
  <c r="F36" i="24"/>
  <c r="F35" i="24"/>
  <c r="K68" i="21"/>
  <c r="Q61" i="21"/>
  <c r="Q68" i="21" s="1"/>
  <c r="J69" i="21"/>
  <c r="K69" i="21" s="1"/>
  <c r="R61" i="21" l="1"/>
  <c r="R68" i="21" s="1"/>
  <c r="S61" i="21" l="1"/>
  <c r="S68" i="21" s="1"/>
  <c r="T61" i="21" l="1"/>
  <c r="T68" i="21" s="1"/>
  <c r="U61" i="21" l="1"/>
  <c r="U68" i="21" s="1"/>
  <c r="H118" i="31" l="1"/>
  <c r="H33" i="31"/>
  <c r="L61" i="31" l="1"/>
  <c r="L118" i="31"/>
  <c r="J61" i="31"/>
  <c r="J118" i="31"/>
  <c r="I118" i="31"/>
  <c r="I61" i="31"/>
  <c r="K61" i="31"/>
  <c r="K118" i="31"/>
  <c r="H37" i="31"/>
  <c r="H115" i="31"/>
  <c r="K33" i="31" l="1"/>
  <c r="K108" i="31"/>
  <c r="I33" i="31"/>
  <c r="I115" i="31" s="1"/>
  <c r="I108" i="31"/>
  <c r="J33" i="31"/>
  <c r="J37" i="31" s="1"/>
  <c r="J108" i="31"/>
  <c r="L33" i="31"/>
  <c r="L115" i="31" s="1"/>
  <c r="L108" i="31"/>
  <c r="K37" i="31"/>
  <c r="K115" i="31"/>
  <c r="I37" i="31" l="1"/>
  <c r="L37" i="31"/>
  <c r="J115" i="31"/>
  <c r="D17" i="38" l="1"/>
  <c r="Q13" i="21" l="1"/>
  <c r="R13" i="21"/>
  <c r="S13" i="21"/>
  <c r="T13" i="21"/>
  <c r="U13" i="21"/>
  <c r="Q17" i="21"/>
  <c r="R17" i="21"/>
  <c r="S17" i="21"/>
  <c r="T17" i="21"/>
  <c r="U17" i="21"/>
  <c r="Q40" i="21"/>
  <c r="R40" i="21"/>
  <c r="S40" i="21"/>
  <c r="T40" i="21"/>
  <c r="U40" i="21"/>
  <c r="Q49" i="21"/>
  <c r="R49" i="21"/>
  <c r="S49" i="21"/>
  <c r="T49" i="21"/>
  <c r="U49" i="21"/>
  <c r="Q50" i="21"/>
  <c r="R50" i="21"/>
  <c r="S50" i="21"/>
  <c r="T50" i="21"/>
  <c r="U50" i="21"/>
  <c r="Q69" i="21"/>
  <c r="R69" i="21"/>
  <c r="S69" i="21"/>
  <c r="T69" i="21"/>
  <c r="U69" i="21"/>
  <c r="Q71" i="21"/>
  <c r="R71" i="21"/>
  <c r="S71" i="21"/>
  <c r="T71" i="21"/>
  <c r="U71" i="21"/>
  <c r="Q72" i="21"/>
  <c r="R72" i="21"/>
  <c r="S72" i="21"/>
  <c r="T72" i="21"/>
  <c r="U72" i="21"/>
  <c r="Q73" i="21"/>
  <c r="R73" i="21"/>
  <c r="S73" i="21"/>
  <c r="T73" i="21"/>
  <c r="U73" i="21"/>
  <c r="D12" i="59"/>
  <c r="D13" i="59"/>
  <c r="D17" i="59"/>
  <c r="D18" i="59"/>
  <c r="H11" i="24"/>
  <c r="I11" i="24"/>
  <c r="J11" i="24"/>
  <c r="K11" i="24"/>
  <c r="L11" i="24"/>
  <c r="H12" i="24"/>
  <c r="I12" i="24"/>
  <c r="J12" i="24"/>
  <c r="K12" i="24"/>
  <c r="L12" i="24"/>
  <c r="H13" i="24"/>
  <c r="H14" i="24"/>
  <c r="H15" i="24"/>
  <c r="I15" i="24"/>
  <c r="J15" i="24"/>
  <c r="K15" i="24"/>
  <c r="L15" i="24"/>
  <c r="H17" i="24"/>
  <c r="I17" i="24"/>
  <c r="J17" i="24"/>
  <c r="K17" i="24"/>
  <c r="L17" i="24"/>
  <c r="H18" i="24"/>
  <c r="I18" i="24"/>
  <c r="J18" i="24"/>
  <c r="K18" i="24"/>
  <c r="L18" i="24"/>
  <c r="H19" i="24"/>
  <c r="I19" i="24"/>
  <c r="J19" i="24"/>
  <c r="K19" i="24"/>
  <c r="L19" i="24"/>
  <c r="H20" i="24"/>
  <c r="I20" i="24"/>
  <c r="J20" i="24"/>
  <c r="K20" i="24"/>
  <c r="L20" i="24"/>
  <c r="H22" i="24"/>
  <c r="I22" i="24"/>
  <c r="J22" i="24"/>
  <c r="K22" i="24"/>
  <c r="L22" i="24"/>
  <c r="H23" i="24"/>
  <c r="I23" i="24"/>
  <c r="J23" i="24"/>
  <c r="K23" i="24"/>
  <c r="L23" i="24"/>
  <c r="H25" i="24"/>
  <c r="I25" i="24"/>
  <c r="J25" i="24"/>
  <c r="K25" i="24"/>
  <c r="L25" i="24"/>
  <c r="H26" i="24"/>
  <c r="I26" i="24"/>
  <c r="J26" i="24"/>
  <c r="K26" i="24"/>
  <c r="L26" i="24"/>
  <c r="H28" i="24"/>
  <c r="I28" i="24"/>
  <c r="J28" i="24"/>
  <c r="K28" i="24"/>
  <c r="L28" i="24"/>
  <c r="H29" i="24"/>
  <c r="I29" i="24"/>
  <c r="J29" i="24"/>
  <c r="K29" i="24"/>
  <c r="L29" i="24"/>
  <c r="H32" i="24"/>
  <c r="I32" i="24"/>
  <c r="J32" i="24"/>
  <c r="K32" i="24"/>
  <c r="L32" i="24"/>
  <c r="H34" i="24"/>
  <c r="I34" i="24"/>
  <c r="J34" i="24"/>
  <c r="K34" i="24"/>
  <c r="L34" i="24"/>
  <c r="H35" i="24"/>
  <c r="I35" i="24"/>
  <c r="J35" i="24"/>
  <c r="K35" i="24"/>
  <c r="L35" i="24"/>
  <c r="H36" i="24"/>
  <c r="I36" i="24"/>
  <c r="J36" i="24"/>
  <c r="K36" i="24"/>
  <c r="L36" i="24"/>
  <c r="H38" i="24"/>
  <c r="I38" i="24"/>
  <c r="J38" i="24"/>
  <c r="K38" i="24"/>
  <c r="L38" i="24"/>
  <c r="H39" i="24"/>
  <c r="I39" i="24"/>
  <c r="J39" i="24"/>
  <c r="K39" i="24"/>
  <c r="L39" i="24"/>
  <c r="H42" i="24"/>
  <c r="I42" i="24"/>
  <c r="J42" i="24"/>
  <c r="K42" i="24"/>
  <c r="L42" i="24"/>
  <c r="H44" i="24"/>
  <c r="I44" i="24"/>
  <c r="J44" i="24"/>
  <c r="K44" i="24"/>
  <c r="L44" i="24"/>
  <c r="H45" i="24"/>
  <c r="I45" i="24"/>
  <c r="J45" i="24"/>
  <c r="K45" i="24"/>
  <c r="L45" i="24"/>
  <c r="H47" i="24"/>
  <c r="I47" i="24"/>
  <c r="J47" i="24"/>
  <c r="K47" i="24"/>
  <c r="L47" i="24"/>
  <c r="H48" i="24"/>
  <c r="H42" i="31"/>
  <c r="I42" i="31"/>
  <c r="J42" i="31"/>
  <c r="K42" i="31"/>
  <c r="L42" i="31"/>
  <c r="H44" i="31"/>
  <c r="I44" i="31"/>
  <c r="J44" i="31"/>
  <c r="K44" i="31"/>
  <c r="L44" i="31"/>
  <c r="H45" i="31"/>
  <c r="I45" i="31"/>
  <c r="J45" i="31"/>
  <c r="K45" i="31"/>
  <c r="L45" i="31"/>
  <c r="H46" i="31"/>
  <c r="I46" i="31"/>
  <c r="J46" i="31"/>
  <c r="K46" i="31"/>
  <c r="L46" i="31"/>
  <c r="H50" i="31"/>
  <c r="I50" i="31"/>
  <c r="J50" i="31"/>
  <c r="K50" i="31"/>
  <c r="L50" i="31"/>
  <c r="H54" i="31"/>
  <c r="I54" i="31"/>
  <c r="J54" i="31"/>
  <c r="K54" i="31"/>
  <c r="L54" i="31"/>
  <c r="H77" i="31"/>
  <c r="I77" i="31"/>
  <c r="J77" i="31"/>
  <c r="K77" i="31"/>
  <c r="L77" i="31"/>
  <c r="H86" i="31"/>
  <c r="I86" i="31"/>
  <c r="J86" i="31"/>
  <c r="K86" i="31"/>
  <c r="L86" i="31"/>
  <c r="H87" i="31"/>
  <c r="I87" i="31"/>
  <c r="J87" i="31"/>
  <c r="K87" i="31"/>
  <c r="L87" i="31"/>
  <c r="H91" i="31"/>
  <c r="I91" i="31"/>
  <c r="J91" i="31"/>
  <c r="K91" i="31"/>
  <c r="L91" i="31"/>
  <c r="H95" i="31"/>
  <c r="I95" i="31"/>
  <c r="J95" i="31"/>
  <c r="K95" i="31"/>
  <c r="L95" i="31"/>
  <c r="I98" i="31"/>
  <c r="J98" i="31"/>
  <c r="K98" i="31"/>
  <c r="L98" i="31"/>
  <c r="H100" i="31"/>
  <c r="I100" i="31"/>
  <c r="J100" i="31"/>
  <c r="K100" i="31"/>
  <c r="L100" i="31"/>
  <c r="H102" i="31"/>
  <c r="I102" i="31"/>
  <c r="J102" i="31"/>
  <c r="K102" i="31"/>
  <c r="L102" i="31"/>
  <c r="H105" i="31"/>
  <c r="I105" i="31"/>
  <c r="J105" i="31"/>
  <c r="K105" i="31"/>
  <c r="L105" i="31"/>
  <c r="H106" i="31"/>
  <c r="I106" i="31"/>
  <c r="J106" i="31"/>
  <c r="K106" i="31"/>
  <c r="L106" i="31"/>
  <c r="H109" i="31"/>
  <c r="I109" i="31"/>
  <c r="J109" i="31"/>
  <c r="K109" i="31"/>
  <c r="L109" i="31"/>
  <c r="H110" i="31"/>
  <c r="I110" i="31"/>
  <c r="J110" i="31"/>
  <c r="K110" i="31"/>
  <c r="L110" i="31"/>
  <c r="H114" i="31"/>
  <c r="I114" i="31"/>
  <c r="J114" i="31"/>
  <c r="K114" i="31"/>
  <c r="L114" i="31"/>
  <c r="H117" i="31"/>
  <c r="I117" i="31"/>
  <c r="J117" i="31"/>
  <c r="K117" i="31"/>
  <c r="L117" i="31"/>
  <c r="H120" i="31"/>
  <c r="I120" i="31"/>
  <c r="J120" i="31"/>
  <c r="K120" i="31"/>
  <c r="L120" i="31"/>
  <c r="H121" i="31"/>
  <c r="I121" i="31"/>
  <c r="J121" i="31"/>
  <c r="K121" i="31"/>
  <c r="L121" i="31"/>
  <c r="B124" i="31"/>
  <c r="B131" i="31"/>
  <c r="C131" i="31"/>
  <c r="D131" i="31"/>
  <c r="E131" i="31"/>
  <c r="F131" i="31"/>
  <c r="F132" i="31"/>
  <c r="B133" i="31"/>
  <c r="C133" i="31"/>
  <c r="D133" i="31"/>
  <c r="E133" i="31"/>
  <c r="F133" i="31"/>
  <c r="B136" i="31"/>
  <c r="B138" i="31"/>
  <c r="B140" i="31"/>
  <c r="B141" i="31"/>
  <c r="A146" i="31"/>
  <c r="A156" i="31"/>
  <c r="H43" i="39"/>
  <c r="I43" i="39"/>
  <c r="J43" i="39"/>
  <c r="K43" i="39"/>
  <c r="L43" i="39"/>
  <c r="H45" i="39"/>
  <c r="I45" i="39"/>
  <c r="J45" i="39"/>
  <c r="K45" i="39"/>
  <c r="L45" i="39"/>
  <c r="H46" i="39"/>
  <c r="I46" i="39"/>
  <c r="J46" i="39"/>
  <c r="K46" i="39"/>
  <c r="L46" i="39"/>
  <c r="H47" i="39"/>
  <c r="I47" i="39"/>
  <c r="J47" i="39"/>
  <c r="K47" i="39"/>
  <c r="L47" i="39"/>
  <c r="H51" i="39"/>
  <c r="I51" i="39"/>
  <c r="J51" i="39"/>
  <c r="K51" i="39"/>
  <c r="L51" i="39"/>
  <c r="H55" i="39"/>
  <c r="I55" i="39"/>
  <c r="J55" i="39"/>
  <c r="K55" i="39"/>
  <c r="L55" i="39"/>
  <c r="H78" i="39"/>
  <c r="I78" i="39"/>
  <c r="J78" i="39"/>
  <c r="K78" i="39"/>
  <c r="L78" i="39"/>
  <c r="H87" i="39"/>
  <c r="I87" i="39"/>
  <c r="J87" i="39"/>
  <c r="K87" i="39"/>
  <c r="L87" i="39"/>
  <c r="H88" i="39"/>
  <c r="I88" i="39"/>
  <c r="J88" i="39"/>
  <c r="K88" i="39"/>
  <c r="L88" i="39"/>
  <c r="H92" i="39"/>
  <c r="I92" i="39"/>
  <c r="J92" i="39"/>
  <c r="K92" i="39"/>
  <c r="L92" i="39"/>
  <c r="H96" i="39"/>
  <c r="I96" i="39"/>
  <c r="J96" i="39"/>
  <c r="K96" i="39"/>
  <c r="L96" i="39"/>
  <c r="I99" i="39"/>
  <c r="J99" i="39"/>
  <c r="K99" i="39"/>
  <c r="L99" i="39"/>
  <c r="H101" i="39"/>
  <c r="I101" i="39"/>
  <c r="J101" i="39"/>
  <c r="K101" i="39"/>
  <c r="L101" i="39"/>
  <c r="H103" i="39"/>
  <c r="I103" i="39"/>
  <c r="J103" i="39"/>
  <c r="K103" i="39"/>
  <c r="L103" i="39"/>
  <c r="H106" i="39"/>
  <c r="I106" i="39"/>
  <c r="J106" i="39"/>
  <c r="K106" i="39"/>
  <c r="L106" i="39"/>
  <c r="H107" i="39"/>
  <c r="I107" i="39"/>
  <c r="J107" i="39"/>
  <c r="K107" i="39"/>
  <c r="L107" i="39"/>
  <c r="H110" i="39"/>
  <c r="I110" i="39"/>
  <c r="J110" i="39"/>
  <c r="K110" i="39"/>
  <c r="L110" i="39"/>
  <c r="H111" i="39"/>
  <c r="I111" i="39"/>
  <c r="J111" i="39"/>
  <c r="K111" i="39"/>
  <c r="L111" i="39"/>
  <c r="H115" i="39"/>
  <c r="I115" i="39"/>
  <c r="J115" i="39"/>
  <c r="K115" i="39"/>
  <c r="L115" i="39"/>
  <c r="H118" i="39"/>
  <c r="I118" i="39"/>
  <c r="J118" i="39"/>
  <c r="K118" i="39"/>
  <c r="L118" i="39"/>
  <c r="H121" i="39"/>
  <c r="I121" i="39"/>
  <c r="J121" i="39"/>
  <c r="K121" i="39"/>
  <c r="L121" i="39"/>
  <c r="H122" i="39"/>
  <c r="I122" i="39"/>
  <c r="J122" i="39"/>
  <c r="K122" i="39"/>
  <c r="L122" i="39"/>
  <c r="B132" i="39"/>
  <c r="C132" i="39"/>
  <c r="D132" i="39"/>
  <c r="E132" i="39"/>
  <c r="F132" i="39"/>
  <c r="F133" i="39"/>
  <c r="B134" i="39"/>
  <c r="C134" i="39"/>
  <c r="D134" i="39"/>
  <c r="E134" i="39"/>
  <c r="F134" i="39"/>
  <c r="B137" i="39"/>
  <c r="B139" i="39"/>
  <c r="B141" i="39"/>
  <c r="B142" i="39"/>
  <c r="A147" i="39"/>
  <c r="C18" i="34"/>
  <c r="G22" i="34"/>
  <c r="G23" i="34"/>
  <c r="C26" i="34"/>
  <c r="C29" i="34"/>
  <c r="C30" i="34"/>
  <c r="A35" i="34"/>
  <c r="A45" i="34"/>
  <c r="D13" i="54"/>
  <c r="D14" i="54"/>
  <c r="D18" i="54"/>
  <c r="F11" i="33"/>
  <c r="F14" i="33"/>
  <c r="B16" i="33"/>
  <c r="B18" i="33"/>
  <c r="B81" i="33"/>
  <c r="B84" i="33"/>
  <c r="B93" i="33"/>
  <c r="B9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R98" authorId="0" shapeId="0" xr:uid="{C2A857FD-4359-6341-A78B-541168C297CE}">
      <text>
        <r>
          <rPr>
            <b/>
            <sz val="10"/>
            <color rgb="FF000000"/>
            <rFont val="Tahoma"/>
            <family val="2"/>
          </rPr>
          <t>Chengyi Xu:</t>
        </r>
        <r>
          <rPr>
            <sz val="10"/>
            <color rgb="FF000000"/>
            <rFont val="Tahoma"/>
            <family val="2"/>
          </rPr>
          <t xml:space="preserve">
</t>
        </r>
        <r>
          <rPr>
            <sz val="10"/>
            <color rgb="FF000000"/>
            <rFont val="Calibri"/>
            <family val="2"/>
          </rPr>
          <t>it reflects the current expectations of investors regarding the future performance of the stock market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23" authorId="0" shapeId="0" xr:uid="{6B1D4172-6AFB-0D46-9324-C31B05A8A899}">
      <text>
        <r>
          <rPr>
            <b/>
            <sz val="10"/>
            <color rgb="FF000000"/>
            <rFont val="Tahoma"/>
            <family val="2"/>
          </rPr>
          <t>Chengyi Xu:</t>
        </r>
        <r>
          <rPr>
            <sz val="10"/>
            <color rgb="FF000000"/>
            <rFont val="Tahoma"/>
            <family val="2"/>
          </rPr>
          <t xml:space="preserve">
</t>
        </r>
        <r>
          <rPr>
            <sz val="10"/>
            <color rgb="FF000000"/>
            <rFont val="Calibri"/>
            <family val="2"/>
            <scheme val="minor"/>
          </rPr>
          <t>Footnote #3</t>
        </r>
      </text>
    </comment>
    <comment ref="A31" authorId="0" shapeId="0" xr:uid="{DF9F800D-B0E4-7046-AA3D-7A860BF0B555}">
      <text>
        <r>
          <rPr>
            <b/>
            <sz val="10"/>
            <color rgb="FF000000"/>
            <rFont val="Tahoma"/>
            <family val="2"/>
          </rPr>
          <t>Chengyi Xu:</t>
        </r>
        <r>
          <rPr>
            <sz val="10"/>
            <color rgb="FF000000"/>
            <rFont val="Tahoma"/>
            <family val="2"/>
          </rPr>
          <t xml:space="preserve">
</t>
        </r>
        <r>
          <rPr>
            <sz val="10"/>
            <color rgb="FF000000"/>
            <rFont val="Calibri"/>
            <family val="2"/>
            <scheme val="minor"/>
          </rPr>
          <t>Footnote #4</t>
        </r>
      </text>
    </comment>
    <comment ref="A59" authorId="0" shapeId="0" xr:uid="{836FDDDE-CDF7-6D47-8D86-983FCC562329}">
      <text>
        <r>
          <rPr>
            <b/>
            <sz val="10"/>
            <color rgb="FF000000"/>
            <rFont val="Tahoma"/>
            <family val="2"/>
          </rPr>
          <t>Chengyi Xu:</t>
        </r>
        <r>
          <rPr>
            <sz val="10"/>
            <color rgb="FF000000"/>
            <rFont val="Tahoma"/>
            <family val="2"/>
          </rPr>
          <t xml:space="preserve">
</t>
        </r>
        <r>
          <rPr>
            <sz val="10"/>
            <color rgb="FF000000"/>
            <rFont val="Tahoma"/>
            <family val="2"/>
          </rPr>
          <t>Footnote #2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10" authorId="0" shapeId="0" xr:uid="{06AA5946-03FF-CD48-B31C-ED5CD0B881CA}">
      <text>
        <r>
          <rPr>
            <b/>
            <sz val="10"/>
            <color rgb="FF000000"/>
            <rFont val="Tahoma"/>
            <family val="2"/>
          </rPr>
          <t>Chengyi Xu:</t>
        </r>
        <r>
          <rPr>
            <sz val="10"/>
            <color rgb="FF000000"/>
            <rFont val="Tahoma"/>
            <family val="2"/>
          </rPr>
          <t xml:space="preserve">
</t>
        </r>
        <r>
          <rPr>
            <sz val="10"/>
            <color rgb="FF000000"/>
            <rFont val="Tahoma"/>
            <family val="2"/>
          </rPr>
          <t>Footnote #2</t>
        </r>
      </text>
    </comment>
    <comment ref="A24" authorId="0" shapeId="0" xr:uid="{7BA02414-69DA-824E-8B43-1052697452AC}">
      <text>
        <r>
          <rPr>
            <b/>
            <sz val="10"/>
            <color rgb="FF000000"/>
            <rFont val="Tahoma"/>
            <family val="2"/>
          </rPr>
          <t>Chengyi Xu:</t>
        </r>
        <r>
          <rPr>
            <sz val="10"/>
            <color rgb="FF000000"/>
            <rFont val="Tahoma"/>
            <family val="2"/>
          </rPr>
          <t xml:space="preserve">
</t>
        </r>
        <r>
          <rPr>
            <sz val="10"/>
            <color rgb="FF000000"/>
            <rFont val="Tahoma"/>
            <family val="2"/>
          </rPr>
          <t>Footnote #6</t>
        </r>
      </text>
    </comment>
    <comment ref="A30" authorId="0" shapeId="0" xr:uid="{827C784E-4D6D-9E42-B33E-F92F0C5556A2}">
      <text>
        <r>
          <rPr>
            <b/>
            <sz val="10"/>
            <color rgb="FF000000"/>
            <rFont val="Tahoma"/>
            <family val="2"/>
          </rPr>
          <t>Chengyi Xu:</t>
        </r>
        <r>
          <rPr>
            <sz val="10"/>
            <color rgb="FF000000"/>
            <rFont val="Tahoma"/>
            <family val="2"/>
          </rPr>
          <t xml:space="preserve">
</t>
        </r>
        <r>
          <rPr>
            <sz val="10"/>
            <color rgb="FF000000"/>
            <rFont val="Tahoma"/>
            <family val="2"/>
          </rPr>
          <t>Footnote #3</t>
        </r>
      </text>
    </comment>
    <comment ref="A35" authorId="0" shapeId="0" xr:uid="{2A548094-CF11-8649-A1A2-58E6927539AA}">
      <text>
        <r>
          <rPr>
            <b/>
            <sz val="10"/>
            <color rgb="FF000000"/>
            <rFont val="Tahoma"/>
            <family val="2"/>
          </rPr>
          <t>Chengyi Xu:</t>
        </r>
        <r>
          <rPr>
            <sz val="10"/>
            <color rgb="FF000000"/>
            <rFont val="Tahoma"/>
            <family val="2"/>
          </rPr>
          <t xml:space="preserve">
</t>
        </r>
        <r>
          <rPr>
            <sz val="10"/>
            <color rgb="FF000000"/>
            <rFont val="Tahoma"/>
            <family val="2"/>
          </rPr>
          <t>Footnote #4</t>
        </r>
      </text>
    </comment>
    <comment ref="A42" authorId="0" shapeId="0" xr:uid="{6B5C8550-04C2-3940-9CDD-C5B626AAD455}">
      <text>
        <r>
          <rPr>
            <b/>
            <sz val="10"/>
            <color rgb="FF000000"/>
            <rFont val="Tahoma"/>
            <family val="2"/>
          </rPr>
          <t>Chengyi Xu:</t>
        </r>
        <r>
          <rPr>
            <sz val="10"/>
            <color rgb="FF000000"/>
            <rFont val="Tahoma"/>
            <family val="2"/>
          </rPr>
          <t xml:space="preserve">
</t>
        </r>
        <r>
          <rPr>
            <sz val="10"/>
            <color rgb="FF000000"/>
            <rFont val="Tahoma"/>
            <family val="2"/>
          </rPr>
          <t>Footnote #5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B22" authorId="0" shapeId="0" xr:uid="{92F719D3-431B-B64F-BBE4-94A1034EE1B9}">
      <text>
        <r>
          <rPr>
            <b/>
            <sz val="10"/>
            <color rgb="FF000000"/>
            <rFont val="Tahoma"/>
            <family val="2"/>
          </rPr>
          <t>Chengyi Xu:</t>
        </r>
        <r>
          <rPr>
            <sz val="10"/>
            <color rgb="FF000000"/>
            <rFont val="Tahoma"/>
            <family val="2"/>
          </rPr>
          <t xml:space="preserve">
</t>
        </r>
        <r>
          <rPr>
            <sz val="10"/>
            <color rgb="FF000000"/>
            <rFont val="Tahoma"/>
            <family val="2"/>
          </rPr>
          <t>Footnote #4</t>
        </r>
      </text>
    </comment>
    <comment ref="F23" authorId="0" shapeId="0" xr:uid="{C0004E6D-2976-6F49-B8F8-28208B4D5E80}">
      <text>
        <r>
          <rPr>
            <b/>
            <sz val="10"/>
            <color rgb="FF000000"/>
            <rFont val="Tahoma"/>
            <family val="2"/>
          </rPr>
          <t>Chengyi Xu:</t>
        </r>
        <r>
          <rPr>
            <sz val="10"/>
            <color rgb="FF000000"/>
            <rFont val="Tahoma"/>
            <family val="2"/>
          </rPr>
          <t xml:space="preserve">
</t>
        </r>
        <r>
          <rPr>
            <sz val="10"/>
            <color rgb="FF000000"/>
            <rFont val="Tahoma"/>
            <family val="2"/>
          </rPr>
          <t>Footnote #2</t>
        </r>
      </text>
    </comment>
    <comment ref="H46" authorId="0" shapeId="0" xr:uid="{FDE67014-41B1-4A4E-8630-15BB07937800}">
      <text>
        <r>
          <rPr>
            <b/>
            <sz val="10"/>
            <color rgb="FF000000"/>
            <rFont val="Tahoma"/>
            <family val="2"/>
          </rPr>
          <t>Chengyi Xu:</t>
        </r>
        <r>
          <rPr>
            <sz val="10"/>
            <color rgb="FF000000"/>
            <rFont val="Tahoma"/>
            <family val="2"/>
          </rPr>
          <t xml:space="preserve">
</t>
        </r>
        <r>
          <rPr>
            <sz val="10"/>
            <color rgb="FF000000"/>
            <rFont val="Tahoma"/>
            <family val="2"/>
          </rPr>
          <t>Footnote #1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T10" authorId="0" shapeId="0" xr:uid="{CD82D8D4-FD84-B74A-8D8A-A4B3BB815FFD}">
      <text>
        <r>
          <rPr>
            <b/>
            <sz val="10"/>
            <color rgb="FF000000"/>
            <rFont val="Tahoma"/>
            <family val="2"/>
          </rPr>
          <t>Chengyi Xu:</t>
        </r>
        <r>
          <rPr>
            <sz val="10"/>
            <color rgb="FF000000"/>
            <rFont val="Tahoma"/>
            <family val="2"/>
          </rPr>
          <t xml:space="preserve">
</t>
        </r>
        <r>
          <rPr>
            <sz val="10"/>
            <color rgb="FF000000"/>
            <rFont val="Tahoma"/>
            <family val="2"/>
          </rPr>
          <t>Footnote #1</t>
        </r>
      </text>
    </comment>
    <comment ref="T13" authorId="0" shapeId="0" xr:uid="{EF25631A-DA14-F444-9B57-7FCA889599A6}">
      <text>
        <r>
          <rPr>
            <b/>
            <sz val="10"/>
            <color rgb="FF000000"/>
            <rFont val="Tahoma"/>
            <family val="2"/>
          </rPr>
          <t>Chengyi Xu:</t>
        </r>
        <r>
          <rPr>
            <sz val="10"/>
            <color rgb="FF000000"/>
            <rFont val="Tahoma"/>
            <family val="2"/>
          </rPr>
          <t xml:space="preserve">
</t>
        </r>
        <r>
          <rPr>
            <sz val="10"/>
            <color rgb="FF000000"/>
            <rFont val="Calibri"/>
            <family val="2"/>
          </rPr>
          <t>Footnote #2</t>
        </r>
      </text>
    </comment>
    <comment ref="T32" authorId="0" shapeId="0" xr:uid="{BC0B49E4-FDD9-C34D-96E3-763954A41D3D}">
      <text>
        <r>
          <rPr>
            <b/>
            <sz val="10"/>
            <color rgb="FF000000"/>
            <rFont val="Tahoma"/>
            <family val="2"/>
          </rPr>
          <t>Chengyi Xu:</t>
        </r>
        <r>
          <rPr>
            <sz val="10"/>
            <color rgb="FF000000"/>
            <rFont val="Tahoma"/>
            <family val="2"/>
          </rPr>
          <t xml:space="preserve">
</t>
        </r>
        <r>
          <rPr>
            <sz val="10"/>
            <color rgb="FF000000"/>
            <rFont val="Calibri"/>
            <family val="2"/>
          </rPr>
          <t>Footnote #4</t>
        </r>
      </text>
    </comment>
    <comment ref="U42" authorId="0" shapeId="0" xr:uid="{9B809B43-A97A-7B43-8DCB-D5CB5502E903}">
      <text>
        <r>
          <rPr>
            <b/>
            <sz val="10"/>
            <color rgb="FF000000"/>
            <rFont val="Tahoma"/>
            <family val="2"/>
          </rPr>
          <t>Chengyi Xu:</t>
        </r>
        <r>
          <rPr>
            <sz val="10"/>
            <color rgb="FF000000"/>
            <rFont val="Tahoma"/>
            <family val="2"/>
          </rPr>
          <t xml:space="preserve">
</t>
        </r>
        <r>
          <rPr>
            <sz val="10"/>
            <color rgb="FF000000"/>
            <rFont val="Calibri"/>
            <family val="2"/>
          </rPr>
          <t xml:space="preserve">We set it equal to 4% since we believe the interest expense and income are somehow depends on the interest rate, and the interest rates for financing debt is stable at 4%, therefore, we believe adopting 4% should also be optimal for interest income
</t>
        </r>
      </text>
    </comment>
    <comment ref="T43" authorId="0" shapeId="0" xr:uid="{2257F159-5C04-2640-B93F-FB30AAEE216F}">
      <text>
        <r>
          <rPr>
            <b/>
            <sz val="10"/>
            <color rgb="FF000000"/>
            <rFont val="Tahoma"/>
            <family val="2"/>
          </rPr>
          <t>Chengyi Xu:</t>
        </r>
        <r>
          <rPr>
            <sz val="10"/>
            <color rgb="FF000000"/>
            <rFont val="Tahoma"/>
            <family val="2"/>
          </rPr>
          <t xml:space="preserve">
</t>
        </r>
        <r>
          <rPr>
            <sz val="10"/>
            <color rgb="FF000000"/>
            <rFont val="Calibri"/>
            <family val="2"/>
          </rPr>
          <t xml:space="preserve">As stated in the Annual Report, the Equity in earnings is the earnings from the equity investments
</t>
        </r>
      </text>
    </comment>
    <comment ref="T45" authorId="0" shapeId="0" xr:uid="{169BBEA5-BD6E-9642-9572-F8BBBE82011F}">
      <text>
        <r>
          <rPr>
            <b/>
            <sz val="10"/>
            <color rgb="FF000000"/>
            <rFont val="Tahoma"/>
            <family val="2"/>
          </rPr>
          <t>Chengyi Xu:</t>
        </r>
        <r>
          <rPr>
            <sz val="10"/>
            <color rgb="FF000000"/>
            <rFont val="Tahoma"/>
            <family val="2"/>
          </rPr>
          <t xml:space="preserve">
</t>
        </r>
        <r>
          <rPr>
            <sz val="10"/>
            <color rgb="FF000000"/>
            <rFont val="Calibri"/>
            <family val="2"/>
          </rPr>
          <t>Footnote #3</t>
        </r>
      </text>
    </comment>
    <comment ref="A50" authorId="0" shapeId="0" xr:uid="{95EEED52-C6B5-2E43-814D-4168E60CF6E6}">
      <text>
        <r>
          <rPr>
            <b/>
            <sz val="10"/>
            <color rgb="FF000000"/>
            <rFont val="Tahoma"/>
            <family val="2"/>
          </rPr>
          <t>Chengyi Xu:</t>
        </r>
        <r>
          <rPr>
            <sz val="10"/>
            <color rgb="FF000000"/>
            <rFont val="Tahoma"/>
            <family val="2"/>
          </rPr>
          <t xml:space="preserve">
</t>
        </r>
        <r>
          <rPr>
            <sz val="10"/>
            <color rgb="FF000000"/>
            <rFont val="Tahoma"/>
            <family val="2"/>
          </rPr>
          <t>Footnote #7</t>
        </r>
      </text>
    </comment>
    <comment ref="T50" authorId="0" shapeId="0" xr:uid="{DEE25052-BFBC-A147-8D24-EF19FD948230}">
      <text>
        <r>
          <rPr>
            <b/>
            <sz val="10"/>
            <color rgb="FF000000"/>
            <rFont val="Tahoma"/>
            <family val="2"/>
          </rPr>
          <t>Chengyi Xu:</t>
        </r>
        <r>
          <rPr>
            <sz val="10"/>
            <color rgb="FF000000"/>
            <rFont val="Tahoma"/>
            <family val="2"/>
          </rPr>
          <t xml:space="preserve">
</t>
        </r>
        <r>
          <rPr>
            <sz val="10"/>
            <color rgb="FF000000"/>
            <rFont val="Calibri"/>
            <family val="2"/>
          </rPr>
          <t>Footnote #2</t>
        </r>
      </text>
    </comment>
    <comment ref="T53" authorId="0" shapeId="0" xr:uid="{65C84A4B-C765-F24A-9FB3-43FCCB0EDC45}">
      <text>
        <r>
          <rPr>
            <b/>
            <sz val="10"/>
            <color rgb="FF000000"/>
            <rFont val="Tahoma"/>
            <family val="2"/>
          </rPr>
          <t>Chengyi Xu:</t>
        </r>
        <r>
          <rPr>
            <sz val="10"/>
            <color rgb="FF000000"/>
            <rFont val="Tahoma"/>
            <family val="2"/>
          </rPr>
          <t xml:space="preserve">
</t>
        </r>
        <r>
          <rPr>
            <sz val="10"/>
            <color rgb="FF000000"/>
            <rFont val="Calibri"/>
            <family val="2"/>
          </rPr>
          <t>Footnote #3</t>
        </r>
      </text>
    </comment>
    <comment ref="T56" authorId="0" shapeId="0" xr:uid="{005461F9-8672-A740-A381-6DC5A5F67760}">
      <text>
        <r>
          <rPr>
            <b/>
            <sz val="10"/>
            <color rgb="FF000000"/>
            <rFont val="Tahoma"/>
            <family val="2"/>
          </rPr>
          <t>Chengyi Xu:</t>
        </r>
        <r>
          <rPr>
            <sz val="10"/>
            <color rgb="FF000000"/>
            <rFont val="Tahoma"/>
            <family val="2"/>
          </rPr>
          <t xml:space="preserve">
</t>
        </r>
        <r>
          <rPr>
            <sz val="10"/>
            <color rgb="FF000000"/>
            <rFont val="Calibri"/>
            <family val="2"/>
          </rPr>
          <t xml:space="preserve">According to the 2022 annual report, page 51, Marriott will purchase land with value of 300m at the end of 2022, which should reflected on the balance sheet of 2023, since it did not show on 2022 balance sheet.
</t>
        </r>
      </text>
    </comment>
    <comment ref="T57" authorId="0" shapeId="0" xr:uid="{669ECB60-21FB-E040-A691-C96D7E749652}">
      <text>
        <r>
          <rPr>
            <b/>
            <sz val="10"/>
            <color rgb="FF000000"/>
            <rFont val="Tahoma"/>
            <family val="2"/>
          </rPr>
          <t>Chengyi Xu:</t>
        </r>
        <r>
          <rPr>
            <sz val="10"/>
            <color rgb="FF000000"/>
            <rFont val="Tahoma"/>
            <family val="2"/>
          </rPr>
          <t xml:space="preserve">
</t>
        </r>
        <r>
          <rPr>
            <sz val="10"/>
            <color rgb="FF000000"/>
            <rFont val="Calibri"/>
            <family val="2"/>
          </rPr>
          <t xml:space="preserve">Since the buildings and improvements will be based on the land, therefore, a percentage of land would be optimal to forecast the buildings and improvements
</t>
        </r>
      </text>
    </comment>
    <comment ref="T58" authorId="0" shapeId="0" xr:uid="{6D9A37CA-5646-AD44-AA56-3E5EE3F85347}">
      <text>
        <r>
          <rPr>
            <b/>
            <sz val="10"/>
            <color rgb="FF000000"/>
            <rFont val="Tahoma"/>
            <family val="2"/>
          </rPr>
          <t>Chengyi Xu:</t>
        </r>
        <r>
          <rPr>
            <sz val="10"/>
            <color rgb="FF000000"/>
            <rFont val="Tahoma"/>
            <family val="2"/>
          </rPr>
          <t xml:space="preserve">
</t>
        </r>
        <r>
          <rPr>
            <sz val="10"/>
            <color rgb="FF000000"/>
            <rFont val="Calibri"/>
            <family val="2"/>
          </rPr>
          <t xml:space="preserve">Same as Buildings and improvements, since furniture and equipment should be equipped for Buildings and improvements, forecast using the % of buildings and improvements should be optimal
</t>
        </r>
      </text>
    </comment>
    <comment ref="V58" authorId="0" shapeId="0" xr:uid="{8D73F77A-5FFA-3642-B1C5-458B2C8684B5}">
      <text>
        <r>
          <rPr>
            <b/>
            <sz val="10"/>
            <color rgb="FF000000"/>
            <rFont val="Tahoma"/>
            <family val="2"/>
          </rPr>
          <t>Chengyi Xu:</t>
        </r>
        <r>
          <rPr>
            <sz val="10"/>
            <color rgb="FF000000"/>
            <rFont val="Tahoma"/>
            <family val="2"/>
          </rPr>
          <t xml:space="preserve">
</t>
        </r>
        <r>
          <rPr>
            <sz val="10"/>
            <color rgb="FF000000"/>
            <rFont val="Calibri"/>
            <family val="2"/>
          </rPr>
          <t xml:space="preserve">I adopted the average of 2018 and 2019 since the following 3 years are shadowed by COVID, which may hinder the furniture and equipment procurement.
</t>
        </r>
      </text>
    </comment>
    <comment ref="T60" authorId="0" shapeId="0" xr:uid="{857BA057-26CF-D549-905C-2CC4C813F212}">
      <text>
        <r>
          <rPr>
            <b/>
            <sz val="10"/>
            <color rgb="FF000000"/>
            <rFont val="Tahoma"/>
            <family val="2"/>
          </rPr>
          <t>Chengyi Xu:</t>
        </r>
        <r>
          <rPr>
            <sz val="10"/>
            <color rgb="FF000000"/>
            <rFont val="Tahoma"/>
            <family val="2"/>
          </rPr>
          <t xml:space="preserve">
</t>
        </r>
        <r>
          <rPr>
            <sz val="10"/>
            <color rgb="FF000000"/>
            <rFont val="Calibri"/>
            <family val="2"/>
          </rPr>
          <t>Depreciation should be related to all the fixed assets (Land, buildings and furniture)</t>
        </r>
      </text>
    </comment>
    <comment ref="T65" authorId="0" shapeId="0" xr:uid="{D613FB34-AE07-C749-BB28-F809FAD81EDE}">
      <text>
        <r>
          <rPr>
            <b/>
            <sz val="10"/>
            <color rgb="FF000000"/>
            <rFont val="Tahoma"/>
            <family val="2"/>
          </rPr>
          <t>Chengyi Xu:</t>
        </r>
        <r>
          <rPr>
            <sz val="10"/>
            <color rgb="FF000000"/>
            <rFont val="Tahoma"/>
            <family val="2"/>
          </rPr>
          <t xml:space="preserve">
</t>
        </r>
        <r>
          <rPr>
            <sz val="10"/>
            <color rgb="FF000000"/>
            <rFont val="Calibri"/>
            <family val="2"/>
          </rPr>
          <t>Amortization should be a % of intangible brand assets</t>
        </r>
      </text>
    </comment>
    <comment ref="T66" authorId="0" shapeId="0" xr:uid="{80165647-2643-584B-96ED-AF7FC0F2B928}">
      <text>
        <r>
          <rPr>
            <b/>
            <sz val="10"/>
            <color rgb="FF000000"/>
            <rFont val="Tahoma"/>
            <family val="2"/>
          </rPr>
          <t>Chengyi Xu:</t>
        </r>
        <r>
          <rPr>
            <sz val="10"/>
            <color rgb="FF000000"/>
            <rFont val="Tahoma"/>
            <family val="2"/>
          </rPr>
          <t xml:space="preserve">
</t>
        </r>
        <r>
          <rPr>
            <sz val="10"/>
            <color rgb="FF000000"/>
            <rFont val="Calibri"/>
            <family val="2"/>
          </rPr>
          <t>If no other information, the intangible assets should be fixed</t>
        </r>
      </text>
    </comment>
    <comment ref="T67" authorId="0" shapeId="0" xr:uid="{2B2606D1-5F14-3949-9307-5A495F1D69B0}">
      <text>
        <r>
          <rPr>
            <b/>
            <sz val="10"/>
            <color rgb="FF000000"/>
            <rFont val="Tahoma"/>
            <family val="2"/>
          </rPr>
          <t>Chengyi Xu:</t>
        </r>
        <r>
          <rPr>
            <sz val="10"/>
            <color rgb="FF000000"/>
            <rFont val="Tahoma"/>
            <family val="2"/>
          </rPr>
          <t xml:space="preserve">
</t>
        </r>
        <r>
          <rPr>
            <sz val="10"/>
            <color rgb="FF000000"/>
            <rFont val="Calibri"/>
            <family val="2"/>
            <scheme val="minor"/>
          </rPr>
          <t>Same as intangible Brand Assets, should stayed the same.</t>
        </r>
      </text>
    </comment>
    <comment ref="T81" authorId="0" shapeId="0" xr:uid="{646BA785-370F-4C44-BBBD-534A9BCF1CC6}">
      <text>
        <r>
          <rPr>
            <b/>
            <sz val="10"/>
            <color rgb="FF000000"/>
            <rFont val="Tahoma"/>
            <family val="2"/>
          </rPr>
          <t>Chengyi Xu:</t>
        </r>
        <r>
          <rPr>
            <sz val="10"/>
            <color rgb="FF000000"/>
            <rFont val="Tahoma"/>
            <family val="2"/>
          </rPr>
          <t xml:space="preserve">
</t>
        </r>
        <r>
          <rPr>
            <sz val="10"/>
            <color rgb="FF000000"/>
            <rFont val="Calibri"/>
            <family val="2"/>
            <scheme val="minor"/>
          </rPr>
          <t xml:space="preserve">We believe the current portion of long-term debt would be a % of the long-term debt, since it is revolving. And it is hard to predict exactly how much debt they are issuing thruough the annual report.
</t>
        </r>
      </text>
    </comment>
    <comment ref="T82" authorId="0" shapeId="0" xr:uid="{B007567A-B299-CC4F-8D5D-840102BCFFF7}">
      <text>
        <r>
          <rPr>
            <b/>
            <sz val="10"/>
            <color rgb="FF000000"/>
            <rFont val="Tahoma"/>
            <family val="2"/>
          </rPr>
          <t>Chengyi Xu:</t>
        </r>
        <r>
          <rPr>
            <sz val="10"/>
            <color rgb="FF000000"/>
            <rFont val="Tahoma"/>
            <family val="2"/>
          </rPr>
          <t xml:space="preserve">
</t>
        </r>
        <r>
          <rPr>
            <sz val="10"/>
            <color rgb="FF000000"/>
            <rFont val="Calibri"/>
            <family val="2"/>
          </rPr>
          <t>Footnote #5</t>
        </r>
      </text>
    </comment>
    <comment ref="A86" authorId="0" shapeId="0" xr:uid="{3A8A673D-E623-B448-B8E4-1B345CAF2451}">
      <text>
        <r>
          <rPr>
            <b/>
            <sz val="10"/>
            <color rgb="FF000000"/>
            <rFont val="Tahoma"/>
            <family val="2"/>
          </rPr>
          <t>Chengyi Xu:</t>
        </r>
        <r>
          <rPr>
            <sz val="10"/>
            <color rgb="FF000000"/>
            <rFont val="Tahoma"/>
            <family val="2"/>
          </rPr>
          <t xml:space="preserve">
</t>
        </r>
        <r>
          <rPr>
            <sz val="10"/>
            <color rgb="FF000000"/>
            <rFont val="Calibri"/>
            <family val="2"/>
          </rPr>
          <t>Footnote #8</t>
        </r>
      </text>
    </comment>
    <comment ref="T89" authorId="0" shapeId="0" xr:uid="{7C4E32AB-8DFB-D846-863A-FFAE8E75E08D}">
      <text>
        <r>
          <rPr>
            <b/>
            <sz val="10"/>
            <color rgb="FF000000"/>
            <rFont val="Tahoma"/>
            <family val="2"/>
          </rPr>
          <t>Chengyi Xu:</t>
        </r>
        <r>
          <rPr>
            <sz val="10"/>
            <color rgb="FF000000"/>
            <rFont val="Tahoma"/>
            <family val="2"/>
          </rPr>
          <t xml:space="preserve">
</t>
        </r>
        <r>
          <rPr>
            <sz val="10"/>
            <color rgb="FF000000"/>
            <rFont val="Calibri"/>
            <family val="2"/>
            <scheme val="minor"/>
          </rPr>
          <t xml:space="preserve">It is hard to forecast how many debt they will issue without exact information, but according to historical figures, the issuance and repayment seems to offset each other
</t>
        </r>
      </text>
    </comment>
    <comment ref="T102" authorId="0" shapeId="0" xr:uid="{13391AF6-A894-214C-96E0-62C193F4CE2F}">
      <text>
        <r>
          <rPr>
            <b/>
            <sz val="10"/>
            <color rgb="FF000000"/>
            <rFont val="Tahoma"/>
            <family val="2"/>
          </rPr>
          <t>Chengyi Xu:</t>
        </r>
        <r>
          <rPr>
            <sz val="10"/>
            <color rgb="FF000000"/>
            <rFont val="Tahoma"/>
            <family val="2"/>
          </rPr>
          <t xml:space="preserve">
</t>
        </r>
        <r>
          <rPr>
            <sz val="10"/>
            <color rgb="FF000000"/>
            <rFont val="Calibri"/>
            <family val="2"/>
            <scheme val="minor"/>
          </rPr>
          <t xml:space="preserve">Dividends should be paid at a portion of net income, however, MARIOTT has some complicated years (2020 and 2020) where they paid dividends even without net income and not paying any dividends. So we averaged the rest 3 years.
</t>
        </r>
      </text>
    </comment>
    <comment ref="T104" authorId="0" shapeId="0" xr:uid="{23607C14-031F-224D-B6C9-AB819B7D132E}">
      <text>
        <r>
          <rPr>
            <b/>
            <sz val="10"/>
            <color rgb="FF000000"/>
            <rFont val="Tahoma"/>
            <family val="2"/>
          </rPr>
          <t>Chengyi Xu:</t>
        </r>
        <r>
          <rPr>
            <sz val="10"/>
            <color rgb="FF000000"/>
            <rFont val="Tahoma"/>
            <family val="2"/>
          </rPr>
          <t xml:space="preserve">
</t>
        </r>
        <r>
          <rPr>
            <sz val="10"/>
            <color rgb="FF000000"/>
            <rFont val="Tahoma"/>
            <family val="2"/>
          </rPr>
          <t>Footnote #9</t>
        </r>
      </text>
    </comment>
    <comment ref="A124" authorId="0" shapeId="0" xr:uid="{4C73671A-1B18-6E41-ABFF-0735AEFD64C4}">
      <text>
        <r>
          <rPr>
            <b/>
            <sz val="10"/>
            <color rgb="FF000000"/>
            <rFont val="Tahoma"/>
            <family val="2"/>
          </rPr>
          <t>Chengyi Xu:</t>
        </r>
        <r>
          <rPr>
            <sz val="10"/>
            <color rgb="FF000000"/>
            <rFont val="Tahoma"/>
            <family val="2"/>
          </rPr>
          <t xml:space="preserve">
</t>
        </r>
        <r>
          <rPr>
            <sz val="10"/>
            <color rgb="FF000000"/>
            <rFont val="Calibri"/>
            <family val="2"/>
            <scheme val="minor"/>
          </rPr>
          <t xml:space="preserve">From the WACC tab
</t>
        </r>
      </text>
    </comment>
    <comment ref="A125" authorId="0" shapeId="0" xr:uid="{42DCD5E5-F1E3-4043-AE13-C4CBA6A51D2B}">
      <text>
        <r>
          <rPr>
            <b/>
            <sz val="10"/>
            <color rgb="FF000000"/>
            <rFont val="Tahoma"/>
            <family val="2"/>
          </rPr>
          <t>Chengyi Xu:</t>
        </r>
        <r>
          <rPr>
            <sz val="10"/>
            <color rgb="FF000000"/>
            <rFont val="Tahoma"/>
            <family val="2"/>
          </rPr>
          <t xml:space="preserve">
</t>
        </r>
        <r>
          <rPr>
            <sz val="10"/>
            <color rgb="FF000000"/>
            <rFont val="Calibri"/>
            <family val="2"/>
            <scheme val="minor"/>
          </rPr>
          <t>From the ‘Revenue Growth’ Tab</t>
        </r>
      </text>
    </comment>
    <comment ref="A136" authorId="0" shapeId="0" xr:uid="{5B1D1DD1-88A6-0444-AC26-3DAB6AC6999E}">
      <text>
        <r>
          <rPr>
            <b/>
            <sz val="10"/>
            <color rgb="FF000000"/>
            <rFont val="Tahoma"/>
            <family val="2"/>
          </rPr>
          <t>Chengyi Xu:</t>
        </r>
        <r>
          <rPr>
            <sz val="10"/>
            <color rgb="FF000000"/>
            <rFont val="Tahoma"/>
            <family val="2"/>
          </rPr>
          <t xml:space="preserve">
</t>
        </r>
        <r>
          <rPr>
            <sz val="10"/>
            <color rgb="FF000000"/>
            <rFont val="Calibri"/>
            <family val="2"/>
            <scheme val="minor"/>
          </rPr>
          <t xml:space="preserve">We did not use the Mid-year convention method since our data are year-end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Chengyi Xu</author>
    <author>tc={D55F41E6-EE71-694E-910F-1C8DA0C6BB14}</author>
    <author>tc={4C279E02-1500-A750-86A2-F08BE3216F2F}</author>
    <author>tc={A8121F82-B76A-464B-8B03-80CB68F44CF2}</author>
    <author>tc={F28EF20C-7016-1142-8492-F579302034C1}</author>
    <author>tc={72AE2B3A-48E1-054C-B17F-5766CC99B399}</author>
    <author>tc={26FB7CC4-A7C4-FA42-8BD2-05A3EEA68A1D}</author>
    <author>tc={57BF60A8-0C29-774A-A79D-01671760E77B}</author>
    <author>tc={93BC6B71-CBCB-E347-90A3-6A5A919AC3AD}</author>
    <author>tc={5B36E184-ECBB-C442-8FBE-75AABAE48FB6}</author>
    <author>tc={4C3415CB-0B28-2A41-B155-0995FA3E2272}</author>
    <author>tc={748E98FD-A42C-9549-83B8-8F3776ED11BC}</author>
    <author>tc={C0515163-D896-0041-BE46-398AE514ECEA}</author>
    <author>tc={CB461C03-2976-8446-9BD1-F45FE83AFF82}</author>
    <author>tc={77818B81-F81F-2F50-863E-523ACB55B587}</author>
    <author>tc={196BB9B8-2861-4543-AE0F-6903D9EE98B6}</author>
    <author>tc={83D15A85-A83F-004A-B653-68629A0CAD31}</author>
  </authors>
  <commentList>
    <comment ref="T11" authorId="0" shapeId="0" xr:uid="{ADF838A0-8AFF-4A50-A97C-C24C464C3841}">
      <text>
        <r>
          <rPr>
            <b/>
            <sz val="10"/>
            <color rgb="FF000000"/>
            <rFont val="Tahoma"/>
            <family val="2"/>
          </rPr>
          <t>Chengyi Xu:</t>
        </r>
        <r>
          <rPr>
            <sz val="10"/>
            <color rgb="FF000000"/>
            <rFont val="Tahoma"/>
            <family val="2"/>
          </rPr>
          <t xml:space="preserve">
</t>
        </r>
        <r>
          <rPr>
            <sz val="10"/>
            <color rgb="FF000000"/>
            <rFont val="Tahoma"/>
            <family val="2"/>
          </rPr>
          <t>Footnote #1</t>
        </r>
      </text>
    </comment>
    <comment ref="T14" authorId="0" shapeId="0" xr:uid="{1238FBC1-6010-442C-ABAA-8EB7647B6A50}">
      <text>
        <r>
          <rPr>
            <b/>
            <sz val="10"/>
            <color rgb="FF000000"/>
            <rFont val="Tahoma"/>
            <family val="2"/>
          </rPr>
          <t>Chengyi Xu:</t>
        </r>
        <r>
          <rPr>
            <sz val="10"/>
            <color rgb="FF000000"/>
            <rFont val="Tahoma"/>
            <family val="2"/>
          </rPr>
          <t xml:space="preserve">
</t>
        </r>
        <r>
          <rPr>
            <sz val="10"/>
            <color rgb="FF000000"/>
            <rFont val="Calibri"/>
            <family val="2"/>
            <scheme val="minor"/>
          </rPr>
          <t>Footnote #2</t>
        </r>
      </text>
    </comment>
    <comment ref="T33" authorId="0" shapeId="0" xr:uid="{F6CF48A6-C6EC-4309-8AE2-AC056C81E918}">
      <text>
        <r>
          <rPr>
            <b/>
            <sz val="10"/>
            <color rgb="FF000000"/>
            <rFont val="Tahoma"/>
            <family val="2"/>
          </rPr>
          <t>Chengyi Xu:</t>
        </r>
        <r>
          <rPr>
            <sz val="10"/>
            <color rgb="FF000000"/>
            <rFont val="Tahoma"/>
            <family val="2"/>
          </rPr>
          <t xml:space="preserve">
</t>
        </r>
        <r>
          <rPr>
            <sz val="10"/>
            <color rgb="FF000000"/>
            <rFont val="Calibri"/>
            <family val="2"/>
          </rPr>
          <t>Footnote #4</t>
        </r>
      </text>
    </comment>
    <comment ref="U43" authorId="1" shapeId="0" xr:uid="{25B2DBB1-6576-48CB-A3AC-AE0995D0E444}">
      <text>
        <t>[Threaded comment]
Your version of Excel allows you to read this threaded comment; however, any edits to it will get removed if the file is opened in a newer version of Excel. Learn more: https://go.microsoft.com/fwlink/?linkid=870924
Comment:
    We set it equal to 4% since we believe the interest expense and income are somehow depends on the interest rate, and the interest rates for financing debt is stable at 4%, therefore, we believe adopting 4% should also be optimal for interest income</t>
      </text>
    </comment>
    <comment ref="T44" authorId="2" shapeId="0" xr:uid="{A8AD9A15-C87D-4E74-B552-5B69C2B96731}">
      <text>
        <t>[Threaded comment]
Your version of Excel allows you to read this threaded comment; however, any edits to it will get removed if the file is opened in a newer version of Excel. Learn more: https://go.microsoft.com/fwlink/?linkid=870924
Comment:
    As stated in the Annual Report, the Equity in earnings is the earnings from the equity investments</t>
      </text>
    </comment>
    <comment ref="T46" authorId="0" shapeId="0" xr:uid="{CE4C7A6B-AEBD-466B-96B4-67F2759C3A56}">
      <text>
        <r>
          <rPr>
            <b/>
            <sz val="10"/>
            <color rgb="FF000000"/>
            <rFont val="Tahoma"/>
            <family val="2"/>
          </rPr>
          <t>Chengyi Xu:</t>
        </r>
        <r>
          <rPr>
            <sz val="10"/>
            <color rgb="FF000000"/>
            <rFont val="Tahoma"/>
            <family val="2"/>
          </rPr>
          <t xml:space="preserve">
</t>
        </r>
        <r>
          <rPr>
            <sz val="10"/>
            <color rgb="FF000000"/>
            <rFont val="Calibri"/>
            <family val="2"/>
          </rPr>
          <t>Footnote #3</t>
        </r>
      </text>
    </comment>
    <comment ref="A51" authorId="0" shapeId="0" xr:uid="{3F656A70-96AE-4903-903B-0127723E976C}">
      <text>
        <r>
          <rPr>
            <b/>
            <sz val="10"/>
            <color rgb="FF000000"/>
            <rFont val="Tahoma"/>
            <family val="2"/>
          </rPr>
          <t>Chengyi Xu:</t>
        </r>
        <r>
          <rPr>
            <sz val="10"/>
            <color rgb="FF000000"/>
            <rFont val="Tahoma"/>
            <family val="2"/>
          </rPr>
          <t xml:space="preserve">
</t>
        </r>
        <r>
          <rPr>
            <sz val="10"/>
            <color rgb="FF000000"/>
            <rFont val="Tahoma"/>
            <family val="2"/>
          </rPr>
          <t>Footnote #7</t>
        </r>
      </text>
    </comment>
    <comment ref="T51" authorId="0" shapeId="0" xr:uid="{4C7B83D8-DB80-44ED-BFA3-B9AA1552064A}">
      <text>
        <r>
          <rPr>
            <b/>
            <sz val="10"/>
            <color rgb="FF000000"/>
            <rFont val="Tahoma"/>
            <family val="2"/>
          </rPr>
          <t>Chengyi Xu:</t>
        </r>
        <r>
          <rPr>
            <sz val="10"/>
            <color rgb="FF000000"/>
            <rFont val="Tahoma"/>
            <family val="2"/>
          </rPr>
          <t xml:space="preserve">
</t>
        </r>
        <r>
          <rPr>
            <sz val="10"/>
            <color rgb="FF000000"/>
            <rFont val="Calibri"/>
            <family val="2"/>
          </rPr>
          <t>Footnote #2</t>
        </r>
      </text>
    </comment>
    <comment ref="T54" authorId="0" shapeId="0" xr:uid="{26B13205-1436-4B55-A84A-5A686EC5521C}">
      <text>
        <r>
          <rPr>
            <b/>
            <sz val="10"/>
            <color rgb="FF000000"/>
            <rFont val="Tahoma"/>
            <family val="2"/>
          </rPr>
          <t>Chengyi Xu:</t>
        </r>
        <r>
          <rPr>
            <sz val="10"/>
            <color rgb="FF000000"/>
            <rFont val="Tahoma"/>
            <family val="2"/>
          </rPr>
          <t xml:space="preserve">
</t>
        </r>
        <r>
          <rPr>
            <sz val="10"/>
            <color rgb="FF000000"/>
            <rFont val="Calibri"/>
            <family val="2"/>
          </rPr>
          <t>Footnote #3</t>
        </r>
      </text>
    </comment>
    <comment ref="T57" authorId="3" shapeId="0" xr:uid="{A6785D78-A18D-48C8-84C0-F33D8AF21F66}">
      <text>
        <t>[Threaded comment]
Your version of Excel allows you to read this threaded comment; however, any edits to it will get removed if the file is opened in a newer version of Excel. Learn more: https://go.microsoft.com/fwlink/?linkid=870924
Comment:
    According to the 2022 annual report, page 51, Marriott will purchase land with value of 300m at the end of 2022, which should reflected on the balance sheet of 2023, since it did not show on 2022 balance sheet.</t>
      </text>
    </comment>
    <comment ref="T58" authorId="4" shapeId="0" xr:uid="{AA0C3753-8B25-442A-9FAC-280065E51AEA}">
      <text>
        <t>[Threaded comment]
Your version of Excel allows you to read this threaded comment; however, any edits to it will get removed if the file is opened in a newer version of Excel. Learn more: https://go.microsoft.com/fwlink/?linkid=870924
Comment:
    Since the buildings and improvements will be based on the land, therefore, a percentage of land would be optimal to forecast the buildings and improvements</t>
      </text>
    </comment>
    <comment ref="T59" authorId="5" shapeId="0" xr:uid="{C027DF22-415E-42B3-B5CE-E210F4B14DCA}">
      <text>
        <t>[Threaded comment]
Your version of Excel allows you to read this threaded comment; however, any edits to it will get removed if the file is opened in a newer version of Excel. Learn more: https://go.microsoft.com/fwlink/?linkid=870924
Comment:
    Same as Buildings and improvements, since furniture and equipment should be equipped for Buildings and improvements, forecast using the % of buildings and improvements should be optimal</t>
      </text>
    </comment>
    <comment ref="V59" authorId="6" shapeId="0" xr:uid="{062C1736-E651-4A3F-AC6C-AD4298C09397}">
      <text>
        <t>[Threaded comment]
Your version of Excel allows you to read this threaded comment; however, any edits to it will get removed if the file is opened in a newer version of Excel. Learn more: https://go.microsoft.com/fwlink/?linkid=870924
Comment:
    I adopted the average of 2018 and 2019 since the following 3 years are shadowed by COVID, which may hinder the furniture and equipment procurement.</t>
      </text>
    </comment>
    <comment ref="T61" authorId="7" shapeId="0" xr:uid="{84C5CA0A-E505-4290-BBC0-555A870F8F39}">
      <text>
        <t>[Threaded comment]
Your version of Excel allows you to read this threaded comment; however, any edits to it will get removed if the file is opened in a newer version of Excel. Learn more: https://go.microsoft.com/fwlink/?linkid=870924
Comment:
    Depreciation should be related to all the fixed assets (Land, buildings and furniture)</t>
      </text>
    </comment>
    <comment ref="T66" authorId="8" shapeId="0" xr:uid="{68117C67-F830-4391-9DA1-9F7D336C16E7}">
      <text>
        <t>[Threaded comment]
Your version of Excel allows you to read this threaded comment; however, any edits to it will get removed if the file is opened in a newer version of Excel. Learn more: https://go.microsoft.com/fwlink/?linkid=870924
Comment:
    Amortization should be a % of intangible brand assets</t>
      </text>
    </comment>
    <comment ref="T67" authorId="9" shapeId="0" xr:uid="{BF60E47E-577C-4367-91C6-854D05589BDD}">
      <text>
        <t>[Threaded comment]
Your version of Excel allows you to read this threaded comment; however, any edits to it will get removed if the file is opened in a newer version of Excel. Learn more: https://go.microsoft.com/fwlink/?linkid=870924
Comment:
    If no other information, the intangible assets should be fixed</t>
      </text>
    </comment>
    <comment ref="T68" authorId="10" shapeId="0" xr:uid="{A13651E1-9948-440B-A952-C02FA3A5B1DB}">
      <text>
        <t>[Threaded comment]
Your version of Excel allows you to read this threaded comment; however, any edits to it will get removed if the file is opened in a newer version of Excel. Learn more: https://go.microsoft.com/fwlink/?linkid=870924
Comment:
    Same as intangible Brand Assets, should stayed the same.</t>
      </text>
    </comment>
    <comment ref="T82" authorId="11" shapeId="0" xr:uid="{2BEF4751-8942-4402-A79C-DF42F9D6A71A}">
      <text>
        <t>[Threaded comment]
Your version of Excel allows you to read this threaded comment; however, any edits to it will get removed if the file is opened in a newer version of Excel. Learn more: https://go.microsoft.com/fwlink/?linkid=870924
Comment:
    We believe the current portion of long-term debt would be a % of the long-term debt, since it is revolving. And it is hard to predict exactly how much debt they are issuing thruough the annual report.</t>
      </text>
    </comment>
    <comment ref="T83" authorId="0" shapeId="0" xr:uid="{C7515EE9-0395-4E17-8081-2FB4510F8D52}">
      <text>
        <r>
          <rPr>
            <b/>
            <sz val="10"/>
            <color rgb="FF000000"/>
            <rFont val="Tahoma"/>
            <family val="2"/>
          </rPr>
          <t>Chengyi Xu:</t>
        </r>
        <r>
          <rPr>
            <sz val="10"/>
            <color rgb="FF000000"/>
            <rFont val="Tahoma"/>
            <family val="2"/>
          </rPr>
          <t xml:space="preserve">
</t>
        </r>
        <r>
          <rPr>
            <sz val="10"/>
            <color rgb="FF000000"/>
            <rFont val="Calibri"/>
            <family val="2"/>
          </rPr>
          <t>Footnote #5</t>
        </r>
      </text>
    </comment>
    <comment ref="A87" authorId="0" shapeId="0" xr:uid="{11622B9F-055C-4C0F-87AF-3B05A8765193}">
      <text>
        <r>
          <rPr>
            <b/>
            <sz val="10"/>
            <color rgb="FF000000"/>
            <rFont val="Tahoma"/>
            <family val="2"/>
          </rPr>
          <t>Chengyi Xu:</t>
        </r>
        <r>
          <rPr>
            <sz val="10"/>
            <color rgb="FF000000"/>
            <rFont val="Tahoma"/>
            <family val="2"/>
          </rPr>
          <t xml:space="preserve">
</t>
        </r>
        <r>
          <rPr>
            <sz val="10"/>
            <color rgb="FF000000"/>
            <rFont val="Calibri"/>
            <family val="2"/>
          </rPr>
          <t>Footnote #8</t>
        </r>
      </text>
    </comment>
    <comment ref="T90" authorId="12" shapeId="0" xr:uid="{28924F98-6848-4AC5-B225-0BFFAB327DF2}">
      <text>
        <t>[Threaded comment]
Your version of Excel allows you to read this threaded comment; however, any edits to it will get removed if the file is opened in a newer version of Excel. Learn more: https://go.microsoft.com/fwlink/?linkid=870924
Comment:
    It is hard to forecast how many debt they will issue without exact information, but according to historical figures, the issuance and repayment seems to offset each other</t>
      </text>
    </comment>
    <comment ref="T103" authorId="13" shapeId="0" xr:uid="{3CECDD75-BCEF-4DA7-A933-1321C1A1B387}">
      <text>
        <t>[Threaded comment]
Your version of Excel allows you to read this threaded comment; however, any edits to it will get removed if the file is opened in a newer version of Excel. Learn more: https://go.microsoft.com/fwlink/?linkid=870924
Comment:
    Dividends should be paid at a portion of net income, however, MARIOTT has some complicated years (2020 and 2020) where they paid dividends even without net income and not paying any dividends. So we averaged the rest 3 years.</t>
      </text>
    </comment>
    <comment ref="T105" authorId="0" shapeId="0" xr:uid="{09B0E9EA-CA58-4C59-9235-BD8C58BCF631}">
      <text>
        <r>
          <rPr>
            <b/>
            <sz val="10"/>
            <color rgb="FF000000"/>
            <rFont val="Tahoma"/>
            <family val="2"/>
          </rPr>
          <t>Chengyi Xu:</t>
        </r>
        <r>
          <rPr>
            <sz val="10"/>
            <color rgb="FF000000"/>
            <rFont val="Tahoma"/>
            <family val="2"/>
          </rPr>
          <t xml:space="preserve">
</t>
        </r>
        <r>
          <rPr>
            <sz val="10"/>
            <color rgb="FF000000"/>
            <rFont val="Tahoma"/>
            <family val="2"/>
          </rPr>
          <t>Footnote #9</t>
        </r>
      </text>
    </comment>
    <comment ref="A125" authorId="14" shapeId="0" xr:uid="{88CAD70B-5FC5-48C8-A186-0DE8021DF038}">
      <text>
        <t>[Threaded comment]
Your version of Excel allows you to read this threaded comment; however, any edits to it will get removed if the file is opened in a newer version of Excel. Learn more: https://go.microsoft.com/fwlink/?linkid=870924
Comment:
    From the WACC tab</t>
      </text>
    </comment>
    <comment ref="A126" authorId="15" shapeId="0" xr:uid="{40CFE155-8F69-476A-BAF6-FFCE06D66FDB}">
      <text>
        <t>[Threaded comment]
Your version of Excel allows you to read this threaded comment; however, any edits to it will get removed if the file is opened in a newer version of Excel. Learn more: https://go.microsoft.com/fwlink/?linkid=870924
Comment:
    From the ‘Revenue Growth’ Tab</t>
      </text>
    </comment>
    <comment ref="A137" authorId="16" shapeId="0" xr:uid="{7ADBE970-A4D1-47C9-A14E-E075318F3867}">
      <text>
        <t>[Threaded comment]
Your version of Excel allows you to read this threaded comment; however, any edits to it will get removed if the file is opened in a newer version of Excel. Learn more: https://go.microsoft.com/fwlink/?linkid=870924
Comment:
    We did not use the Mid-year convention method since our data are year-end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26" authorId="0" shapeId="0" xr:uid="{95EC8C43-2CC7-ED48-9417-806F7A14A84E}">
      <text>
        <r>
          <rPr>
            <b/>
            <sz val="10"/>
            <color rgb="FF000000"/>
            <rFont val="Tahoma"/>
            <family val="2"/>
          </rPr>
          <t>Chengyi Xu:</t>
        </r>
        <r>
          <rPr>
            <sz val="10"/>
            <color rgb="FF000000"/>
            <rFont val="Tahoma"/>
            <family val="2"/>
          </rPr>
          <t xml:space="preserve">
</t>
        </r>
        <r>
          <rPr>
            <sz val="10"/>
            <color rgb="FF000000"/>
            <rFont val="Calibri"/>
            <family val="2"/>
          </rPr>
          <t xml:space="preserve">We did not use the Mid-year convention method since our data are year-end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tc={7F61E6B5-5893-0D44-8D25-4840D269EA01}</author>
  </authors>
  <commentList>
    <comment ref="A27" authorId="0" shapeId="0" xr:uid="{1D5E2017-DE41-4BCC-B744-09FF12F20FD2}">
      <text>
        <t>[Threaded comment]
Your version of Excel allows you to read this threaded comment; however, any edits to it will get removed if the file is opened in a newer version of Excel. Learn more: https://go.microsoft.com/fwlink/?linkid=870924
Comment:
    We did not use the Mid-year convention method since our data are year-end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27" authorId="0" shapeId="0" xr:uid="{6C3B6FE6-F49A-9248-8019-EB990A57B012}">
      <text>
        <r>
          <rPr>
            <b/>
            <sz val="10"/>
            <color rgb="FF000000"/>
            <rFont val="Tahoma"/>
            <family val="2"/>
          </rPr>
          <t>Chengyi Xu:</t>
        </r>
        <r>
          <rPr>
            <sz val="10"/>
            <color rgb="FF000000"/>
            <rFont val="Tahoma"/>
            <family val="2"/>
          </rPr>
          <t xml:space="preserve">
</t>
        </r>
        <r>
          <rPr>
            <sz val="10"/>
            <color rgb="FF000000"/>
            <rFont val="Calibri"/>
            <family val="2"/>
            <scheme val="minor"/>
          </rPr>
          <t>Using net debt in valuation provides a more realistic view of a company's leverage. A company with a high level of gross debt may appear to be more leveraged than it actually is if it has a significant amount of cash and cash equivalents available to pay off its debt.</t>
        </r>
      </text>
    </comment>
    <comment ref="A35" authorId="0" shapeId="0" xr:uid="{1BE75807-51C7-CF41-8CE0-209803EC22EE}">
      <text>
        <r>
          <rPr>
            <b/>
            <sz val="10"/>
            <color rgb="FF000000"/>
            <rFont val="Tahoma"/>
            <family val="2"/>
          </rPr>
          <t>Chengyi Xu:</t>
        </r>
        <r>
          <rPr>
            <sz val="10"/>
            <color rgb="FF000000"/>
            <rFont val="Tahoma"/>
            <family val="2"/>
          </rPr>
          <t xml:space="preserve">
</t>
        </r>
        <r>
          <rPr>
            <sz val="10"/>
            <color rgb="FF000000"/>
            <rFont val="Tahoma"/>
            <family val="2"/>
          </rPr>
          <t>The coupon data are not found in the annual report, so we used the Capital IQ data.</t>
        </r>
      </text>
    </comment>
    <comment ref="A87" authorId="0" shapeId="0" xr:uid="{757E7E88-4FDA-4E40-89F7-2373A1571092}">
      <text>
        <r>
          <rPr>
            <b/>
            <sz val="10"/>
            <color rgb="FF000000"/>
            <rFont val="Tahoma"/>
            <family val="2"/>
          </rPr>
          <t>Chengyi Xu:</t>
        </r>
        <r>
          <rPr>
            <sz val="10"/>
            <color rgb="FF000000"/>
            <rFont val="Tahoma"/>
            <family val="2"/>
          </rPr>
          <t xml:space="preserve">
</t>
        </r>
        <r>
          <rPr>
            <sz val="10"/>
            <color rgb="FF000000"/>
            <rFont val="Calibri"/>
            <family val="2"/>
          </rPr>
          <t xml:space="preserve">Treasury bills are short-term debt securities issued by the U.S. government with maturities of less than one year, we believe it is risk-free investments. </t>
        </r>
      </text>
    </comment>
    <comment ref="A89" authorId="0" shapeId="0" xr:uid="{43CDE73B-815C-2949-A168-46EEA6D17920}">
      <text>
        <r>
          <rPr>
            <b/>
            <sz val="10"/>
            <color rgb="FF000000"/>
            <rFont val="Tahoma"/>
            <family val="2"/>
          </rPr>
          <t>Chengyi Xu:</t>
        </r>
        <r>
          <rPr>
            <sz val="10"/>
            <color rgb="FF000000"/>
            <rFont val="Tahoma"/>
            <family val="2"/>
          </rPr>
          <t xml:space="preserve">
</t>
        </r>
        <r>
          <rPr>
            <sz val="10"/>
            <color rgb="FF000000"/>
            <rFont val="Calibri"/>
            <family val="2"/>
          </rPr>
          <t>it reflects the current expectations of investors regarding the future performance of the stock market</t>
        </r>
      </text>
    </comment>
    <comment ref="A98" authorId="0" shapeId="0" xr:uid="{B45F0D09-AC43-F449-82A5-76D7F8ED54D7}">
      <text>
        <r>
          <rPr>
            <b/>
            <sz val="10"/>
            <color rgb="FF000000"/>
            <rFont val="Tahoma"/>
            <family val="2"/>
          </rPr>
          <t>Chengyi Xu:</t>
        </r>
        <r>
          <rPr>
            <sz val="10"/>
            <color rgb="FF000000"/>
            <rFont val="Tahoma"/>
            <family val="2"/>
          </rPr>
          <t xml:space="preserve">
</t>
        </r>
        <r>
          <rPr>
            <sz val="10"/>
            <color rgb="FF000000"/>
            <rFont val="Calibri"/>
            <family val="2"/>
          </rPr>
          <t xml:space="preserve">Treasury bills are short-term debt securities issued by the U.S. government with maturities of less than one year, we believe it is risk-free investments.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6" authorId="0" shapeId="0" xr:uid="{B015C9F3-D8C2-F54D-A567-4CBFEA0A7F58}">
      <text>
        <r>
          <rPr>
            <b/>
            <sz val="10"/>
            <color rgb="FF000000"/>
            <rFont val="Tahoma"/>
            <family val="2"/>
          </rPr>
          <t>Chengyi Xu:</t>
        </r>
        <r>
          <rPr>
            <sz val="10"/>
            <color rgb="FF000000"/>
            <rFont val="Tahoma"/>
            <family val="2"/>
          </rPr>
          <t xml:space="preserve">
</t>
        </r>
        <r>
          <rPr>
            <sz val="10"/>
            <color rgb="FF000000"/>
            <rFont val="Calibri"/>
            <family val="2"/>
          </rPr>
          <t>Footnote #4</t>
        </r>
      </text>
    </comment>
    <comment ref="C6" authorId="0" shapeId="0" xr:uid="{E430EBD5-179D-C646-8E39-D5B1FB1F8CC5}">
      <text>
        <r>
          <rPr>
            <b/>
            <sz val="10"/>
            <color rgb="FF000000"/>
            <rFont val="Tahoma"/>
            <family val="2"/>
          </rPr>
          <t>Chengyi Xu:</t>
        </r>
        <r>
          <rPr>
            <sz val="10"/>
            <color rgb="FF000000"/>
            <rFont val="Tahoma"/>
            <family val="2"/>
          </rPr>
          <t xml:space="preserve">
</t>
        </r>
        <r>
          <rPr>
            <sz val="10"/>
            <color rgb="FF000000"/>
            <rFont val="Calibri"/>
            <family val="2"/>
          </rPr>
          <t>Footnote #3</t>
        </r>
      </text>
    </comment>
    <comment ref="J6" authorId="0" shapeId="0" xr:uid="{82F4396C-E38A-1740-B27C-EA730340BD5E}">
      <text>
        <r>
          <rPr>
            <b/>
            <sz val="10"/>
            <color rgb="FF000000"/>
            <rFont val="Tahoma"/>
            <family val="2"/>
          </rPr>
          <t>Chengyi Xu:</t>
        </r>
        <r>
          <rPr>
            <sz val="10"/>
            <color rgb="FF000000"/>
            <rFont val="Tahoma"/>
            <family val="2"/>
          </rPr>
          <t xml:space="preserve">
</t>
        </r>
        <r>
          <rPr>
            <sz val="10"/>
            <color rgb="FF000000"/>
            <rFont val="Calibri"/>
            <family val="2"/>
          </rPr>
          <t>Footnote #2</t>
        </r>
      </text>
    </comment>
    <comment ref="S6" authorId="0" shapeId="0" xr:uid="{490E8B64-75EA-8048-AB89-94CC319E7562}">
      <text>
        <r>
          <rPr>
            <b/>
            <sz val="10"/>
            <color rgb="FF000000"/>
            <rFont val="Tahoma"/>
            <family val="2"/>
          </rPr>
          <t>Chengyi Xu:</t>
        </r>
        <r>
          <rPr>
            <sz val="10"/>
            <color rgb="FF000000"/>
            <rFont val="Tahoma"/>
            <family val="2"/>
          </rPr>
          <t xml:space="preserve">
</t>
        </r>
        <r>
          <rPr>
            <sz val="10"/>
            <color rgb="FF000000"/>
            <rFont val="Calibri"/>
            <family val="2"/>
            <scheme val="minor"/>
          </rPr>
          <t>Footnote #1</t>
        </r>
      </text>
    </comment>
    <comment ref="A18" authorId="0" shapeId="0" xr:uid="{6CE41A5D-5DC4-B547-BCDB-FBB3EEAC9AB9}">
      <text>
        <r>
          <rPr>
            <b/>
            <sz val="10"/>
            <color rgb="FF000000"/>
            <rFont val="Tahoma"/>
            <family val="2"/>
          </rPr>
          <t>Chengyi Xu:</t>
        </r>
        <r>
          <rPr>
            <sz val="10"/>
            <color rgb="FF000000"/>
            <rFont val="Tahoma"/>
            <family val="2"/>
          </rPr>
          <t xml:space="preserve">
</t>
        </r>
        <r>
          <rPr>
            <sz val="10"/>
            <color rgb="FF000000"/>
            <rFont val="Tahoma"/>
            <family val="2"/>
          </rPr>
          <t>Footnote #5</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M10" authorId="0" shapeId="0" xr:uid="{DFF69080-A599-E042-82E8-FB559086AB25}">
      <text>
        <r>
          <rPr>
            <b/>
            <sz val="10"/>
            <color rgb="FF000000"/>
            <rFont val="Tahoma"/>
            <family val="2"/>
          </rPr>
          <t>Chengyi Xu:</t>
        </r>
        <r>
          <rPr>
            <sz val="10"/>
            <color rgb="FF000000"/>
            <rFont val="Tahoma"/>
            <family val="2"/>
          </rPr>
          <t xml:space="preserve">
</t>
        </r>
        <r>
          <rPr>
            <sz val="10"/>
            <color rgb="FF000000"/>
            <rFont val="Tahoma"/>
            <family val="2"/>
          </rPr>
          <t>Footnote #1</t>
        </r>
      </text>
    </comment>
    <comment ref="M13" authorId="0" shapeId="0" xr:uid="{592DC331-4B17-2A45-809C-C5ADDD25D9FB}">
      <text>
        <r>
          <rPr>
            <b/>
            <sz val="10"/>
            <color rgb="FF000000"/>
            <rFont val="Tahoma"/>
            <family val="2"/>
          </rPr>
          <t>Chengyi Xu:</t>
        </r>
        <r>
          <rPr>
            <sz val="10"/>
            <color rgb="FF000000"/>
            <rFont val="Tahoma"/>
            <family val="2"/>
          </rPr>
          <t xml:space="preserve">
</t>
        </r>
        <r>
          <rPr>
            <sz val="10"/>
            <color rgb="FF000000"/>
            <rFont val="Calibri"/>
            <family val="2"/>
            <scheme val="minor"/>
          </rPr>
          <t>Footnote #2</t>
        </r>
      </text>
    </comment>
    <comment ref="M32" authorId="0" shapeId="0" xr:uid="{D650AEAC-C10A-5D42-A4D6-FF7C861C1C93}">
      <text>
        <r>
          <rPr>
            <b/>
            <sz val="10"/>
            <color rgb="FF000000"/>
            <rFont val="Tahoma"/>
            <family val="2"/>
          </rPr>
          <t>Chengyi Xu:</t>
        </r>
        <r>
          <rPr>
            <sz val="10"/>
            <color rgb="FF000000"/>
            <rFont val="Tahoma"/>
            <family val="2"/>
          </rPr>
          <t xml:space="preserve">
</t>
        </r>
        <r>
          <rPr>
            <sz val="10"/>
            <color rgb="FF000000"/>
            <rFont val="Calibri"/>
            <family val="2"/>
            <scheme val="minor"/>
          </rPr>
          <t>Footnote #4</t>
        </r>
      </text>
    </comment>
    <comment ref="M42" authorId="0" shapeId="0" xr:uid="{4A86C02E-6D76-FA49-9513-FB17318B91D0}">
      <text>
        <r>
          <rPr>
            <b/>
            <sz val="10"/>
            <color rgb="FF000000"/>
            <rFont val="Tahoma"/>
            <family val="2"/>
          </rPr>
          <t>Chengyi Xu:</t>
        </r>
        <r>
          <rPr>
            <sz val="10"/>
            <color rgb="FF000000"/>
            <rFont val="Tahoma"/>
            <family val="2"/>
          </rPr>
          <t xml:space="preserve">
</t>
        </r>
        <r>
          <rPr>
            <sz val="10"/>
            <color rgb="FF000000"/>
            <rFont val="Tahoma"/>
            <family val="2"/>
          </rPr>
          <t>Footnote #5</t>
        </r>
      </text>
    </comment>
    <comment ref="M45" authorId="0" shapeId="0" xr:uid="{888CB551-5901-7E46-9750-5A001013EB91}">
      <text>
        <r>
          <rPr>
            <b/>
            <sz val="10"/>
            <color rgb="FF000000"/>
            <rFont val="Tahoma"/>
            <family val="2"/>
          </rPr>
          <t>Chengyi Xu:</t>
        </r>
        <r>
          <rPr>
            <sz val="10"/>
            <color rgb="FF000000"/>
            <rFont val="Tahoma"/>
            <family val="2"/>
          </rPr>
          <t xml:space="preserve">
</t>
        </r>
        <r>
          <rPr>
            <sz val="10"/>
            <color rgb="FF000000"/>
            <rFont val="Calibri"/>
            <family val="2"/>
          </rPr>
          <t>Footnote #3</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Chengyi Xu</author>
  </authors>
  <commentList>
    <comment ref="A13" authorId="0" shapeId="0" xr:uid="{8A212786-244D-2B4C-BCC5-0201A067C2BD}">
      <text>
        <r>
          <rPr>
            <b/>
            <sz val="10"/>
            <color rgb="FF000000"/>
            <rFont val="Tahoma"/>
            <family val="2"/>
          </rPr>
          <t>Chengyi Xu:</t>
        </r>
        <r>
          <rPr>
            <sz val="10"/>
            <color rgb="FF000000"/>
            <rFont val="Tahoma"/>
            <family val="2"/>
          </rPr>
          <t xml:space="preserve">
</t>
        </r>
        <r>
          <rPr>
            <sz val="10"/>
            <color rgb="FF000000"/>
            <rFont val="Tahoma"/>
            <family val="2"/>
          </rPr>
          <t>Footnote #7</t>
        </r>
      </text>
    </comment>
    <comment ref="M13" authorId="0" shapeId="0" xr:uid="{A990C424-DACD-614E-9CE1-1716722D9B32}">
      <text>
        <r>
          <rPr>
            <b/>
            <sz val="10"/>
            <color rgb="FF000000"/>
            <rFont val="Tahoma"/>
            <family val="2"/>
          </rPr>
          <t>Chengyi Xu:</t>
        </r>
        <r>
          <rPr>
            <sz val="10"/>
            <color rgb="FF000000"/>
            <rFont val="Tahoma"/>
            <family val="2"/>
          </rPr>
          <t xml:space="preserve">
</t>
        </r>
        <r>
          <rPr>
            <sz val="10"/>
            <color rgb="FF000000"/>
            <rFont val="Calibri"/>
            <family val="2"/>
          </rPr>
          <t>Footnote #2</t>
        </r>
      </text>
    </comment>
    <comment ref="M16" authorId="0" shapeId="0" xr:uid="{6C4E11C5-D073-E24A-B4E2-2101D579DE95}">
      <text>
        <r>
          <rPr>
            <b/>
            <sz val="10"/>
            <color rgb="FF000000"/>
            <rFont val="Tahoma"/>
            <family val="2"/>
          </rPr>
          <t>Chengyi Xu:</t>
        </r>
        <r>
          <rPr>
            <sz val="10"/>
            <color rgb="FF000000"/>
            <rFont val="Tahoma"/>
            <family val="2"/>
          </rPr>
          <t xml:space="preserve">
</t>
        </r>
        <r>
          <rPr>
            <sz val="10"/>
            <color rgb="FF000000"/>
            <rFont val="Calibri"/>
            <family val="2"/>
            <scheme val="minor"/>
          </rPr>
          <t>Footnote #3</t>
        </r>
      </text>
    </comment>
    <comment ref="M21" authorId="0" shapeId="0" xr:uid="{7F07B37B-7083-6B4B-A7CB-07649315A93D}">
      <text>
        <r>
          <rPr>
            <b/>
            <sz val="10"/>
            <color rgb="FF000000"/>
            <rFont val="Tahoma"/>
            <family val="2"/>
          </rPr>
          <t>Chengyi Xu:</t>
        </r>
        <r>
          <rPr>
            <sz val="10"/>
            <color rgb="FF000000"/>
            <rFont val="Tahoma"/>
            <family val="2"/>
          </rPr>
          <t xml:space="preserve">
</t>
        </r>
        <r>
          <rPr>
            <sz val="10"/>
            <color rgb="FF000000"/>
            <rFont val="Calibri"/>
            <family val="2"/>
          </rPr>
          <t>Footnote #4</t>
        </r>
      </text>
    </comment>
    <comment ref="M44" authorId="0" shapeId="0" xr:uid="{863E7B75-CDD5-0A4E-A72A-4EE4A71D3B7D}">
      <text>
        <r>
          <rPr>
            <b/>
            <sz val="10"/>
            <color rgb="FF000000"/>
            <rFont val="Tahoma"/>
            <family val="2"/>
          </rPr>
          <t>Chengyi Xu:</t>
        </r>
        <r>
          <rPr>
            <sz val="10"/>
            <color rgb="FF000000"/>
            <rFont val="Tahoma"/>
            <family val="2"/>
          </rPr>
          <t xml:space="preserve">
</t>
        </r>
        <r>
          <rPr>
            <sz val="10"/>
            <color rgb="FF000000"/>
            <rFont val="Calibri"/>
            <family val="2"/>
          </rPr>
          <t>Footnote #1</t>
        </r>
      </text>
    </comment>
    <comment ref="M45" authorId="0" shapeId="0" xr:uid="{87E77BA4-06EA-4447-B04E-C247936D94CE}">
      <text>
        <r>
          <rPr>
            <b/>
            <sz val="10"/>
            <color rgb="FF000000"/>
            <rFont val="Tahoma"/>
            <family val="2"/>
          </rPr>
          <t>Chengyi Xu:</t>
        </r>
        <r>
          <rPr>
            <sz val="10"/>
            <color rgb="FF000000"/>
            <rFont val="Tahoma"/>
            <family val="2"/>
          </rPr>
          <t xml:space="preserve">
</t>
        </r>
        <r>
          <rPr>
            <sz val="10"/>
            <color rgb="FF000000"/>
            <rFont val="Calibri"/>
            <family val="2"/>
          </rPr>
          <t>Footnote #5</t>
        </r>
      </text>
    </comment>
    <comment ref="A49" authorId="0" shapeId="0" xr:uid="{0FBE2DF2-8F8A-7B48-8DCF-43BCEDCAE6A8}">
      <text>
        <r>
          <rPr>
            <b/>
            <sz val="10"/>
            <color rgb="FF000000"/>
            <rFont val="Tahoma"/>
            <family val="2"/>
          </rPr>
          <t>Chengyi Xu:</t>
        </r>
        <r>
          <rPr>
            <sz val="10"/>
            <color rgb="FF000000"/>
            <rFont val="Tahoma"/>
            <family val="2"/>
          </rPr>
          <t xml:space="preserve">
</t>
        </r>
        <r>
          <rPr>
            <sz val="10"/>
            <color rgb="FF000000"/>
            <rFont val="Calibri"/>
            <family val="2"/>
          </rPr>
          <t>Footnote #8</t>
        </r>
      </text>
    </comment>
    <comment ref="M65" authorId="0" shapeId="0" xr:uid="{9F5B343C-679D-2547-817F-55C7460AE724}">
      <text>
        <r>
          <rPr>
            <b/>
            <sz val="10"/>
            <color rgb="FF000000"/>
            <rFont val="Tahoma"/>
            <family val="2"/>
          </rPr>
          <t>Chengyi Xu:</t>
        </r>
        <r>
          <rPr>
            <sz val="10"/>
            <color rgb="FF000000"/>
            <rFont val="Tahoma"/>
            <family val="2"/>
          </rPr>
          <t xml:space="preserve">
</t>
        </r>
        <r>
          <rPr>
            <sz val="10"/>
            <color rgb="FF000000"/>
            <rFont val="Calibri"/>
            <family val="2"/>
          </rPr>
          <t>Footnote #6</t>
        </r>
      </text>
    </comment>
    <comment ref="M67" authorId="0" shapeId="0" xr:uid="{43C94B18-D4AB-A64B-B054-5FF245F81411}">
      <text>
        <r>
          <rPr>
            <b/>
            <sz val="10"/>
            <color rgb="FF000000"/>
            <rFont val="Tahoma"/>
            <family val="2"/>
          </rPr>
          <t>Chengyi Xu:</t>
        </r>
        <r>
          <rPr>
            <sz val="10"/>
            <color rgb="FF000000"/>
            <rFont val="Tahoma"/>
            <family val="2"/>
          </rPr>
          <t xml:space="preserve">
</t>
        </r>
        <r>
          <rPr>
            <sz val="10"/>
            <color rgb="FF000000"/>
            <rFont val="Tahoma"/>
            <family val="2"/>
          </rPr>
          <t>Footnote #9</t>
        </r>
      </text>
    </comment>
  </commentList>
</comments>
</file>

<file path=xl/sharedStrings.xml><?xml version="1.0" encoding="utf-8"?>
<sst xmlns="http://schemas.openxmlformats.org/spreadsheetml/2006/main" count="6013" uniqueCount="1574">
  <si>
    <t xml:space="preserve">Franchise fees </t>
  </si>
  <si>
    <t xml:space="preserve">Incentive management fees </t>
  </si>
  <si>
    <t>Gross fee revenue</t>
    <phoneticPr fontId="5" type="noConversion"/>
  </si>
  <si>
    <t xml:space="preserve">Contract investment amortization </t>
  </si>
  <si>
    <t>Net fee revenue</t>
    <phoneticPr fontId="5" type="noConversion"/>
  </si>
  <si>
    <t xml:space="preserve">Owned, leased, and other revenue </t>
  </si>
  <si>
    <t xml:space="preserve">Cost reimbursement revenue </t>
  </si>
  <si>
    <t xml:space="preserve">Owned, leased, and other-direct </t>
  </si>
  <si>
    <t xml:space="preserve">Merger-related costs and charges </t>
  </si>
  <si>
    <t>General, administrative, and other</t>
    <phoneticPr fontId="5" type="noConversion"/>
  </si>
  <si>
    <t xml:space="preserve">Reimbursed expenses </t>
    <phoneticPr fontId="5" type="noConversion"/>
  </si>
  <si>
    <t xml:space="preserve">Provision for income taxes </t>
  </si>
  <si>
    <t>Gains and other income, net</t>
    <phoneticPr fontId="5" type="noConversion"/>
  </si>
  <si>
    <t>Interest expense</t>
    <phoneticPr fontId="5" type="noConversion"/>
  </si>
  <si>
    <t>Interest income</t>
    <phoneticPr fontId="5" type="noConversion"/>
  </si>
  <si>
    <t>Equity in earnings</t>
    <phoneticPr fontId="5" type="noConversion"/>
  </si>
  <si>
    <t xml:space="preserve">Cash and equivalents </t>
  </si>
  <si>
    <t xml:space="preserve">Assets held for sale </t>
  </si>
  <si>
    <t xml:space="preserve">Property and equipment, net </t>
  </si>
  <si>
    <t xml:space="preserve">Brands </t>
  </si>
  <si>
    <t>Goodwill</t>
  </si>
  <si>
    <t xml:space="preserve">Notes receivable, net </t>
  </si>
  <si>
    <t xml:space="preserve">Deferred tax assets </t>
  </si>
  <si>
    <t xml:space="preserve">Operating lease assets </t>
  </si>
  <si>
    <t xml:space="preserve">Other noncurrent assets </t>
  </si>
  <si>
    <t xml:space="preserve">LIABILITIES AND SHAREHOLDERS’ EQUITY </t>
  </si>
  <si>
    <t xml:space="preserve">Current portion of long-term debt </t>
  </si>
  <si>
    <t xml:space="preserve">Accrued payroll and benefits </t>
  </si>
  <si>
    <t xml:space="preserve">Liability for guest loyalty program </t>
  </si>
  <si>
    <t xml:space="preserve">Accrued expenses and other </t>
  </si>
  <si>
    <t xml:space="preserve">Long-term debt </t>
  </si>
  <si>
    <t xml:space="preserve">Deferred revenue </t>
  </si>
  <si>
    <t xml:space="preserve">Operating lease liabilities </t>
  </si>
  <si>
    <t xml:space="preserve">Class A Common Stock </t>
  </si>
  <si>
    <t xml:space="preserve">Additional paid-in-capital </t>
  </si>
  <si>
    <t xml:space="preserve">Retained earnings </t>
  </si>
  <si>
    <t xml:space="preserve">Treasury stock, at cost </t>
  </si>
  <si>
    <t>-</t>
  </si>
  <si>
    <t xml:space="preserve">Loss on extinguishment of debt </t>
  </si>
  <si>
    <t>Current Assets</t>
  </si>
  <si>
    <t>Total Assets</t>
  </si>
  <si>
    <t xml:space="preserve">Depreciation, amortization, and other  </t>
  </si>
  <si>
    <t xml:space="preserve">OPERATING ACTIVITIES </t>
  </si>
  <si>
    <t xml:space="preserve">Net income </t>
  </si>
  <si>
    <t xml:space="preserve">Adjustments to reconcile to cash provided by operating activities: </t>
  </si>
  <si>
    <t xml:space="preserve">Depreciation, amortization, and other </t>
  </si>
  <si>
    <t xml:space="preserve">Share-based compensation </t>
  </si>
  <si>
    <t xml:space="preserve">Income taxes </t>
  </si>
  <si>
    <t xml:space="preserve">Contract acquisition costs </t>
  </si>
  <si>
    <t xml:space="preserve">Merger-related charges </t>
  </si>
  <si>
    <t xml:space="preserve">Working capital changes </t>
  </si>
  <si>
    <t xml:space="preserve">Gain on asset dispositions </t>
  </si>
  <si>
    <t xml:space="preserve">Other </t>
  </si>
  <si>
    <t xml:space="preserve">Net cash provided by operating activities </t>
  </si>
  <si>
    <t xml:space="preserve">INVESTING ACTIVITIES </t>
  </si>
  <si>
    <t xml:space="preserve">Capital expenditures </t>
  </si>
  <si>
    <t xml:space="preserve">Dispositions </t>
  </si>
  <si>
    <t xml:space="preserve">Loan advances </t>
  </si>
  <si>
    <t>Loan collections</t>
  </si>
  <si>
    <t xml:space="preserve">Other </t>
    <phoneticPr fontId="5" type="noConversion"/>
  </si>
  <si>
    <t xml:space="preserve">Net cash (used in) provided by investing activities </t>
  </si>
  <si>
    <t xml:space="preserve">FINANCING ACTIVITIES </t>
  </si>
  <si>
    <t xml:space="preserve">Commercial paper/Credit Facility, net </t>
  </si>
  <si>
    <t xml:space="preserve">Issuance of long-term debt </t>
  </si>
  <si>
    <t xml:space="preserve">Repayment of long-term debt </t>
  </si>
  <si>
    <t xml:space="preserve">Issuance of Class A Common Stock </t>
  </si>
  <si>
    <t xml:space="preserve">Debt extinguishment costs </t>
  </si>
  <si>
    <t xml:space="preserve">Dividends paid </t>
  </si>
  <si>
    <t xml:space="preserve">Purchase of treasury stock </t>
  </si>
  <si>
    <t>Share-based compensation withholding taxes</t>
  </si>
  <si>
    <t xml:space="preserve">Net cash (used in) provided by financing activities </t>
  </si>
  <si>
    <t xml:space="preserve">DECREASE IN CASH, CASH EQUIVALENTS, AND RESTRICTED CASH </t>
  </si>
  <si>
    <t xml:space="preserve">CASH, CASH EQUIVALENTS, AND RESTRICTED CASH, beginning of period </t>
  </si>
  <si>
    <t xml:space="preserve">CASH, CASH EQUIVALENTS, AND RESTRICTED CASH, end of period </t>
  </si>
  <si>
    <t xml:space="preserve">Total Current liabilities </t>
  </si>
  <si>
    <t>Years</t>
  </si>
  <si>
    <t>Accounts and notes receivable, net</t>
  </si>
  <si>
    <t>Prepaid expenses and other</t>
  </si>
  <si>
    <t>Contract acquisition costs and other</t>
  </si>
  <si>
    <t>Equity method investments</t>
  </si>
  <si>
    <t>Accounts payable</t>
  </si>
  <si>
    <t>Deferred tax liabilities</t>
  </si>
  <si>
    <t>Other noncurrent liabilities</t>
  </si>
  <si>
    <t>Total Shareholder's Equity</t>
  </si>
  <si>
    <t>Accumulated other comprehensive loss</t>
  </si>
  <si>
    <t>USD</t>
  </si>
  <si>
    <t>Period Type:</t>
  </si>
  <si>
    <t>Annual</t>
  </si>
  <si>
    <t>Currency:</t>
  </si>
  <si>
    <t>Units:</t>
  </si>
  <si>
    <t>Capital IQ NetAdvantage</t>
  </si>
  <si>
    <t>Marriott Official Website</t>
  </si>
  <si>
    <t>SEC</t>
  </si>
  <si>
    <t>Millions of the reported currency, except per share items</t>
  </si>
  <si>
    <t>Intangible Assets</t>
  </si>
  <si>
    <t>HEADNOTES</t>
  </si>
  <si>
    <t>FOOTNOTES</t>
  </si>
  <si>
    <t>ASSETS</t>
  </si>
  <si>
    <t>SHAREHOLDERS’ EQUITY</t>
  </si>
  <si>
    <t>Total Liabilities and Shareholders' Equity</t>
  </si>
  <si>
    <t>LIABILITIES</t>
  </si>
  <si>
    <t>Some subtotals of the items are not listed in this table (ex. Total Noncurrent Liabilities, Total Liabilities, Total Noncurrent Assets) because this table is the original finanicial statements table from the Marriott Website, and the subtotals of those items are not listed in the original financial statements even it is believed that should be included. 
We will include the necessary subtotals and items in the BS/ISmod tabs</t>
  </si>
  <si>
    <t>Source:</t>
  </si>
  <si>
    <t>Base management fees</t>
  </si>
  <si>
    <t>Dates of:</t>
  </si>
  <si>
    <t>For the Fiscal Year Ending:</t>
  </si>
  <si>
    <t>Total Revenues</t>
  </si>
  <si>
    <t>Total Operating Costs And Expenses</t>
  </si>
  <si>
    <t>Net Income</t>
  </si>
  <si>
    <t>REVENUES</t>
  </si>
  <si>
    <t>Income Before Income Taxes</t>
  </si>
  <si>
    <t>Some subtotals of the items are not listed in this table and the order/name of the items may not be familiar, (ex. costs of goods sold, sales) because this table is the original finanicial statements table from the Marriott Website, and these items are not modfied in the original financial statements even it is believed that should be modified. 
We will include the necessary subtotals and items in the BS/ISmod tabs</t>
  </si>
  <si>
    <t>STATEMENT OF CASH FLOW (Original)</t>
  </si>
  <si>
    <t>INCOME STATEMENT (Original)</t>
  </si>
  <si>
    <t>BALANCE SHEET (Original)</t>
  </si>
  <si>
    <t>BALANCE SHEET (Modified)</t>
  </si>
  <si>
    <t>INCOME STATEMENT (Modified)</t>
  </si>
  <si>
    <t>Total Current Assets</t>
  </si>
  <si>
    <t>Total Intangible Assets</t>
  </si>
  <si>
    <t>Total Noncurrent Assets</t>
  </si>
  <si>
    <t>Other comprehensive income</t>
  </si>
  <si>
    <t>Share-based compensation plans</t>
  </si>
  <si>
    <t>Purchase of treasury stock</t>
  </si>
  <si>
    <t>Previous Balance</t>
  </si>
  <si>
    <t>Adoption of ASU</t>
  </si>
  <si>
    <t>Dividends</t>
  </si>
  <si>
    <t>SHAREHOLDERS’ EQUITY (2)</t>
  </si>
  <si>
    <t>We adopted the consolidated statements of stockerholders equity published by Marriott official website instead of the original one because the original "retained earnings" is larger than the net income, which is not consistent with the common understanding.</t>
  </si>
  <si>
    <t>Total Noncurrent liabilities</t>
  </si>
  <si>
    <t>Cross checked:</t>
  </si>
  <si>
    <t>Millions of the reported currency</t>
  </si>
  <si>
    <t>Liability for guest loyalty program (Current Portion)</t>
  </si>
  <si>
    <t>Liability for guest loyalty program (Noncurrent Portion)</t>
  </si>
  <si>
    <t>We chose to do the revenue segmentation by Geographical diversification because: 
1. By segmenting revenue by region, we can see how well diversified the company's operations are across different geographic regions.
2. Regional market dynamics: Different regions can have different market dynamics, and segmenting revenue by region can help investors understand how local economic conditions, regulations, and cultural factors are affecting the company's revenue growth.
3. Comparative analysis: By comparing revenue growth and profitability across different regions, investors can gain insights into which regions are contributing the most to the company's revenue and profitability, and identify potential growth opportunities.
4. Investment decisions: Understanding the revenue contribution of different regions can inform investment decisions and help investors identify companies with strong growth potential in high-growth regions.</t>
  </si>
  <si>
    <t>U.S. &amp; Canada</t>
  </si>
  <si>
    <t>Gross fee revenues</t>
  </si>
  <si>
    <t xml:space="preserve">Contract investment amortization  </t>
  </si>
  <si>
    <t>Net fee revenue</t>
  </si>
  <si>
    <t>Owned, leased, and other revenue</t>
  </si>
  <si>
    <t>Total reportable segment revenue</t>
  </si>
  <si>
    <t>Unallocated corporate and other</t>
  </si>
  <si>
    <t>Region: U.S. &amp; Canada</t>
  </si>
  <si>
    <t>Total Revenue</t>
  </si>
  <si>
    <t>REVENUES (2)</t>
  </si>
  <si>
    <t>OPERATING COSTS AND EXPENSES (3)</t>
  </si>
  <si>
    <t>OPERATING COSTS AND EXPENSES</t>
  </si>
  <si>
    <t>Region: International</t>
  </si>
  <si>
    <t>Cost reimbursement revenue</t>
  </si>
  <si>
    <t>We did not segment the costs by region since the costs are not entirely segemented in the official annual reports. And also due to the following regions: Inconsistent cost structures: Different regions may have different cost structures due to factors such as local regulations, taxes, and labor costs, making it difficult to compare expenses and costs across regions.
Difficulties in allocation: Allocating expenses and costs to specific revenue generating regions can be challenging, particularly for companies with complex operations that span multiple regions.</t>
  </si>
  <si>
    <t>Reimbursed expenses (4)</t>
  </si>
  <si>
    <t>Equity in earnings (5)</t>
  </si>
  <si>
    <t>These expenses include costs for providing services such as reservations, sales and marketing, and loyalty program administration</t>
  </si>
  <si>
    <t>These investments represent the company's ownership interest in other companies that it does not control but has significant influence over.</t>
  </si>
  <si>
    <t>Revenue collected from hotel owners for centralized programs and services.</t>
  </si>
  <si>
    <r>
      <t>Cost reimbursement revenue</t>
    </r>
    <r>
      <rPr>
        <b/>
        <sz val="13"/>
        <color theme="1"/>
        <rFont val="Times New Roman"/>
        <family val="1"/>
      </rPr>
      <t xml:space="preserve"> </t>
    </r>
    <r>
      <rPr>
        <b/>
        <sz val="13"/>
        <color rgb="FFC00000"/>
        <rFont val="Times New Roman"/>
        <family val="1"/>
      </rPr>
      <t>(6)</t>
    </r>
  </si>
  <si>
    <t>Land</t>
  </si>
  <si>
    <t>Buildings and leasehold improvements</t>
  </si>
  <si>
    <t>Furniture and equipment</t>
  </si>
  <si>
    <t>Construction in progress</t>
  </si>
  <si>
    <t xml:space="preserve">Accumulated depreciation		</t>
  </si>
  <si>
    <t>We expanded the net Property and equipment items, for the following reasons: Improved asset management: Separate line items help investors better track and manage the company's assets and depreciation.
Asset valuation: Separate line items allow for more accurate asset valuation.
Better understanding of investment decisions: Analyzing changes in different categories of property and equipment helps investors understand the company's investment decisions.
Insights into future capital expenditures: Understanding asset composition provides insights into the company's future capital expenditure requirements.</t>
  </si>
  <si>
    <t>Costs incurred to obtain contracts with customers</t>
  </si>
  <si>
    <t>Contracts acquired in business combinations and other</t>
  </si>
  <si>
    <t>Accumulated amortization</t>
  </si>
  <si>
    <t>Indefinite-lived Intangible Brand Assets</t>
  </si>
  <si>
    <t>We expanded the intangible items because we can get a better understanding of intangible assets: Including these additional items in the total intangible assets statement can provide us with a more complete view of the value of the company's intangible assets, better tracking of amortization: Including accumulated amortization can help investors track the amortization of intangible assets over time.
Improved understanding of brand value: Including indefinite-lived intangible brand assets can provide insight into the value of the company's brand and its potential impact on future revenue growth.</t>
  </si>
  <si>
    <t>Total Intangible Assets (4)</t>
  </si>
  <si>
    <t>Property and equipment, net (3)</t>
  </si>
  <si>
    <t>% of Sales</t>
  </si>
  <si>
    <t>=</t>
  </si>
  <si>
    <t>Comparable Company-Operated Properties</t>
  </si>
  <si>
    <t>Comparable Systemwide Properties</t>
  </si>
  <si>
    <t>X</t>
  </si>
  <si>
    <t>International</t>
  </si>
  <si>
    <t>Growth rate</t>
  </si>
  <si>
    <t>ROOMS (1)</t>
  </si>
  <si>
    <t>OCC (Occupancy rate) (2)</t>
  </si>
  <si>
    <t>ADR (Average Daily Rate) (3)</t>
  </si>
  <si>
    <t>Main Business revenue (4)</t>
  </si>
  <si>
    <t>Determined Growth Rates (5)</t>
  </si>
  <si>
    <t>Revenue Growth Approximation</t>
  </si>
  <si>
    <t>PRO FORMA MODEL (Balance Sheet)</t>
  </si>
  <si>
    <t>PRO FORMA MODEL (Income Statement)</t>
  </si>
  <si>
    <t>2022</t>
  </si>
  <si>
    <t>2021</t>
  </si>
  <si>
    <t>2019</t>
  </si>
  <si>
    <t>2018</t>
  </si>
  <si>
    <t>U.S. statutory tax rate</t>
  </si>
  <si>
    <t>U.S. state income taxes, net of U.S. federal tax benefit</t>
  </si>
  <si>
    <t>Non-U.S. income</t>
  </si>
  <si>
    <t>Change in valuation allowance</t>
  </si>
  <si>
    <t>Permanent items</t>
  </si>
  <si>
    <t>Tax on asset dispositions</t>
  </si>
  <si>
    <t>Excess tax benefits related to equity awards</t>
  </si>
  <si>
    <t>U.S. tax on foreign earnings</t>
  </si>
  <si>
    <t>Other, net</t>
  </si>
  <si>
    <t>Effective rate</t>
  </si>
  <si>
    <t>Change in U.S. tax rate</t>
  </si>
  <si>
    <t>TAX RATE APPROXIMATION</t>
  </si>
  <si>
    <t>Percentages %</t>
  </si>
  <si>
    <t>Sources:</t>
  </si>
  <si>
    <t>Marriott Annual Reports</t>
  </si>
  <si>
    <t>Percentages %, 1 USD</t>
  </si>
  <si>
    <t>2020 (1)</t>
  </si>
  <si>
    <t>2023 (Forecast)</t>
  </si>
  <si>
    <t>Tax Rate</t>
  </si>
  <si>
    <t>ASSUMPTIONS</t>
  </si>
  <si>
    <t>FORECAST</t>
  </si>
  <si>
    <t>ASSUMPTIONS (1)</t>
  </si>
  <si>
    <t>Growth rate (2)</t>
  </si>
  <si>
    <t>Tax Rate (3)</t>
  </si>
  <si>
    <t>% of Sales (4)</t>
  </si>
  <si>
    <t>Please refer to the "Tax Rate" tab for the detailed calculations.</t>
  </si>
  <si>
    <t>We use the averaged % of sales for the past 5 years for the future years since they have been relatively stable for the past years even in the COVID period.</t>
  </si>
  <si>
    <t>Please refer to the "Revenue Growth" tab for the detailed calculations.</t>
  </si>
  <si>
    <t>Fixed</t>
  </si>
  <si>
    <t>Fixed (3)</t>
  </si>
  <si>
    <t>Fixed (5)</t>
  </si>
  <si>
    <t>Fixed (6)</t>
  </si>
  <si>
    <t>Dividneds: As stated in annual report page 32, dividend is expected to be $0.4 per share, which is the same as year 2022 from the beginning, therefore, we assume the future dividends would be the same as 2022 as well</t>
  </si>
  <si>
    <t>Property and equipment, net</t>
  </si>
  <si>
    <t>For the following items:
"Cash and equivalents; Accounts and notes receivable, net; Prepaid expenses and other; Land; Buildings and leasehold improvements; Total Intangible Assets; Total Noncurrent Assets; Accrued payroll and benefits; Liability for guest loyalty program (Current Portion); Accrued expenses and other; Total Noncurrent liabilities; Other comprehensive income; Purchase of treasury stock"
We took the percentages of sales to forecast the future values, we averaged the percentages of the previous years, excluded the year 2020 and 2021, since we believe these items are greatly impacted by the covid, and already showed signals to recover in the year 2022. The values are quite stable for year 2018, 2019, and year 2022.</t>
  </si>
  <si>
    <t xml:space="preserve">For the following items:
" Assets held for sale; Adoption of ASU"
We assumed a fixed value of 0% for them since they are abnormal items are not expected to happen again in the future
</t>
  </si>
  <si>
    <t xml:space="preserve"> For the following items:
"Furniture and equipment; Construction in progress; Accumulated depreciation; Share-based compensation plans"
We assumed them to have the same percentages of sales as year 2022 since they are stable items that have correlation to the sales, and we assumed them to be stable as last year since the year 2022 is the year that Marriott recovered from COVID.</t>
  </si>
  <si>
    <t>For "Accounts Payable", we took average of the percentages of sales of all previous years, since it has been relatively stable for the past years, even in Covid era.</t>
  </si>
  <si>
    <t>Last Name</t>
  </si>
  <si>
    <t>First Name</t>
  </si>
  <si>
    <t>Email</t>
  </si>
  <si>
    <t>Cheng</t>
  </si>
  <si>
    <t>Zhexu</t>
  </si>
  <si>
    <t>zcheng25@jh.edu</t>
  </si>
  <si>
    <t>Xie</t>
  </si>
  <si>
    <t>Chentao</t>
  </si>
  <si>
    <t>cxie19@jh.edu</t>
  </si>
  <si>
    <t>Xu</t>
  </si>
  <si>
    <t>Chengyi</t>
  </si>
  <si>
    <t>cxu62@jh.edu</t>
  </si>
  <si>
    <t>Yang</t>
  </si>
  <si>
    <t>Anyu</t>
  </si>
  <si>
    <t>ayang50@jh.edu</t>
  </si>
  <si>
    <t>Zhang</t>
  </si>
  <si>
    <t>Ziyao</t>
  </si>
  <si>
    <t>zzhan240@jh.edu</t>
  </si>
  <si>
    <t>Group:</t>
  </si>
  <si>
    <t>Members:</t>
  </si>
  <si>
    <t>Professor:</t>
  </si>
  <si>
    <t>Su Han Chan</t>
  </si>
  <si>
    <t>Course:</t>
  </si>
  <si>
    <t>Financial Modeling and Valuation</t>
  </si>
  <si>
    <t>Date</t>
  </si>
  <si>
    <t>Valuation Project of Company MARRIOTT (Ticker: MAR)</t>
  </si>
  <si>
    <t>Meaning the Grand total. (ex. Total Assets)</t>
  </si>
  <si>
    <t xml:space="preserve">Meaning the Subtotal. (ex.  Total current assets) </t>
  </si>
  <si>
    <t>Indented items meaning the intermediary items. (ex.  Owned, leased, and other revenue of Revenues)</t>
  </si>
  <si>
    <t>Green color tabs are deliverable A</t>
  </si>
  <si>
    <t>Revenue Growth</t>
  </si>
  <si>
    <t>Finratios</t>
  </si>
  <si>
    <t>ISproforma</t>
  </si>
  <si>
    <t>BSproforma</t>
  </si>
  <si>
    <t>BSori</t>
  </si>
  <si>
    <t>ISori</t>
  </si>
  <si>
    <t>CFori</t>
  </si>
  <si>
    <t>BSmod</t>
  </si>
  <si>
    <t>ISmod</t>
  </si>
  <si>
    <t>Yellow color tab is the cover page</t>
  </si>
  <si>
    <t>Colors:</t>
  </si>
  <si>
    <t>Indent:</t>
  </si>
  <si>
    <t>Single underline:</t>
  </si>
  <si>
    <t>Double underline:</t>
  </si>
  <si>
    <t>NOTATIONS</t>
  </si>
  <si>
    <t>CONTENTS</t>
  </si>
  <si>
    <t>HONOR PLEDGE</t>
  </si>
  <si>
    <t>Part A:</t>
  </si>
  <si>
    <t>Part B:</t>
  </si>
  <si>
    <t>Honor Pledge: We, Cheng Zhexu, Xie Chentao, Xu Chengyi, Yang Anyu, Zhang Ziyao, pledge that the work we are submitting is of our own ideas and the work of others will be properly cited. It adheres to the Carey Business School’s Honor Code. We will strive for excellence, honesty, integrity and originality in the work we submit, both individually and as a member of a group.</t>
  </si>
  <si>
    <t>Cash and equivalents (Plug) (7)</t>
  </si>
  <si>
    <t>Overdrafts (Plug) (8)</t>
  </si>
  <si>
    <t>We took Cash and equivalents as the plug because it is comparatively managable, we set the minimum cash balance to be a certain percentage (2%) of the sales since the percentages of sales was quite stable for the last few years except the Covid years.</t>
  </si>
  <si>
    <t>We set another plug to be Overdrafts, this is an hypothetical item since it is not listed in the official annual reports, we set this to be the plug since we believe it is the most managable one.</t>
  </si>
  <si>
    <t>Trial Assets:</t>
  </si>
  <si>
    <t>Trial Liabilities:</t>
  </si>
  <si>
    <t>Trial plug:</t>
  </si>
  <si>
    <t>Min Balance:</t>
  </si>
  <si>
    <t>Business Description for Marriott</t>
  </si>
  <si>
    <t>Hospitality Industry Overview and Marriott's Competitive Positioning:</t>
  </si>
  <si>
    <t>Hospitality Industry Overview</t>
  </si>
  <si>
    <t>The hospitality industry includes various sectors such as lodging, food and beverage, travel and tourism, events and recreation, and other related businesses. The State of the Hospitality Market was valued at USD 4,107.60 billion in 2022 and is expected to reach USD 9,950 billion in 2028 with a CAGR of 16.13% during the forecast period 2023 to 2028. Key drivers of growth in the hospitality industry include rising disposable incomes, increasing international tourism, and a growing middle class in emerging economies. The hospitality industry is responsible for providing various services to customers such as accommodation, dining, transportation, entertainment, and recreational activities.</t>
  </si>
  <si>
    <t>Marriott's Competitive Positioning</t>
  </si>
  <si>
    <t>Brand Reputation</t>
  </si>
  <si>
    <t>Marriott is known for its strong brand reputation in the hospitality industry, with a long-standing history of providing high-quality accommodations and services to its customers. The company's brands are recognized globally and are associated with luxury, comfort, and exceptional guest experiences.</t>
  </si>
  <si>
    <t>Diverse Portfolio of Hotel Brands</t>
  </si>
  <si>
    <t>Marriott has a diverse portfolio of hotel brands that cater to different market segments and customer needs. The company's brands range from luxury and upscale to select-service and extended-stay hotels, providing customers with a wide range of options to choose from. This diversification also helps Marriott to mitigate risks and capture different market opportunities.</t>
  </si>
  <si>
    <t>Innovative Marketing Strategies</t>
  </si>
  <si>
    <t>Marriott has been at the forefront of using innovative marketing strategies to promote its brands and engage with customers. The company has leveraged digital channels and social media platforms to reach a wider audience and create personalized experiences for its customers. Marriott has also invested in loyalty programs and partnerships to enhance customer retention and satisfaction.</t>
  </si>
  <si>
    <t>Customer-Centric Approach</t>
  </si>
  <si>
    <t>Marriott has a strong focus on providing exceptional customer service and experiences. The company has a robust feedback and review system that allows customers to provide feedback on their experiences and helps Marriott to improve its services. Marriott has also invested in training and development programs for its employees to ensure that they provide a high level of service to customers.</t>
  </si>
  <si>
    <t>Global Presence</t>
  </si>
  <si>
    <t>Marriott has a global presence, operating in over 133 countries and territories. The company has been expanding its footprint in emerging markets such as Asia-Pacific, the Middle East, and Africa, where there is a growing demand for hospitality services. Marriott has also entered into strategic partnerships and acquisitions to increase its market share and expand its offerings.</t>
  </si>
  <si>
    <t>Marriott International, Inc., a leading multinational hospitality company, operates, franchises, and licenses an extensive array of hotel, residential, timeshare, and other lodging properties worldwide. Established in 1927 and headquartered in Bethesda, Maryland, Marriott has a presence in 138 countries and territories, boasting over 8,000 properties with 1,423,044 rooms under 30 distinctive brand names.
The company's portfolio includes luxury, premium, select, long-stay, and timeshare resorts, with renowned brands such as JW Marriott, The Ritz-Carlton, W Hotels, The Luxury Collection, St. Regis, EDITION, Bvlgari, and more. Marriott is dedicated to providing exceptional service to its customers while prioritizing sustainability and social responsibility in all aspects of the business.
Marriott operates through two primary segments: U.S. and Canada, and International. Its diverse brand portfolio caters to a wide range of guests, featuring Marriott Hotels, Marriott Executive Apartments, Marriott Vacation Club, Gaylord Hotels, Design Hotels, Courtyard, Residence Inn, Fairfield, SpringHill Suites, TownePlace Suites, Protea Hotels, Aloft Hotels, AC Hotels by Marriott, Element Hotels, and Moxy Hotels, among others.
Having received numerous awards and recognitions for its leadership in the hospitality industry, Marriott maintains a strong brand reputation and a loyal customer base. The company has successfully navigated the challenges of the COVID-19 pandemic by continuously innovating and evolving to meet the ever-changing demands and expectations of its guests, reaffirming its commitment to exceptional service and sustainable business practices.</t>
  </si>
  <si>
    <t>Factors</t>
  </si>
  <si>
    <t>Descriptions</t>
  </si>
  <si>
    <t>2023-2027 (Forecast)</t>
  </si>
  <si>
    <t>We excluded the date of 2020 or 2021 since it is the most COVID affected year, the rates could not reflect the future tax rate effectively.</t>
  </si>
  <si>
    <t>We fixed the interest income since we found that the previous interest income are relatively stable amount</t>
  </si>
  <si>
    <t>2024-2027 (Forecast)</t>
  </si>
  <si>
    <t>Dec.31,2018</t>
  </si>
  <si>
    <t>Dec.31,2019</t>
  </si>
  <si>
    <t>Dec.31,2020</t>
  </si>
  <si>
    <t>Dec.31,2021</t>
  </si>
  <si>
    <t>Dec.31,2022</t>
  </si>
  <si>
    <t>Dec.31,2023</t>
  </si>
  <si>
    <t>Dec.31,2024</t>
  </si>
  <si>
    <t>Dec.31,2025</t>
  </si>
  <si>
    <t>Valuation Ratios</t>
  </si>
  <si>
    <t>EPS</t>
  </si>
  <si>
    <t>P/E ratio</t>
  </si>
  <si>
    <t>P/B(price to book ratio)</t>
  </si>
  <si>
    <t>Net profit margin</t>
  </si>
  <si>
    <t>Return on Equity(ROE)</t>
  </si>
  <si>
    <t>Return on Sales(ROS)</t>
  </si>
  <si>
    <t>EPS Growth Rate</t>
  </si>
  <si>
    <t>Sales Growth Rate</t>
  </si>
  <si>
    <t>EBIT Growth Rate</t>
  </si>
  <si>
    <t>Net Income Grwoth rate</t>
  </si>
  <si>
    <t>Liquidity Ratios</t>
  </si>
  <si>
    <t>Current Ratio</t>
  </si>
  <si>
    <t>Quick Ratio</t>
  </si>
  <si>
    <t>Operating Efficiey Ration</t>
  </si>
  <si>
    <t>Total Asset Turnover Ratio</t>
  </si>
  <si>
    <t>Leverage Ratios</t>
  </si>
  <si>
    <t>Total Debt to Total Capitalization</t>
  </si>
  <si>
    <t>LT Debt to Total Capitalization</t>
  </si>
  <si>
    <t>Total Debt to Equity</t>
  </si>
  <si>
    <t>Coverage Ratios</t>
  </si>
  <si>
    <t>Time Interest Earned (TIE)</t>
  </si>
  <si>
    <t>Debt Service Coverage</t>
  </si>
  <si>
    <t>% of Sales (2) and PLUG</t>
  </si>
  <si>
    <t>Fixed % (4)</t>
  </si>
  <si>
    <t>2023 - 2027</t>
  </si>
  <si>
    <t>Comments</t>
  </si>
  <si>
    <t>Last Year %</t>
  </si>
  <si>
    <t>Selected Average %</t>
  </si>
  <si>
    <t>Average of All %</t>
  </si>
  <si>
    <t>Fixed Number</t>
  </si>
  <si>
    <t>Fixed Percentages</t>
  </si>
  <si>
    <t>Dec.31,2026</t>
  </si>
  <si>
    <t>Dec.31,2027</t>
  </si>
  <si>
    <t>Ratios / Dates</t>
  </si>
  <si>
    <t>Book Value of Equity</t>
  </si>
  <si>
    <t>Dividend per Share</t>
  </si>
  <si>
    <t>Dividend Payout Ratio</t>
  </si>
  <si>
    <t>Return on Invested Capital (ROIC)</t>
  </si>
  <si>
    <t>Dividend Growth Rate</t>
  </si>
  <si>
    <t>Inventory Turnover Ratio</t>
  </si>
  <si>
    <t>EBIT</t>
  </si>
  <si>
    <t>EBITDA</t>
  </si>
  <si>
    <t>Net Debt</t>
  </si>
  <si>
    <t>Weighted Avg. Basic Shares Out.</t>
  </si>
  <si>
    <t>TBD</t>
  </si>
  <si>
    <t>NA</t>
  </si>
  <si>
    <t>We assumed the future weighted average basic shares would be the same as 2023, since we did not find any evidence of MAR would issue new shares.</t>
  </si>
  <si>
    <t>NA since last year dividend is 0, there is no growth rate</t>
  </si>
  <si>
    <t>Supporting Data</t>
  </si>
  <si>
    <t>FINANCIAL RATIOS</t>
  </si>
  <si>
    <t>No inventory turnover since the company does not maintain an inventory of goods for sale</t>
  </si>
  <si>
    <t>Past Ratios</t>
  </si>
  <si>
    <t>Forecast Ratios</t>
  </si>
  <si>
    <t>Profitablity Ratios</t>
  </si>
  <si>
    <t>Growth Rates</t>
  </si>
  <si>
    <t>Italic meaning the number is hard coded since we could not calculate the growth rate without the data of previous years that is not included in this analysis</t>
  </si>
  <si>
    <t>Stock Price (End of Year), 1 $USD</t>
  </si>
  <si>
    <t>Equity in earnings</t>
  </si>
  <si>
    <t>Reimbursed expenses</t>
  </si>
  <si>
    <t>Blank cells in the Assumption tab meaning this cell will be calculated by formulas.</t>
  </si>
  <si>
    <t>% of Sales (9)</t>
  </si>
  <si>
    <t>To support the financial health, we assume Marriott would decrease the level of investing in treasury stock to 3%</t>
  </si>
  <si>
    <t>Parts A&amp;B</t>
  </si>
  <si>
    <t>Loss on extinguishment of debt</t>
  </si>
  <si>
    <t>2024-2027</t>
  </si>
  <si>
    <t>Terminal Growth</t>
  </si>
  <si>
    <t>Terminal Growth (6)</t>
  </si>
  <si>
    <t>Country Name</t>
  </si>
  <si>
    <t>Country Code</t>
  </si>
  <si>
    <t>Series Name</t>
  </si>
  <si>
    <t>Series Code</t>
  </si>
  <si>
    <t>2017 [YR2017]</t>
  </si>
  <si>
    <t>2018 [YR2018]</t>
  </si>
  <si>
    <t>2019 [YR2019]</t>
  </si>
  <si>
    <t>2020 [YR2020]</t>
  </si>
  <si>
    <t>2021 [YR2021]</t>
  </si>
  <si>
    <t>2022 [YR2022]</t>
  </si>
  <si>
    <t>2023 [YR2023]</t>
  </si>
  <si>
    <t>2024 [YR2024]</t>
  </si>
  <si>
    <t>2025 [YR2025]</t>
  </si>
  <si>
    <t>2026 [YR2026]</t>
  </si>
  <si>
    <t>2027 [YR2027]</t>
  </si>
  <si>
    <t>2028 [YR2028]</t>
  </si>
  <si>
    <t>2029 [YR2029]</t>
  </si>
  <si>
    <t>2030 [YR2030]</t>
  </si>
  <si>
    <t>2031 [YR2031]</t>
  </si>
  <si>
    <t>2032 [YR2032]</t>
  </si>
  <si>
    <t>2033 [YR2033]</t>
  </si>
  <si>
    <t>2034 [YR2034]</t>
  </si>
  <si>
    <t>2035 [YR2035]</t>
  </si>
  <si>
    <t>2036 [YR2036]</t>
  </si>
  <si>
    <t>2037 [YR2037]</t>
  </si>
  <si>
    <t>2038 [YR2038]</t>
  </si>
  <si>
    <t>2039 [YR2039]</t>
  </si>
  <si>
    <t>2040 [YR2040]</t>
  </si>
  <si>
    <t>United States</t>
  </si>
  <si>
    <t>USA</t>
  </si>
  <si>
    <t>Population growth (annual %)</t>
  </si>
  <si>
    <t>SP.POP.GROW</t>
  </si>
  <si>
    <t>..</t>
  </si>
  <si>
    <t>Canada</t>
  </si>
  <si>
    <t>CAN</t>
  </si>
  <si>
    <t>World</t>
  </si>
  <si>
    <t>WLD</t>
  </si>
  <si>
    <t>Population estimates and projections</t>
  </si>
  <si>
    <t>Percentages</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</si>
  <si>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</si>
  <si>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Population, total</t>
  </si>
  <si>
    <t>SP.POP.TOTL</t>
  </si>
  <si>
    <t>Determined Population Growth (Terminal) (1)</t>
  </si>
  <si>
    <t>WorldBank</t>
  </si>
  <si>
    <t>Description:</t>
  </si>
  <si>
    <t>We took the data till 2040 since we believe further data would not be necessary and of high correlation.</t>
  </si>
  <si>
    <t>Corporate Information
Corporate Headquarters
Marriott International, Inc.
7750 Wisconsin Avenue
Bethesda, MD 20814
1-301-380-3000
Internet: Marriott.com
Common Stock Listings
The Company’s Class A Common Stock (ticker symbol: MAR)
 is listed on the NASDAQ Global Select Market (“NASDAQ”).
Investor Relations
For information, call: 1-301-380-6500
Internet: www.marriott.com/investor
Independent Registered Public Accounting Firm
Ernst &amp; Young LLP
Tysons, V</t>
  </si>
  <si>
    <t>Median</t>
  </si>
  <si>
    <t>Mean</t>
  </si>
  <si>
    <t>Low</t>
  </si>
  <si>
    <t>High</t>
  </si>
  <si>
    <t>Business Description</t>
  </si>
  <si>
    <t xml:space="preserve">LTM Total Revenues, 1 Yr Growth % </t>
  </si>
  <si>
    <t xml:space="preserve">LTM Basic EPS </t>
  </si>
  <si>
    <t xml:space="preserve">LTM EBITDA </t>
  </si>
  <si>
    <t xml:space="preserve">LTM Total Revenue </t>
  </si>
  <si>
    <t>Total Enterprise Value Latest</t>
  </si>
  <si>
    <t>LTM Cash And Equivalents</t>
  </si>
  <si>
    <t>LTM Total Debt</t>
  </si>
  <si>
    <t>Market Capitalization Latest</t>
  </si>
  <si>
    <t>Shares Outstanding Latest</t>
  </si>
  <si>
    <t>Day Close Price Latest</t>
  </si>
  <si>
    <t>Summary Statistics</t>
  </si>
  <si>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</si>
  <si>
    <t>Marriott International, Inc. (NasdaqGS:MAR)</t>
  </si>
  <si>
    <t>Wyndham Hotels &amp; Resorts, Inc. operates as a hotel franchisor worldwide. It operates through Hotel Franchising and Hotel Management segments. The Hotel Franchising segment licenses its lodging brands and provides related services to third-party hotel owners and others. The Hotel Management segment provides hotel management services for full-service hotels. It is also involved in the reward loyalty program business. The company’s hotel brand portfolios include Super 8, Days Inn, Travelodge, Microtel, Howard Johnson, La Quinta, Ramada, Baymont, AmericInn, Wingate, Wyndham Alltra, Wyndham Garden, Ramada Encore, Hawthorn, Trademark Collection, TRYP, Wyndham, Wyndham Grand, Dazzler, Esplendor, Dolce, Vienna House, and Registry Collection. It operates a hotel portfolio of 24 hotel brands with affiliated hotels located in approximately 95 countries. The company was incorporated in 2017 and is headquartered in Parsippany, New Jersey.</t>
  </si>
  <si>
    <t>Wyndham Hotels &amp; Resorts, Inc. (NYSE:WH)</t>
  </si>
  <si>
    <t>Accor SA operates a chain of hotels worldwide. It operates through three segments: Management &amp; Franchise; Services to Owners and Hotel Assets; and Others. The company owns, operates, manages, and franchises hotels. It also provides digital services to independent hotel operators through D-edge platform; Gekko solutions for leisure and travel industry and large companies; and concierge and customized services through John Paul, as well as hotel booking services; and other services in events, fine dining, and entertainment through Paris Society and Potel &amp; Chabot platforms. In addition, the company offers distribution activities, such as private sales of hotel accommodation and luxury vacations through VeryChic platform; rental of private residences operated by onefinestay; and coworking spaces through Wojo and Mama Works. Further, it provides hotel management, procurement, cash management, IT, and advertising services, as well as various advisory services. Accor SA was founded in 1967 and is headquartered in Issy-les-Moulineaux, France.</t>
  </si>
  <si>
    <t>Accor SA (ENXTPA:AC)</t>
  </si>
  <si>
    <t>Marriott Vacations Worldwide Corporation, a vacation company, develops, markets, sells, and manages vacation ownership and related products. It operates through two segments, Vacation Ownership and Exchange &amp; Third-Party Management. The company manages vacation ownership and related products under the Marriott Vacation Club, Grand Residences by Marriott, Sheraton Vacation Club, Westin Vacation Club, Hyatt Residence Club, and Marriott Vacation Club Pulse brands. It also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various brands, including Interval International, Trading Places International, Vacation Resorts International, and Aqua-Aston. The company sells its upscale tier vacation ownership products primarily through a network of resort-based sales centers and off-site sales locations. Marriott Vacations Worldwide Corporation was founded in 1984 and is headquartered in Orlando, Florida.</t>
  </si>
  <si>
    <t>Marriott Vacations Worldwide Corporation (NYSE:VAC)</t>
  </si>
  <si>
    <t>Choice Hotels International, Inc. together with its subsidiaries, operates as a hotel franchisor. The company operates through Hotel Franchising &amp; Management and Other segments. It franchises lodging properties under the brand names of Comfort Inn, Comfort Suites, Quality, Clarion, Clarion Pointe, Sleep Inn, Econo Lodge, Rodeway Inn, MainStay Suites, Suburban Extended Stay Hotel, WoodSpring Suites, Everhome Suites, Cambria Hotels, Ascend Hotel Collection, Radisson Blu, Radisson RED, Radisson, Park Plaza, Country Inn &amp; Suites, Radisson Inn &amp; Suites , Park Inn by Radisson, Radisson Individuals, and Radisson Collection. The company also develops and markets cloud-based property management software to non-franchised hoteliers. Choice Hotels International, Inc. was founded in 1939 and is headquartered in Rockville, Maryland.</t>
  </si>
  <si>
    <t>Choice Hotels International, Inc. (NYSE:CHH)</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</si>
  <si>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</si>
  <si>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Las Vegas Sands Corp. (NYSE:LVS)</t>
  </si>
  <si>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It distributes its products through retail/travel advisor and onboard cruise sales channels, as well as meetings, incentives, and charters. The company was founded in 1966 and is based in Miami, Florida.</t>
  </si>
  <si>
    <t>Norwegian Cruise Line Holdings Ltd. (NYSE:NCLH)</t>
  </si>
  <si>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</si>
  <si>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Travel + Leisure Co. (NYSE:TNL)</t>
  </si>
  <si>
    <t>Hilton Grand Vacations Inc., a timeshare company, develops, markets, sells, manages, and operates the resorts, plans and ancillary reservation services under the Hilton Grand Vacations brand. It operates through Real Estate Sales and Financing, and Resort Operations and Club Management segments. Real Estate Sales and Financing segment market and sells the VOIs, and source VOIs through fee-for-service agreements with third-party developers; and provides consumer financing and services loans. Resort Operations and Club Management segment manages and operates the clubs and timeshare properties, which offers exchange, leisure travel, and reservation services, as well as engages in the rental of inventory made available due to ownership exchanges through its club programs, and provides ancillary services including food and beverage, retail and spa at timeshare properties. The company was founded in 1992 and is headquartered in Orlando, Florida.</t>
  </si>
  <si>
    <t>Hilton Grand Vacations Inc. (NYSE:HGV)</t>
  </si>
  <si>
    <t>Hyatt Hotels Corporation operates as a hospitality company in the United States and internationally. It operates through Owned and Leased Hotels, Americas Management and Franchising, ASPAC Management and Franchising, EAME/SW Asia Management and Franchising, and Apple Leisure Group segments. The company manages, franchises, licenses, owns, and leases portfolio of properties, consisting of full-service hotels and resorts, select service hotels, resorts, and other properties, including timeshare, fractional, residential, vacation, and condominium units. It operates its properties under the Park Hyatt, Grand Hyatt, Hyatt Regency, Hyatt, Hyatt Residence Club, Hyatt Place, Hyatt House, UrCove, Miraval, Alila, Andaz, Thompson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and Sunscape Resorts &amp; Spas brands. The company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</si>
  <si>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Hyatt Hotels Corporation (NYSE:H)</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</si>
  <si>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premium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</si>
  <si>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Hilton Worldwide Holdings Inc. (NYSE:HLT)</t>
  </si>
  <si>
    <t>Company Name</t>
  </si>
  <si>
    <t>MULTIPLES VALUATION</t>
  </si>
  <si>
    <t>As of Date:</t>
  </si>
  <si>
    <t>Change in uncertain tax positions (3)</t>
  </si>
  <si>
    <t>For Change in uncertain tax positions, we took the average of 2018/2019 and 2022 since the value of 2020 and 2021 is abnormal</t>
  </si>
  <si>
    <t>Total Debt</t>
  </si>
  <si>
    <t>FINANCIALS</t>
  </si>
  <si>
    <t>RATIOS</t>
  </si>
  <si>
    <t>Price/EPS</t>
  </si>
  <si>
    <t>EV/Revenue</t>
  </si>
  <si>
    <t>EV/EBIT</t>
  </si>
  <si>
    <t>EV/EBITDA</t>
  </si>
  <si>
    <t>Price/Revenue</t>
  </si>
  <si>
    <t>EV/FCFF</t>
  </si>
  <si>
    <t>Companies</t>
  </si>
  <si>
    <t xml:space="preserve">LTM Tangible Book Value/Share </t>
  </si>
  <si>
    <t xml:space="preserve">LTM EBIT </t>
  </si>
  <si>
    <t>1. Accounting approach</t>
  </si>
  <si>
    <t>Marriot's balance sheet</t>
  </si>
  <si>
    <t xml:space="preserve">Assets </t>
  </si>
  <si>
    <t>Liablities and Shareholder's Equity</t>
  </si>
  <si>
    <t>Current portion of long-term debt</t>
  </si>
  <si>
    <t xml:space="preserve">Cash and Cash equivalents </t>
  </si>
  <si>
    <t>Accounts and notes receiveable, net</t>
  </si>
  <si>
    <t>Accrued payroll and benefits</t>
  </si>
  <si>
    <t xml:space="preserve">Prepaid expenses and other </t>
  </si>
  <si>
    <t>Accrued expenses and other</t>
  </si>
  <si>
    <t>Fixed assets</t>
  </si>
  <si>
    <t>Long-term debt</t>
  </si>
  <si>
    <t xml:space="preserve">Buildngs and leasehold equipment </t>
  </si>
  <si>
    <t>funiture and equipment</t>
  </si>
  <si>
    <t>constructions in progress</t>
  </si>
  <si>
    <t>Deferred revenue</t>
  </si>
  <si>
    <t xml:space="preserve">minus accumlated depreciation </t>
  </si>
  <si>
    <t>Operating lease liabilities</t>
  </si>
  <si>
    <t xml:space="preserve">Net fixed assets </t>
  </si>
  <si>
    <t>Intangiable assets</t>
  </si>
  <si>
    <t>Total Liablities</t>
  </si>
  <si>
    <t>Non current assets</t>
  </si>
  <si>
    <t>Notes receivable, net</t>
  </si>
  <si>
    <t>Deferred tax assets</t>
  </si>
  <si>
    <t>Operating lease assets</t>
  </si>
  <si>
    <t>Other noncurrent assets</t>
  </si>
  <si>
    <t xml:space="preserve">Minus current liablities, operational </t>
  </si>
  <si>
    <t xml:space="preserve">Accounts payable </t>
  </si>
  <si>
    <t>Accured expenses and other</t>
  </si>
  <si>
    <t>Enterprise value</t>
  </si>
  <si>
    <t>Profit after tax</t>
  </si>
  <si>
    <t>Add back depreciation</t>
  </si>
  <si>
    <t>Subtract increase in current assets</t>
  </si>
  <si>
    <t>Add back increase in current liabilities</t>
  </si>
  <si>
    <t>Subtract increase in fixed assets at cost</t>
  </si>
  <si>
    <t>Add back after-tax interest on debt</t>
  </si>
  <si>
    <t>Subtract after-tax interest on cash and mkt. securities</t>
  </si>
  <si>
    <t xml:space="preserve">Free cash flow </t>
    <phoneticPr fontId="5" type="noConversion"/>
  </si>
  <si>
    <t>Historical Percentages</t>
  </si>
  <si>
    <t>Q1</t>
  </si>
  <si>
    <t>Q3</t>
  </si>
  <si>
    <t>IQR</t>
  </si>
  <si>
    <t>Lower Bound</t>
  </si>
  <si>
    <t>Upper Bound</t>
  </si>
  <si>
    <t>Mean Excluded Outliers</t>
  </si>
  <si>
    <t>Conclusions</t>
  </si>
  <si>
    <t>Selected</t>
  </si>
  <si>
    <t>Implied TEV Range</t>
  </si>
  <si>
    <t>Less Net Debt</t>
  </si>
  <si>
    <t>Equity Value</t>
  </si>
  <si>
    <t>Implied Per Share Price</t>
  </si>
  <si>
    <t>Weighting</t>
  </si>
  <si>
    <t>World exclude U.S. &amp; Canada</t>
  </si>
  <si>
    <t>Net Working Capital</t>
  </si>
  <si>
    <t>Accounting Enterprise Value</t>
  </si>
  <si>
    <t>1. Efficient Market approach</t>
  </si>
  <si>
    <t>Market Cap</t>
  </si>
  <si>
    <t>EM Enterprise Value</t>
  </si>
  <si>
    <t>2007 [YR2007]</t>
  </si>
  <si>
    <t>2008 [YR2008]</t>
  </si>
  <si>
    <t>2009 [YR2009]</t>
  </si>
  <si>
    <t>2010 [YR2010]</t>
  </si>
  <si>
    <t>2011 [YR2011]</t>
  </si>
  <si>
    <t>2012 [YR2012]</t>
  </si>
  <si>
    <t>2013 [YR2013]</t>
  </si>
  <si>
    <t>2014 [YR2014]</t>
  </si>
  <si>
    <t>2015 [YR2015]</t>
  </si>
  <si>
    <t>2016 [YR2016]</t>
  </si>
  <si>
    <t>Inflation, consumer prices (annual %)</t>
  </si>
  <si>
    <t>FP.CPI.TOTL.ZG</t>
  </si>
  <si>
    <t>Inflation, GDP deflator (annual %)</t>
  </si>
  <si>
    <t>NY.GDP.DEFL.KD.ZG</t>
  </si>
  <si>
    <t>Source: International Monetary Fund, International Financial Statistics and data files.</t>
  </si>
  <si>
    <t>Source: World Bank national accounts data, and OECD National Accounts data files.</t>
  </si>
  <si>
    <t>World (2)</t>
  </si>
  <si>
    <t>World (3)</t>
  </si>
  <si>
    <t>Determined Future Inflation</t>
  </si>
  <si>
    <t>Future Inflation Estimates</t>
  </si>
  <si>
    <t>We use the consumer prices as the Inflation index since we believe the Hospitality industy is more related to the consumer prices.</t>
  </si>
  <si>
    <t>Revenue Weights (7)</t>
  </si>
  <si>
    <t>From Annual Reports:
(1). In 2021, we expect gross rooms growth of approximately 6.0 percent (3.0 to 3.5 percent, net of deletions).  (Page 29, 2020 Annual Report)
In 2022, we expect total gross rooms growth to approach 5.0 percent and net rooms growth of 3.5 to 4.0 percent. (Page 25, 2021 Annual Report)
In 2023, we expect total gross rooms growth of approximately 5.5 percent and net rooms growth of 4.0 to 4.5 percent. (Page 22, 2021 Annual Report)
Rooms growth rate: The total rooms growth rate is expected to be 5%, accordingly.
(2). Occupancy rate: We expect the occupancy rate of 2023 would recover to 75%/71%/74%/71%, and the following years.
(3). Average daily rate: The daily rate has already recovered to the Pre-Covid level, therefore, we believe the ADR should be maintain relatively stable for the coming years.
(4). Revenue of Marriott formula: ADR (average daily rate) * OCC(Occupancy rate) * Rooms (Total rooms available) * Days
Therefore, according to the formula, we can approximate the growth rate of Marriott main business revenue through the approximate growth rates of each component.
(5). This regional growth rate is approximate is calculated by taking the simple average weighted growth rates of each region since they are approximate equally weighted.
(6). Terminal Growth is estimated to be the population growth rate, since Mariott is already a mature company, and the business is highly correlated to the population if demand remains stable.
(7). From the tab 'ISproforma', we found the revenue weight of U.S. &amp; Canada and International have approximately weights of 80% and 20%, but we further assumed that since the growth rate in North America is slower than international, therefore, a weight of 70% and 30% would be applicable.</t>
  </si>
  <si>
    <t>Determined Terminal Growth with Inflation</t>
  </si>
  <si>
    <t>Year</t>
  </si>
  <si>
    <t>FCF</t>
  </si>
  <si>
    <t>Terminal value</t>
  </si>
  <si>
    <t>Total</t>
  </si>
  <si>
    <t>Add in initial (year 0) cash and mkt. securities</t>
  </si>
  <si>
    <t>Asset value in year 0</t>
  </si>
  <si>
    <t>Subtract out value of firm's debt today</t>
  </si>
  <si>
    <t>Equity value</t>
  </si>
  <si>
    <t>WACC</t>
  </si>
  <si>
    <t>Share value</t>
  </si>
  <si>
    <t>Long-term FCF growth rate</t>
  </si>
  <si>
    <t>Weighted average cost of capital, WACC</t>
  </si>
  <si>
    <t>Add back initial cash and marketable securities</t>
  </si>
  <si>
    <t>Per share (1 million shares outstanding)</t>
  </si>
  <si>
    <t>Subtract out financial liabilities</t>
  </si>
  <si>
    <t>Accounting Approach</t>
  </si>
  <si>
    <t>EM EV</t>
  </si>
  <si>
    <t>Short term assets</t>
  </si>
  <si>
    <t xml:space="preserve">Total liablities and Shareholder's equity </t>
  </si>
  <si>
    <t>Assets</t>
  </si>
  <si>
    <t xml:space="preserve">Financial debts </t>
  </si>
  <si>
    <t>Liquid assets(Cash and Cash equivalents)</t>
  </si>
  <si>
    <t>current portion of long-term debt</t>
  </si>
  <si>
    <t xml:space="preserve">Current Assets,operational </t>
  </si>
  <si>
    <t>Total financial debt</t>
  </si>
  <si>
    <t xml:space="preserve">Minus Liquid Assets </t>
  </si>
  <si>
    <t>Net debt</t>
  </si>
  <si>
    <t>pension liablities</t>
  </si>
  <si>
    <t>minority interest</t>
  </si>
  <si>
    <t>purchase of treasury stock</t>
  </si>
  <si>
    <t>Accuured benefits and payroll</t>
  </si>
  <si>
    <t>Net working capital</t>
  </si>
  <si>
    <t>Shareholder's Equity</t>
  </si>
  <si>
    <t>Intangible assets</t>
  </si>
  <si>
    <t>Marriot's 2022 Enterprise value BALANCE SHEET- Book Value</t>
  </si>
  <si>
    <t>net working capital</t>
  </si>
  <si>
    <t>Net financial debt</t>
  </si>
  <si>
    <t>Long-term inestments</t>
  </si>
  <si>
    <t>Other liablitieis</t>
  </si>
  <si>
    <t>Property plant and equipment</t>
  </si>
  <si>
    <t>Equity</t>
  </si>
  <si>
    <t>Intangibale assets</t>
  </si>
  <si>
    <t>Minority interest</t>
  </si>
  <si>
    <t>Other assets</t>
  </si>
  <si>
    <t>Defered Long-term assets chagres</t>
  </si>
  <si>
    <t>I LIKE THAT YOU TOOK INTO ACCOUNT THE OCCUPANCY RATE. HOWEVER,IF YOU WERE TRYING GEOMERTIC MEAN ON THE REVENUE GROWTH SHEET, THEN WHAT EXPLAINS THE DROP IN REVENUE FROM 23% TO 9%?</t>
  </si>
  <si>
    <t>AGAIN, WHY A CHANGE IN A RATE OF 31% MOVES TO 5% IN ONE YEAR.</t>
  </si>
  <si>
    <t>INTEREST EXPENSE IS BASED ON THE INTEREST RATE AND OUTSTANDING DEBT, NOT A PERCENT OF SALES</t>
  </si>
  <si>
    <t xml:space="preserve">INTEREST INCOME COULD ALSO FLUCTUATE IF THE CASH &amp; MS CHANGE </t>
  </si>
  <si>
    <t>WHY IS LAND A PERCENT OF SALES?  IS IT AN OPERATING ASSET TIED TO SALES?</t>
  </si>
  <si>
    <t>THESE ITEMS MIGHT NOT BE TIED TO SALES</t>
  </si>
  <si>
    <t>SHOULD BE HELD CONSTANT SINCE YOU HAVE AN OVERDRAFT PLUG. SEE CLASS EXAMPLE.</t>
  </si>
  <si>
    <t>THE MIN BALANCE IS A FIXED NUMBER.  IT SHOULD NOT BE CHANGING FROM YEAR TO YEAR</t>
  </si>
  <si>
    <t>Comment #1:</t>
  </si>
  <si>
    <t>Explanation or Revision:</t>
  </si>
  <si>
    <t>After our discussion and consideration, we would like to insist the significant drop in the revenue growth rates for the following reasons</t>
  </si>
  <si>
    <t>1. From our calculation, we can see that in the Pre-Covid eras, the occupancy rate is stable at about 75%, therefore, we believe that since the shadow of COVID already cleared, the occupancy rate would highly likely to recover to 75%, that is also stated in the annual reports. And once it is recovered to 75%, the occupancy rate is not likely to increase further, therefore, the further growth rate in occupancy would be 0%.
Therefore, after we sum up the calculation, we found that the data for 2023 would be about significantly high, and after 2023, the growth would remain stable to a lower amount, which seems like a "Jump".</t>
  </si>
  <si>
    <t>Comment #2:</t>
  </si>
  <si>
    <t>Comment #3</t>
  </si>
  <si>
    <t xml:space="preserve"> INTEREST EXPENSE IS BASED ON THE INTEREST RATE AND OUTSTANDING DEBT, NOT A PERCENT OF SALES </t>
  </si>
  <si>
    <t>% of Buildings and Leasehold Improvements</t>
  </si>
  <si>
    <t>% of PP&amp;E</t>
  </si>
  <si>
    <t>% of Total Financing Debt</t>
  </si>
  <si>
    <t>% of Cash and Equivalents</t>
  </si>
  <si>
    <t>Average of 4 %</t>
  </si>
  <si>
    <t>300m increase in 2023, then stable</t>
  </si>
  <si>
    <t>% of Land</t>
  </si>
  <si>
    <t>Average of All</t>
  </si>
  <si>
    <t>From Annual Report</t>
  </si>
  <si>
    <t>% of Buildings and Improvements</t>
  </si>
  <si>
    <t>Average of 2018, 2019</t>
  </si>
  <si>
    <t>% of Fixed Assets</t>
  </si>
  <si>
    <t>% of Brand Assets</t>
  </si>
  <si>
    <t>% of Equity Method Investments</t>
  </si>
  <si>
    <t>% of Long-term Debt</t>
  </si>
  <si>
    <t>Fixed and Stable</t>
  </si>
  <si>
    <t>% of Tax expense</t>
  </si>
  <si>
    <t>% of Net Income</t>
  </si>
  <si>
    <t>Average of 3</t>
  </si>
  <si>
    <t>SIMPLIFIED PRO FORMA VALUATION</t>
  </si>
  <si>
    <t>Growth Rate Estimation (Snippet from tab 'Revenue Growth')</t>
  </si>
  <si>
    <t>Weighted Growth rate of FCF, years 1-5</t>
  </si>
  <si>
    <t>Free cash flow (FCF) year ending 31 Dec. 2022</t>
  </si>
  <si>
    <t>Millions of the reported currency and Percentages, except for per share items</t>
  </si>
  <si>
    <t>Marriott Annual Reports and the resouce from other tabs</t>
  </si>
  <si>
    <t>Revenue Weights</t>
  </si>
  <si>
    <t>Enterprise value (1)</t>
  </si>
  <si>
    <t>We did not use the Mid-year convention method since our data are year-end</t>
  </si>
  <si>
    <t>Revised PRO FORMA MODEL &amp; DCF Valuation</t>
  </si>
  <si>
    <t>Add in initial cash and mkt. securities</t>
  </si>
  <si>
    <t>Asset value</t>
  </si>
  <si>
    <t>Free Cash Flow Calculation</t>
  </si>
  <si>
    <t>CONCLUSIONS</t>
  </si>
  <si>
    <t>Millions of the reported currency, except for per share items and Percentages</t>
  </si>
  <si>
    <t>We corrected the interest related items to as a percentage of debt/cash</t>
  </si>
  <si>
    <t>Comment #4</t>
  </si>
  <si>
    <t>We corrected the land to be an increase of 300 at 2023, and then remain stable, as said in the annual report</t>
  </si>
  <si>
    <t>Comment #5</t>
  </si>
  <si>
    <t>We changed the % of Sales to whaat we believe more applicable for that items.</t>
  </si>
  <si>
    <t>Long-term debt is fixed and stable</t>
  </si>
  <si>
    <t>Comment #6</t>
  </si>
  <si>
    <t>We insist that it should be a increasing number since we are assuming a growing company, with the growth in size, the minimum required cash we believe should also increasing.</t>
  </si>
  <si>
    <t>FULL Proforma_Revised &amp; DCF</t>
  </si>
  <si>
    <t>VALUATION CONCLUSION</t>
  </si>
  <si>
    <t>Full Proforma DCF</t>
  </si>
  <si>
    <t>Simplified Proforma DCF</t>
  </si>
  <si>
    <t>Multiples</t>
  </si>
  <si>
    <t>Pessimistic</t>
  </si>
  <si>
    <t>Optimistic</t>
  </si>
  <si>
    <t>Weight</t>
  </si>
  <si>
    <t>Determined Valuation Range</t>
  </si>
  <si>
    <t>We set it equal to 4% since we believe the interest expense and income are somehow depends on the interest rate, and the interest rates for financing debt is stable at 4%, therefore, we believe adopting 4% should also be optimal for interest income</t>
  </si>
  <si>
    <t>As stated in the Annual Report, the Equity in earnings is the earnings from the equity investments</t>
  </si>
  <si>
    <t>According to the 2022 annual report, page 51, Marriott will purchase land with value of 300m at the end of 2022, which should reflected on the balance sheet of 2023, since it did not show on 2022 balance sheet.</t>
  </si>
  <si>
    <t>Since the buildings and improvements will be based on the land, therefore, a percentage of land would be optimal to forecast the buildings and improvements</t>
  </si>
  <si>
    <t>The text in this color meaning it is revised with a comment</t>
  </si>
  <si>
    <t>Sensitivity Analysis</t>
  </si>
  <si>
    <t>Share value Pessimistic</t>
  </si>
  <si>
    <t>Share value Optimistic</t>
  </si>
  <si>
    <t>Price/Earnings (P/E) - 20%: This is a widely-used multiple that compares the market price of the company's stock to its earnings per share.
Enterprise Value/Revenue (EV/Revenue) - 15%: This multiple is particularly useful for companies with diverse revenue streams or different levels of profitability. In the case of Marriott, it can help to account for the company's various segments and revenue sources.
Enterprise Value/EBIT (EV/EBIT) - 20%: Marriott, which has significant debt and capital expenditures, this multiple can provide insight into the company's operating efficiency.
Enterprise Value/EBITDA (EV/EBITDA) - 20%: similar to EV/EBIT but also takes into account depreciation and amortization
Price/Revenue (P/Revenue) - 15%:companies with different profit margins or for businesses in high-growth industries. For Marriott, this multiple can provide insight into the market's valuation of the company's top-line growth.
Enterprise Value/Free Cash Flow to Firm (EV/FCFF) - 10%: compares a company's enterprise value to its free cash flow, which can relevant for capital-intensive businesses like Marriott that require significant investments in property, plant, and equipment.</t>
  </si>
  <si>
    <t>Weighting Rationale</t>
  </si>
  <si>
    <t>Pessimistic Weighting</t>
  </si>
  <si>
    <t>Optimistic Weighting</t>
  </si>
  <si>
    <t>Share value Normal</t>
  </si>
  <si>
    <t>Share Price Normal</t>
  </si>
  <si>
    <t>Neutural/Normal</t>
  </si>
  <si>
    <t>CONCLUSION</t>
  </si>
  <si>
    <t>Sum</t>
  </si>
  <si>
    <t>1 unit of reported currency</t>
  </si>
  <si>
    <t>Fixed Value</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</si>
  <si>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</si>
  <si>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</si>
  <si>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</si>
  <si>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</si>
  <si>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</si>
  <si>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</si>
  <si>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</si>
  <si>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</si>
  <si>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</si>
  <si>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</si>
  <si>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</si>
  <si>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</si>
  <si>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96330f8e-ad47-4389-b57e-19df84511ff4</t>
  </si>
  <si>
    <t>CB_Block_0</t>
  </si>
  <si>
    <t>㜸〱敤㕣㕢㙣ㅣ搵ㄹ摥ㄹ敦慥㜷搶㜶㙣攲㕣㐸㠰㘰敥ㄷ㐷㑢ㅣㄲ〸愵㘹昰㈵㌷挸挵㠹㥤㔰㐴改㌲摥㍤㘳㑦戲㌳敢捣捣㍡㌱㑤摢搰㔲㈸搰慡㠲㍥戴愱戴㐵愸㐲敤㑢㈵㜸㐰搰搲㠷㑡㤵㕡㔵㔰昵〱㔵敡㐳㈵㡡慡昶愱ㄷ㐵慡㔴㈱ㄵ㠹㝥摦㤹㤹摤搹㕤敦搸搹㐰㙢㉡㑦戲㝦捥㥣晢㌹晦昵晣晦㤹㈴㤴㐴㈲昱〱ㅥ晥换㈷挹挴㤵ㄳ昳慥㈷慣摣㘸戹㔴ㄲ〵捦㉣摢㙥㙥搸㜱昴昹〳愶敢㜵愰㐲㍡㙦愲摣㑤攵㕤昳ㄱ㤱挹捦〹挷㐵愵㔴㈲㤱挹㘸㉡捡搹〹㝦㝤攱㡢挶㔶摤㐹㠰挹搱㤱挳㔳㈷搰敢㠴㔷㜶挴收㠱攳㝥摢㥤㐳㐳戹愱摣戶㍢㠷敥挸㙤搹㍣㌰㕡㈹㜹ㄵ㐷散戴㐵挵㜳昴搲收㠱昱捡㔴挹㉣摣㈷收㈷换㈷㠵扤㔳㑣㙤戹㝤㑡摦戶㘳㘸摢昶敤挶㕤㜷敤攸挶搰㠹㐳愳㈳攳㡥㌰摣て愹捦ㄴ愷扣㙤㑣ㄴ㑣慥㑤〸挷戴愷㜳愳㈳昸ㅢ㤹㍦摥敥捣㑤捣〸攱㜱㘸攱〸扢㈰㕣つつ扢慣㘱搷慤㔸戳摣㍣捤摡㠳愵ㄶ㜴搷㑢㔹愳愲㔴搲慣戰搷㡣㜵ㄸ㝢㔷搲攷扢慤〹㘱扢愶㘷捥㤹摥㝣摡㥡㐴㐷挵ㅥ敢㤸㉢㡥敡昶戴㌸愴㕢㈲㘵敤慤㤸挵愴晦㈴㍡㙥ち扢㠸㑥㑣㉥㍦㌷散㕡愳㌳扡㈳㘷攴㜲㘳㘲敡敥㜱ち昵㜵慦㙢摤㉦愷㉥㐷㘰㥦㌷戴慥㠷㤲攳扡㔳慤㌹搸扡㘶戰昸晡ㄹ摣搶扡㝥㘴㡦敡摢摣搲扡㡤摣捡晡摡㑡㔷㐰摦㜲㐷戱ㄸ㉤㑤搰㐹㤰㈱㈰〲戵㉣㐱ㄷ㐱㌷㠰㤲晣㈷戸㈴摡㤰㐵㙡㕥㔷昳㔳㙡扥愰收㡢㙡㕥愸㜹㐳捤㑦慢昹ㄹ㌵㙦慡昹ㄳ㙡晥㈴敡㠴㑦愶戳㔳つ㥥て晥扤㐳昹搷摦㥦ㅡ㝥晡攸㕤攷摦㝢扤昷㤵敥㔵愸㜴㈴㤸搴㤸愳㥦〶愹搵愸㜸㙢㙥ぢ晦㉣捥ㄵ㘰ち㘳扢㜱愷㌱㌴㔴摣扥㐵扦㕤㑦㜱㔹㌱挸慦㈳㤴㍥搴敤㌶敥㌷敤㘲昹戴挴摤㤵㈳扡㉢㙡ㅢ㌷ㄸ㤴㡤㤴㉢㜶搱扤㘲攱挲〹㑦昷挴挶挶戲㕡㈷㑤捤㈶挰㔶挲㤵攳㙤㙡㙣㜶㕣㉦㔵挴昰ㄹ搳㉦扥慡愱搸ㅡ㜷捡㔳慤㑢昷㌸攲㔴戵戴㘹㐶挳㄰㙡㜳戲敦愶㔵晡㐵晥扣〶㐶㘷捡慥戰攵昴〶慤㜱戳㜰㔲㌸ㄳ㠲㈲㔱ㄴ攵㔲搷戲㈸攰晡挱挳㌶ㄶち㙥㉤㕥ㅢ捤㌵㜶㥦昱挰捣愲㠸昹捥ち挷㥢㥦搴愷㑡㘲㕤㕤ㄵ㝦㑣ㄴ㙣愸换摥㔳㉥㔴摣搱戲敤㌹攵㔲㝤挹㜰㜱㑥㠷愴㈹ㅥ㉣ㄷ㐵㌲㤹㤰㐲〱〲户愳㐳㔱ㄲ户戶收〵㠹㠸〸㡡挹挸㤷搷㤳㕤敥㈸㔶㠷㔵㤴〴㘹㔲扤㝥㤱捥㌸㕦㈹㘳㘲㌸㌰戲㈶敡てづ㝡昳㈲摤㔶㌱昷搱㔶㔶搵晥㘰昵扢攷㠴敤敤搳敤㘲㐹㌸戱摡㑦攱㡣戴㕥㠰搴〵〸㠴㤶扢㐷㔵愷㥣㔱收㔳愷捤愲㌷㤳㥥ㄱ收昴㡣㠷㍣㘸挸㑣㠶㕢摢昴㘸㤷㈱㑢㕢㑤搰て㤰捤㈶搲㙢㔸㈹㥤挵㤳㐸㔱㍡挵昰㜲㥤㈰㘷扢㍡㕥敥㌶昶㤸㈵㑦昸㐲戹搷〰㐶㝣慤㈶搱搷㐳ㄲ㜵昴㠲慦㌰搶ㄸ愳愰㔲摤戴扤昹ㅡ摦㌶㜱㠹㑦㐴㉢戲㘰搹挹〲㡡㠲㝡㜹㄰挳㙢㈰㥡〶㘹㄰㕦㌹㐲㐴㘴㠳ㄸ捤㡥㥥敢㠹㡣昵㘳㘴〴敡㐷㠹㤰戵户戴㤶ㄱ㈴昶㘶㈲㘵愳㤶晣戸㈲捤ㄶ戲攵㝤㘹戶ㄶㅢ愷慤㈳㔸㑦㜰㌹挱〶〰攵捦㤰㜰㤴㜲㐸搷㍦摡ㄵ㜸搷慥㈴戸ち〰昲㐹愳捣〹㐴ㄵ㙤愸愵搸㤱慣搷〳㍢㔹ㅡ挵扥㈸愲㘵㕣戵㌳㝢㉣㠹攸挰敡㕣ㅥ扡㌶㈹㜵散㡤慤㘹㌳扡ㅣ㔲㘴㑣搵攸㕡ㄷ愹ㅡ摤〸㔶㙤㔳㙦㕤㡤愶摡〰挱㌵〰扥㘲愱戱扢㌴㙢㥥收攴挷挲㈴昲つ愱㌶㤵㝢㐰挴㌴晦㘳〴㕣搳搱㘵挵㝥愶㈹㌸㘸㝣散敤攷捤慤㜹㍢㐰㝡㠳捥㕣搱㌹昴ㄵ㕤愴〵㝤㉤搸㑢昹㐳㑢晤㜲㍤㡡戵ㅢ〸㙥〴㘸搰㉦㍣㜹㕦慣㤷㐰㥡挴㔶〴㜳慢改㜱㤱ㄶ敥攴晣慣㤰摡愷摢㤸搴㥤㘹攱挱㝢戱㝦っ㜶㜰搹㜱㐴〹〷摡愲捣攰搹㘵㝤㝤愶扢挷㈹㕢捣㕦戱㡦摤㡦㠵㘲㐸㈶搵㡥㐴㠳㝤ㅣ㘳㘷㐶晣㑤ㄱ捡愱晥扤扤戵㤰㠸㌴慡㈷㉦戶㡢㍦㕢慥㐸㤲㌶㈴挹捤搸㔶敤ㄶ〰㐸〹攵㜷㉤㈵捡㈰慢㙤㤶搵敡慤㔵㝡昷㘲㑥㈶つ晥挳㈶㌹搲攵㍢㙢㐷攰㍢㜰㝢慣〹搳慡ち㡢㉥㙢㕣㌸〵昸ㄵ捣㤲挸晡㉥㔹㡡㥡ㄵ㔹昱㌱㤱ㄵㅤㅤ㑤㘷改ㄸ摦㥡愴㤳〶㈹ㄱ换敤戱㠵㌱攷昰ㅡ㔱搱〵㐹愱ㄲ攳ㄶ慡㑡㈰㔲ㅥ敢慥㠸㤸㌶㐴㑣づㅢ愷摤㐶戰㠵㘰〸㈰昵ㅢ㐸㥡愵㙥㍣㐳㘱㥤㜳㜴㘷攷昳㠹っ搱㈰摤㠳㙦戵ㄴ㔶摢㌸捣㜶㠲㍢〰ㅡ捣ㅦ㍡ㅦ㘳〸㔱愲㍣㐲㠸戴㤶㌴攳戸㈹㑥㤳〶㔶ㄹ〸㉡㡤㔶㕣慦㙣㌱慡搴㘳㡣㤵て㤵扤㌱搳㥤㐵ㄴ慡摦〸ㄲ昷捦〸ㅢ搴攵挰昶㘹挸㉢捦捥㡡愲㘶㑣㤴㉢㄰㙤晢挷㤶挳愱ㅣ敢㠳㉤㈹捦攵慡㠲愷扤戳㌱扡㔰攴㠹ㄸ扥㔶㝡㘲㤷攴昹收愱慦户戶愳㤳愶㔷ㄲ㕤㠶捦㜴㑣㘷っ散㈲愲〶挵㑥㘳㜲挶ㄱ㘲慣挷搸敢㤸挵㤲㘹ぢ㈲〳㌶㈶〳㜵〷挴㌴㈲〴攳㘵挶晦捡㜶㡦㌱改攸戶㍢慢㌳㤸㌸扦扡敥㑤㠶㐴㔲挶㠸㘹扢ㄸ㐶㘲㤱改㕥㘳㘲愶㝣ㅡ搱摡㡡㘵敦搵㘷摤㘵㠱ㄵㄲ扤晦㐸搴㈸慡愲慡㑡㐶捤戴㡢ㅦㅥ挸ㄳ㠹慤昸㈵〹㈴慥ㄲ㈹晡换㘳戴㌷敤晡㈰㍥㐳㍢㥤㜳敡㐶攴愸㥡搹ㄱ㉢㠵挹愹摡づ戶戹ぢ攰摥扤挷昶搷愲㜲㤷ㄴ慦㑥搱挳ㅦ㈳攳㈵㔹㔴㠳㈰昴捦慤昲㐹㠵㜹愴ㅣ㜰㈰㌰捥户㐶昲换ㅡ戲づ愹㙦㔵㉤戹〷㔱愴㙥攳㠰㍥㈵㑡㠸㐵㕢扡户捡㝦愱ㄹ㙢改㈵㌷㈸ㅢ㉤㕢㤶㑥搲㈲㔹㑥ㄴ㜴㔲昰㜰挵㉢ㅦ㌴㙤捤〰㤰昴ㄷ㘴改㘷㤰愵㥦㤱㔹摤挶㔱㠶〵㘵㥡㝤㤵愷㜵挷昴㘶㉣戳㤰攱ぢ㐳㜷换㠲㈶挱攴㤴扣攱ㄳ捡㡣㠱〶㙢晥ㄸ㑣㌶㌷〷㜴攷㈰㐷戹㜵㐴㍦㈸㔷㔵搲昸愳戴改㔸㠲㠰㤱㕥㔲敤㙥昴㤶㤲㌷㈳㈰㜲攴㜳㈱扣㝦㜱攱㡢挸昱晤㜲挴㝡っ㠹挰㈳ㄸㄱ昲㜴㙦愷㡤㘳戶改〱㝢挴搸ㅥ搳ㅢ㜳㠱㜲〰㈴攵昱㜶愳挴㙡愴搱㘰㔵㉢㕣摤㕣㔴愷㈶㌶㌵㤷㐷昵挶昵ぢㄴ晢ㅡ㈵愲㐸ㄶ慢㈴㌵换〲㜳㕣㑥慡㐶㤱㡡㍢搴㌶㑡㥣摢戴戶敦㤴㈲㤷愰㤸㈴捤㈴戴㥤㤲㔰㄰攴㈵㜵㐰㐷搱㕦ㅦ㑦ㅥ㤱㘸つ㙤㠰㉣昵㤴㥦搷ㄳ㠴〳昷攳捡㐹㔱㘴㠳㌷昰昷慡㈰㜹戸攲搵㤵攸㘷晡㠳㤲攱㔲改戰つ㉢愱愰㍢挵㘵挲搲㔸㥢慦㘱㈴㜷戶慢晤晤敤㡤㌰㘲挰㠶っ㠹挴昸㠱挱㠶㘰慥㐸㌴㤵搶㔹て户扡㥡㥤攱摢㐱愱摢ㄲ〳ㄳ㕥㜱㑣捣㐹㌳慣㘶挹昷换〶搵搳愲㤴愳㥡㌱㍣攵㐲愵㝢㤴攳㐱㑡㌲戸㘶ㅣ愵㕢ちㄷㄸ㈰㜶㠳搴㜸挱㐳㔸户摡〱㑦〶换〷㍢搸ㄱ㍦㙣㐲敢㡣ㄲ㌴ㅤ㐳戸昵㡢㈰敦戴㠹㔱〸㔲㐳㍥晦搸愵㍣㜷㥥捦㡦㜶㈵挲㐴挰㐴っ㜵挵㔸て㐰㙥㌴㉡㐹㉥敡て㠳攵扥㘴㤳㐲慢㍢捣愳㠹搱㐳㤳捦昱㜰㠳㠷㜱慣㕥戲㑤〹㜷摣㍣ㄳ摡戴㌴扦捡搸㙦ㄷ㑡㤵愲㤰慡㌸㤴搵㔲㈳㉦ぢ㝣挹敢㝦㍥㌷挵散㑢戰㈹晢㜱㤴攲㤲㠹愴昶敤㙥敤㔳㘸㉥㠵ㅣ晡昰㘵ㅢ㠳㡦㌱㙥㌹ㄹっ㙢扡愳㐰晢㜰㜵敤昲㠲扣㌸〷㤱搶㤴㐵㔹㜶〰㜷昱慡ㄱ㘴挹㙤㤱㙡〷捡〷捡戴搹㈳㔹晢㑣㍦㙢㔹攰〸敢昴〵㕥㍡つ㘳愴㑤敥㘰㈷㠹ぢ㐱㘴昷挲ㄷ攵㙢攲挲慥挰昸㔰ㄸ摦攵㈹㈸㠱㕤〵㈳搱攰㔶㙢㔶户挲挸㉦㉤㙦敤ㅥ〰㠵㈱㘰ㅡ戴愸改ㅢ㌸㈳㐸㉦㙥攰㌰ㄸㄹㄳㅤ㡤〶㔲ㄹ愳散㠷挳ㅥ㐸〳㌷昱㈰㍤㔹㠶ㄲ昲搶挸㑢㘱攱扤挴㐱ぢ㐷愰戲戳慥㈱㜳㕣昷㜰昵挵摥搰㤰㍤㕣㉣搲摣㠵㝦㙥㔹㘰ㄵ搷㌶㝣㜳㜴㑤挳㠵㉣戹㈶摡㜷搷㌵ㄴ〴ㄷ〵户㡥攵昶改㕥㘱㘶挲㥢昷㉦㙤戵㑢ㄲ愹㥦挱ㅦ戱攰攸戴㤹㤳㌶㉦愱捥㜱敦戳㈷敤昲㘹㕢捥㉢攵昲挶ㅦ慤㔸慤戳㤳㤳捣㈶㍥挰ㅦ昹愸㠹搴ㅢ攸㜱㈹搳㘶〷㌵〷〹晢㤱㡦㉦つ〶㤰㡥愱ㄳ搸敥搵ㅢ〳愴㤳㌵つ㜴㈲〵挱ち愱搸搳ㅦㅡ愱㈸㍦〵㕡㐹㉣晥㤱ㅣ㝢晥ㄲ㔸㕦昹〹㜲㠸㜰扣〷㘲㈴㜵つ㔲㌱愸㤳㠲㍣戸摥挱换㈰晦㍦㔸ち戹㜹㐱㜶晡㉦㌰戳昲㝡㈳㡡㌶ㄱ㐵慦㌵愳㠸㠱搸㡢ち㜹㜳昶㉢㐷捤㡦晣㕡敦晦昰愸㜹㉦㌰捣㐷㕡㘳〸慡㌱ㄸ㕦㌵〶㍡㥡㡣㠱ㅢ㔰㉣㡤㠱晢搸㠶昱㝡摦ㄸ〸扣ㅤ〷㤱戱戸㌱挰㈸㕥㡣挹ㄷ〹慡㐶ㅣㄸ㍣㙢慤戳攸〹摢㠷敢戵挲㐵攴ㅥ敡挹ㅤ㠵敦㘹㝤㜳昶戸敥攸搶〶㤹扦搷ㄱ㔰㕢捥㈴敥㙢换㈶㙣戱㜱挱ㄲ搹㘸〱慦㐴攸㑦㕦昱㥣㉣敤㤶㍡㌰攵㍦扥愳㕥挹㈸改㑢昰㠹㈸㍣㈱㈴㍥户收挷㝢晦昸挸㘳扢㜸㉦㉤愰搵ㄴ〳挱敤〴攷㘹㌹㈰㝣ㅢ戹ㄲ戲㤶㥦摦ㅣ挴㠷㐸收㙣㐹㡣攸㡥戴㜷㕣捤ち㤳㍥攱㐵〸搳㈷扥攵㘰㑣攲㠶㠳㙦㑣收ㅡㅣ㥢昲昳㈵改っ捣㐵㈶㉥扤㜷㘱㠰㔰㘹愹戲摡戴㉢㔳慦㐰改㕣攴㐴敡敤㐱㥥㉦昹㈸捡换㡤㕡㙤㍢戵㥡㌴ㄳ㤵㐱搴〸愵ㄴ㈲つ愴㤰攸㤱㠵愱㝦㈹愵挶㤱㐸攵〰㘲㘲㘸㡤挱㕣㥥晣㔷㠴㠰愸㕥敦㙢昳㔳ㄵ散㈲戰ㄸ㝡摤摢㍤扢搲敡っ㔵ㄳ㠳戲昲昴㜱〴〹㜹㑣㘱〶愳戴㌲昷㈸ㄲ攱㤳ㅡ㐲㙡挹㡥㈷づ搲㘳昹㈱㌶㥦戱㔳ㄶ扤㙡㔹㙢户㕤挱ㅤて攸㤹戴㔴ㄸ昶㙡㘶攳攸㈹愳㜱㝥搵慣㥦㐵搸敢㈷慢㡤扡㠲㈲攸㉣㝢〳捥㥦〸昳昱㝢㈰㤶て搶扡㕥摢㔸㐲ㅤ㘷㜷㘲㠱晣挱晥摡ㄴ挳搸ㄸ㤵ㅣ〳〹扢愴㕡ㄹ晦ㄲ昸〴㥡㐸㝢㕥搱㙡㐹㡥愵㈸㡣㐶㠷㥣搵愱㌶改㝦挶愹㈵㘷㑤戲㌶〳搶㜵晡晦㌸㌲ㄶ搵晦ち愳㙣ㄲ㘵昷〷〹扥愴ㄸ㈹㔹㌴㌸挳ㅤ㠱てㅢ㘱ㅡ㜹〴搶㘴㤲挱㙤㍦㌵㠱㑦㔴晤㘲㈹挱攱攱㑡㌶㕥㠲愸戶愵㙤摢搵㔲〰㌲ち㤴晡㈱㐴㔰换昶㥣㜴昳㌹㌶晤〰戲搷ㅣ㌴ぢ㑥搹㉤ㅢ摥挰〴挲扢〳晣挲捣㠰捤㌳慣扣搴㈸搴慥挳㑥㜴㍦㠸㌶㠷づ㐳㘰ㅦㄲ摥㠷ㄵ㜵㘴っ㘱㘹㌱ぢ㝥㙤搴ㄷ〹㈴㔱㍢戸㤷ㄹ㐷㉡㝡〹ㅦ愸ㅥ㠶㔷搳㘳搶戲㔰㜶扥㙦戹昱㉥〶户づ户戱敥㠳攷㐷㤴㜲〸㠳挹㈵㍣昸㄰昷戵㜱て敡敢〶㙢㜳㔹戳㍤敦㕡㌶昵〳攰㜴㘹愳搴㤳っ挷攴㜷挷㔹敤㈱㐲挴㜹攸ㅤ㕤扡㉢㤶扤昵㠳捥㠳捦戶改昲ㅡ㉣挱㔱戶㠴㌸昷㘷搱㔴戹㠷〰㍦㉤ㅦ㈴昸愲搰㥦㜷㌷ㄳ㉦㘰㔹㘴〰愴ㄳ㘹ㅤ愰㌵㔵㝦㙦㈱慡㔶㜸戴㈰ㄵ㘶㤵敦愲㥣扢攴慦戶挸㍣ㅣ㌵攴ㄱ〲㘹㉤㉡戹ㄵㅥ㈱攴昸捦愱㐱㜵晣㘹攴戶ㅥ晦摢ぢ㡥㑦攵㉦搷ㄷ敤扦㉦㔴ㅥ摡〹づ㝤㤲愰㐴㘰〱昴㠵㌵㝢㈹ㄶ㈹㙢搲㝥㄰攱昵㕤㐸攳昹㙤昰敦㍢扢摥㝡㤳捦摦㜶㈹㔲㄰愲愸㝥ㄵㄴ㠴㜲ㄵ捦㐴㔷㌱㡢摣搶慢昸挶㐲慢攸愳㡣攴㑣㌴〷愰愷㐳㈱慤挸㔵戹㐸㜰㐳昹㔳㈴㐲㤱愸㥢㐵ㅦㄱ㉢摢㔶㤰㐰㕢敥扣㙣㍢㠷㐴搸㌶挵㡤㠸昹㠴㐷摡㐷扣昲㐸慦㑤摡㜷扢愶㝤慤㤸戱〲㝦敢戲㤰つ㔸ㄲ扦㠹㙤㈹搲搳㙤挶昲㤵㈷㐳挴散摢ㄷ㝥ㅦ愵〶搱㈵㄰㠶㙦㤱㤲㤰戸㤱捡㔷挳捡㉦扦㕡㜳㡥愲〰て愸挷慦㑣㠲㤳㤵㥦〸㉢㙦挵户㔷戲㑥㠲㜷〵昸扣ㄳ㔶㈶㘱捡捡㡦㠷㤵晦扡㜵㐳戵㜲㐸㠷㝥捦㈹ㄲ㐹㡣慤㉢慤晦挸㜷搸㍣㔴愷っ敡捦㉥挳捦愶攴㤴㐱攲㤲搴愰摤戸昶攱攰㑢攸〳戸挵㠴换ㅥ㄰戲晥㝦㠸戰ㅦ户㥢挶㜴㑦挷㠷捥㜳〸㉢㍢㥡㝣㘳攳戴㜱搸㐱㐶愷戱摦挵㤹慡戸慣㐸〴收㐰搲摦摦㐵摣敦㌱愶㘳㙤㍦挲㜰㤸捡摢㈲敤㈹てㄹ㐲㐹㉡㡦㠵㤸㑤㥣慢搱㡣昶㜹㈰〷㘲ㄲ㤰〹敤ぢ㠰㝥挸㘵つ㌳晡挸晦㤲戹捦㈱愱㍤㑡昰㈵㠰慣㐲㘶㈷ㅤ愴扦っ搰ㅢ晥㜷ㄴ〳㜳搲㕦愲㉡㘷挳挱愲㘴愴㝤㠵つㅥ〷攸㠰愳㔶〹㠸㌰慢㍤㠱㥣攸愰ㄴㅣ㜲搰㈷㔹昰ㄴ挱搳〰搹ㄴ㈷扢攴㕤攳㥡摡搴㕣㕦㐳㔳㠵㕢㈱攵搸搷㠳〴㕦㔲攷〰敥㙥㙤㉢昳㈸ㅣ㝥扥㡦愰㘶摤㜷晡扢昱摤晤㍣ㄷ摤㠱晦㜶㈴㈵つ晢愴晡㠹昶晡㈲ㄳ搰㈶㤷㍦〷㥢㝤〹晤㜰㕤㌵ㅢ㤳㍤㝥ㄲ扦㡣㥡㔶ㅥ挵扦攷昰㔳㑥㘱〴㡥㐲㑤㥢㠱㥢㠵㌴㈰ぢ㘶㠳〲慡㉣敤ㄹ〰㠵㌸㈶㥥戴㘷昹㐶搴戲㝦敤㥢㐱㠲㉦ち昱㝡㡥㠹㔲搰㍣ㅣ㤰戸㤶〵㈷ㅢ〶㈴晥㘵挱㠹攸㠰摦㐲慥㈲㤱㠵㐴扤㔶㈲搲㤲捣㍤て搰搳搱换戹㔱换愹㘷㤴挲挳挵㠷ㅦ㝥慦㌷㌹戰㌱昹改㝢扡捦扦昳敢㜷㥦㝤晢㌳㍢晦昲晥昳捦扦晤愷㘷摦㝣晦㡤愹㥤扦㝣昱挵㕦摣晢晤㌷摦㕤㙤扣愰扥晡摥㠱ㄷ捥づ㥤㍣㝢捡㌸㜶敢摥戳て㥣㌸㌲㌴㝥搹㘰㐷㐷㘷攷㑤晤扦扡晣收扥㜳愷㕥㔳㝥晥晢昵戶㈲㤷换〱㡦〲㠴㑦ㅦ㤷㉤愷昱ㅤ㈴㌰つ捥昸㈳㥤〶㤷㝢づ㍦愵ㄸ㙣搴〸㕥㌲昰㘹㜰〲戲愰㔰㕦搰昵ㅦ㈲〶戳㕤</t>
  </si>
  <si>
    <t>Decisioneering:7.0.0.0</t>
  </si>
  <si>
    <t>4495611d-eca1-4fdd-9417-6ff96ddb9d04</t>
  </si>
  <si>
    <t>CB_Block_7.0.0.0:1</t>
  </si>
  <si>
    <t>OL % of Sales (4)</t>
  </si>
  <si>
    <t>DA % of PP&amp;E</t>
  </si>
  <si>
    <t>GA % of Sales</t>
  </si>
  <si>
    <t>MC % of Sales</t>
  </si>
  <si>
    <t>RE % of Sales</t>
  </si>
  <si>
    <t>GO % of Sales</t>
  </si>
  <si>
    <t>LE % of Sales</t>
  </si>
  <si>
    <t>IE % of Total Financing Debt</t>
  </si>
  <si>
    <t>II % of Cash and Equivalents</t>
  </si>
  <si>
    <t>EI % of Equity Method Investments</t>
  </si>
  <si>
    <t>CE % of Sales (2) and PLUG</t>
  </si>
  <si>
    <t>AR % of Sales</t>
  </si>
  <si>
    <t>PE % of Sales</t>
  </si>
  <si>
    <t>AH Fixed (3) % of Sales</t>
  </si>
  <si>
    <t>BLI % of Land</t>
  </si>
  <si>
    <t>FE % of Buildings and Improvements</t>
  </si>
  <si>
    <t>CI Fixed % of Sales</t>
  </si>
  <si>
    <t>AD % of Fixed Assets</t>
  </si>
  <si>
    <t>CA % of Sales</t>
  </si>
  <si>
    <t>CIT % of Sales</t>
  </si>
  <si>
    <t>AA % of Brand Assets</t>
  </si>
  <si>
    <t>EM % of Sales</t>
  </si>
  <si>
    <t>NR % of Sales</t>
  </si>
  <si>
    <t>DT % of Sales</t>
  </si>
  <si>
    <t>OLA % of Sales</t>
  </si>
  <si>
    <t>ONA % of Sales</t>
  </si>
  <si>
    <t>CPO % of Long-term Debt</t>
  </si>
  <si>
    <t>AP Fixed (5)</t>
  </si>
  <si>
    <t>APB % of Sales</t>
  </si>
  <si>
    <t>LGC % of Sales</t>
  </si>
  <si>
    <t>AE % of Sales</t>
  </si>
  <si>
    <t>LGN % of Sales</t>
  </si>
  <si>
    <t>DTL % of Tax expense</t>
  </si>
  <si>
    <t>DR % of Sales</t>
  </si>
  <si>
    <t>OLL % of Sales</t>
  </si>
  <si>
    <t>ONL % of Sales</t>
  </si>
  <si>
    <t>ASU Fixed</t>
  </si>
  <si>
    <t>OCI % of Sales</t>
  </si>
  <si>
    <t>D % of Net Income</t>
  </si>
  <si>
    <t>SBC % of Sales</t>
  </si>
  <si>
    <t>PTS % of Sales (9)</t>
  </si>
  <si>
    <t>OLT % of Sales</t>
  </si>
  <si>
    <t>DAT % of PP&amp;E</t>
  </si>
  <si>
    <t>GAT % of Sales</t>
  </si>
  <si>
    <t>MCT % of Sales</t>
  </si>
  <si>
    <t>RET % of Sales</t>
  </si>
  <si>
    <t>GOT % of Sales</t>
  </si>
  <si>
    <t>LET % of Sales</t>
  </si>
  <si>
    <t>IET % of Total Financing Debt</t>
  </si>
  <si>
    <t>IIT % of Cash and Equivalents</t>
  </si>
  <si>
    <t>EIT % of Buildings and Leasehold Improvements</t>
  </si>
  <si>
    <t>T Tax Rate</t>
  </si>
  <si>
    <t>㜸〱敤㕣㕢㙣ㅣ搵ㄹ摥㤹扤㜸㘷㙤挷㈶づ㠴㠴㥢戹㕦ㅣ㉤㜱㐸戸㤴㠶攰ぢ戹㠰㤳㤸搸〹㐵㤴㉥攳摤㌳昶㈴㍢戳㘶㘶搶㠹㈹㉤愱愵㔰㝡㔱〵㐸㙤愱戴㐵愸愲敤㑢㈵晡㠰愰愵て㤵㉡戵慡愰敡〳慡摡㠷㔶㐰慢昶愱㔵ㄵ愹慡挴〳ㄲ晤扥㌳㌳扢戳扢摥戱戳㠱搶愹㍣挹晥㌹㜳敥攷晣搷昳晦㘷㤲㔰ㄲ㠹挴〷㜸昸㉦㥦ㄴㄳㄷ㑥㉤扡㥥戰昲㘳㤵㜲㔹ㄴ㍤戳㘲扢昹ㄱ挷搱ㄷ㈷㑣搷㑢愲㐲愶㘰愲摣㑤ㄷ㕣昳㈱㤱㉤㉣〸挷㐵愵㜴㈲㤱捤㙡㉡捡搹〹㝦晤攱㡢挶㔶㍤㈹㠰改戱搱㠳㌳㐷搱敢㤴㔷㜱挴㤶挱㈳㝥摢㥤挳挳昹攱晣昶㥢㠶㙦捣㙦摤㌲㌸㔶㉤㝢㔵㐷散戴㐵搵㜳昴昲㤶挱挹敡㑣搹㉣摥㈵ㄶ愷㉢挷㠴扤㔳捣㙣扤㘱㐶摦㝥昳昰昶ㅤ㍢㡣㕢㙥戹戹〷㐳㈷づ㡣㡤㑥㍡挲㜰㍦愴㍥搳㥣昲昶㜱㔱㌴戹㌶㈱ㅣ搳㥥捤㡦㡤攲㙦㘴晥㜸扢㈹㍦㌵㈷㠴挷愱㠵㈳散愲㜰㌵㌴散戶㐶㕣户㙡捤㜳昳㌴㙢㌷㤶㕡搴㕤㉦㙤㡤㠹㜲㔹戳挲㕥戳搶㐱散㕤㔹㕦散戱愶㠴敤㥡㥥戹㘰㝡㡢ㄹ㙢ㅡㅤ㤵㝡慤挳慥㌸愴摢戳攲㠰㙥㠹戴戵愷㙡㤶㔲晥㤳㐸㕥ㅤ㜶ㄱ㥤㤸㕣㝥㝥挴戵挶收㜴㐷捥挸攵挶挴搴摤敤ㄴㅢ敢㕥摥扥㕦㑥㕤㡥挰㍥慦㙣㕦て㈵㐷㜴愷㔶㜳愸㝤捤㘰昱㡤㌳戸扥㝤晤挸ㅥ㌵戶戹戶㝤ㅢ戹㤵㡤戵㤵敥㠰扥攵㡥㘲㌱㕡㠶愰㡢㈰㑢㐰〴㙡㌹㠲㙥㠲ㅥ〰㈵昵㉦㜰㐹戴㈱㡢搴㠲慥ㄶ㘶搴㐲㔱㉤㤴搴㠲㔰ぢ㠶㕡㤸㔵ぢ㜳㙡挱㔴ぢ㐷搵挲㌱搴〹㥦㙣㔷㤷ㅡ㍣户晤改晣㘳摦㍦昵敦㠹㘷扥晥晢㡤敦晣戹㌷搹戳づ㤵敥づ㈶㌵敥攸挷㐱㙡㜵㉡摥㤶摦捡㍦换㜳〵㤸挲搸㘱摣㘴って㤷㜶㙣搵㙦搰搳㕣㔶っ昲ㅢ〸愵ㅦ㜵㝢㡣㝢㑣扢㔴㌹㉥㜱㜷攱愸敥㡡晡挶つ〵㘵愳㤵慡㕤㜲㉦㔸扡㜰捡搳㍤戱戹戹慣摥㐹㑢戳㈹戰㤵㜰攵㜸ㄷ㌷㌷㍢愲㤷慢㘲攴㠴改ㄷ㕦搴㔴㙣㑤㍡㤵㤹昶愵扢ㅤ昱㘰慤戴㘵㐶㈳㄰㙡ぢ戲敦㤶㔵晡㐵晥扣〶挷收㉡慥戰攵昴㠶慣㐹戳㜸㑣㌸㔳㠲㈲㔱㤴攴㔲捦㘵㔱挰昵㐳〷㙤㉣ㄴ摣㕡扡㉣㥡㙢摣㜱挲〳㌳㡢ㄲ收㍢㉦ㅣ㙦㜱㕡㥦㈹㡢昳ㅡ慡昸㘳愲㘰㔳㐳昶敥㑡戱敡㡥㔵㙣捦愹㤴ㅢ㑢㐶㑡ぢ㍡㈴㑤㘹㝦愵㈴㔲愹㠴ㄴち㄰戸挹愴愲㈴慥㙢捦ぢㄲㄱㄱㄴ㤳㤱捦㙦㈴扢晣㈱慣づ慢㈸ぢ搲愴㝡挵㌲㥤㜱扥㔲挶挴㜰㘰㘴㑤搴ㅦㅣ昴㥡㘵扡慤㘱敥愳慤慣慡〳挱敡敦㔸㄰戶户㔷户㑢㘵攱挴㙡㍦㠵㌳搲晡〰搲愷㈰㄰摡敥ㅥ㔵㥤㜲㐲㔹㑣ㅦ㌷㑢摥㕣㘶㑥㤸戳㜳ㅥ昲愰㈱戳㔹㙥㙤换愳㥤㠳㉣㙤㍤挱〰㐰㉥㤷挸㙣㘰愵㑣づ㑦㈲㑤改ㄴ挳换つ㠲㥣敤ㅡ㜸戹挷搸㙤㤶㍤攱ぢ攵㍥〳ㄸ昱戵㥡㐴㕦㉦㐹搴搱㡢扥挲搸㘰㡣㠱㑡㜵搳昶ㄶ敢㝣摢挲㈵㍥ㄱ慤挹㠲㔵㈷ぢ㈸ちㅡ攵㐱っ慦㠱㘸㥡愴㐱㝣攵〸ㄱ㤱つ㘲㌴㍢㝡㙥㈴㌲搶㡦㤱ㄱ愸ㅦ㈵㐲搶摥摡㕥㐶㤰搸㕢㠹㤴㡤摡昲攳㥡㌴㕢捡㤶昷愵搹戹搸㌸敤㍣㠲㡤〴攷ㄳ㙣〲㔰晥ち〹㐷㈹㠷㜴攳愳㕤㠰㜷敤㐲㠲㡢〰㈰㥦㌴捡㥣㐰㔴搱㠶㕡㠹ㅤ挹㝡扤戰㤳愵㔱散㡢㈲㕡挶㌵㍢戳搷㤲㠸づ慣捥搵愱㙢㔳㔲挷㕥搵㥥㌶愳换㈱㐵挶㔴㡤慥㜵㤹慡搱㡤㘰搵づ昵搶㈵㘸慡つㄲ㕣ち攰㉢ㄶㅡ扢㉢戳收㘹㑥㥥ㄵ㈶㤱㙦〸㜵愸摣〳㈲愶昹ㅦ㈳攰㕡㡥㉥㙢昶㌳㑤挱㈱攳慣户㥦户戴攷敤〰改㑤㍡㜳㑤攷搰㔷㜴㥡ㄶ昴㘵㘰㉦攵㡦㙤昵换ㄵ㈸搶慥㈴戸ち愰㐹扦昰攴㝤扡㕥〲㘹ㄲ㕢ㄱ捣慤愷挷㐵㕡戸搳㡢昳㐲㙡㥦ㅥ㘳㕡㜷㘶㠵〷敦挵扥㜱搸挱ㄵ挷ㄱ㘵ㅣ㘸㑢㌲㠳㘷㤷㡤㡤㤹敥㙥愷㘲㌱㝦捤㍥㜶捦ち挵㤰㑡愹挹㐴㤳㝤ㅣ㘳㘷㐶晣㑤ㄱ捡愱晥扤愱扤㤰㠸㌴㙡㈴㉦戶㡢㍦㕢慥㐹㤲づ㈴挹㌵搸㔶敤㕡〰㐸〹攵㜷㙤㈵捡㄰慢㙤㤱搵ㅡ慤㔵㝡昷㘲㑥㈶㑤晥挳ㄶ㌹搲敤㍢㙢㐷攱㍢㜰㝢慤㈹搳慡〹㡢㙥㙢㔲㌸㐵昸ㄵ捣戲挸昹㉥㔹㡡㥡㌵㔹㜱㤶挸㡡㘴戲攵㉣ㅤ攳㕢㤳㜴搲㈴㈵㘲戹㍤戶㌰收ㅣ㕥㈷㉡扡㈰㈹㔴㘲摣㐲㌵〹㐴捡㘳摤㌵ㄱ搳㠱㠸挹㘳攳戴敢〹戶ㄲっ〳愴㝦〳㐹戳搲㡤㘷㈸慣㙢㠱敥散㐲㈱㤱㈵ㅡ愴㝢昰捤戶挲㙡㍢㠷搹㐱㜰㈳㐰㤳昹㐳攷㘳っ㈱㑡㤴㐷〸㤱搶㤲㘶ㅣ㌱挵㜱搲挰㍡〳㐱愵戱慡敢㔵㉣㐶㤵㝡㡤昱捡㠱㡡㌷㙥扡昳㠸㐲つㄸ㐱攲㥥㌹㘱㠳扡ㅣ搸㍥㑤㜹㤵昹㜹㔱搲㡣愹㑡ㄵ愲㙤摦昸㙡㌸㤴㘳㝤戰㈵攵戹㕣㔵昰㜴㜶㌶㐶ㄷ㡡㍣ㄱ挳搷㑡㑦散㡡㍣摦㍣昴昵搵㜷㜴摡昴捡愲摢昰㤹㡥改慣㠱㕤㐴搴愰搴㘵㑣捦㌹㐲㡣昷ㅡ㝢ㅣ戳㔴㌶㙤㐱㘴挰挶㘴愰㙥㐲捣㈲㐲㌰㔹㘱晣慦㘲昷ㅡ搳㡥㙥扢昳㍡㠳㠹㡢敢ㅢ摥㘴㐸㈴㙤㡣㥡戶㡢㘱㈴ㄶ㤹敥㌳愶收㉡挷ㄱ慤慤㕡昶ㅥ㝤摥㕤ㄵ㔸㈱搱晢㡦㐴㡤愲㉡慡慡㘴搵㙣愷昸攱㠱㍣㤱搸㠶㕦㡡㐰攲㉡㤱愶扦㍣㐶㝢搳慥て攲㌳戴搳㌹愷ㅥ㐴㡥㙡㤹挹㔸㈹㑣㑥搵㙥㘶㥢㕢〰敥摣㜳㜸㕦㍤㉡㜷㐶昱敡㌴㍤晣㌱㌲㕥㤲㐵㉤〸㐲晦摣㍡㥦㔴㤸㐷捡〱〷〲攳㝣㙢㈶扦㥣㈱敢㤰晡搶搵㤳扢ㄱ㐵敡㌱㈶昴ㄹ㔱㐶㉣摡搲扤㜵晥ぢ捤㔸㑢㉦扢㐱搹㔸挵戲㜴㤲ㄶ挹㜲慡愸㤳㠲㐷慡㕥㘵扦㘹㙢〶㠰愴扦㈰㑢㍦㠱㉣晤㠴捣敡㌱づ㌱㉣㈸搳散慢㌲慢㍢愶㌷㘷㤹挵㉣㕦ㄸ扡㕢ㄵ㌴〹㈶愷攴つ㥦㔰㘶っ㌶㔹昳㠷㘱戲戹㜹愰㍢て㌹捡慤㈳晡㐱戹慡㤲挱ㅦ愵㐳挷ㄲ〴㡣昴㤲㙡户愲户戴扣ㄹ〱㤱㈳㥦㔳攱晤㡢㔳㡦㈰挷昷换ㄱ敢㌱㈴〲㡦㘰㐴挸搳扤㥤㌱づ摢愶〷散ㄱ㘳扢㑤㙦摣〵捡〱㤰㤴挷摢捤ㄲ慢㤱㐶㐳㌵慤㜰㐹㙢㔱㠳㥡戸戸戵㍣慡㌷慥㔸愲搸搷㈸ㄱ㐵戲㕣㈵愹㔹㤶㤸攳㙡㔲㌵㡡㔴摣愱戶㔱攲摣愶昵㝤愷ㄴ㌹〳挵㈴㘹㈶愱敤㤴㠴㠲㈰㉦愹〳㍡㡡晥晡㜸昲㠸㐴㙢㘸〳攴愸愷晣扣摥㈰ㅣ戸て㔷㑥㑡㈲ㄷ扣㠱扦搷〵挹㠳㔵慦愱㐴㍦㌱㄰㤴㡣㤴换〷㙤㔸〹㐵摤㈹慤ㄲ㤶挶摡㝣つ㈳戹戳㔳敤敦㙦㙦㠴ㄱ〳㌶㘴㐸㈴挶てっ㌶〴㜳㐵愲愹戴捥㝡戹搵戵散㉣摦昶ぢ摤㤶ㄸ㤸昲㑡攳㘲㐱㥡㘱㜵㑢㝥㐰㌶愸㥤ㄶ愵ㅣ搵㡣㤱ㄹㄷ㉡摤愳ㅣて㔲㤲挱㌵攳㄰摤㔲戸挰〰戱ㅢ愴㈶㡢ㅥ挲扡戵づ㜸㌲㔸㍤搸挱㡥昸㘱ㄳ㕡㘷㤴愰㤹ㄸ挲㙤㕣〴㜹愷㐳㡣㐲㤰ㅡ昲昹攷㉥攵戹㘷昹晣㜰㔷㈲㑣〴㑣挴㔰㔷㡣昵〰攴㐶愳㤲攴愲㠱㌰㔸敥㑢㌶㈹戴㝡挲㍣㥡ㄸ扤㌴昹ㅣて㌷㜸ㄸ挷敡㈳摢㤴㜱挷捤㌳愱㑤换㡢敢㡣㝤㜶戱㕣㉤〹愹㡡㐳㔹㉤㌵昲慡挰㤷扣晥攷㜳㔳捣扥〴㥢戲て㐷㈹㉥㤹㐸敡摣敥搶㙥㐳㜳㈹攴搰㠷㉦摢ㄸ㝣㡣㜱换挹㘰㔸换ㅤ〵摡㠷敢敢㤷ㄷ攴挵㌹㠸戴㤶㉣捡戲〹摣挵慢㐵㤰㈵户㐵慡㑤㔴㈶㉡戴搹㈳㔹㝢㑤㍦㙢㔵攰〸敢昴〵㕥㈶〳㘳愴㐳敥㘰㈷㠹㔳㐱㘴昷搴㈳昲㌵㜱㙡㔷㘰㝣㈸㡣敦昲ㄴ㤴挰慥㠲㤱㘸㜰慢㜵慢㕢㘱攴㤷㤶户㜶㍢㠰挲㄰㌰つ㕡搴昴つ㥣㔱愴㤷㌷㜰ㄸ㡣㡣㠹㡥㐶〳愹㡣㔱づ挰㘱て愴㠱㥢㜸㤰㥥慥㐰〹㜹ㅢ攴愵戰昰㕥攲㤰㠵㈳㔰挵㌹慦㈹㜳㔲昷㜰昵挵摥搴㤴㍤㔲㉡搱摣㠵㝦㙥㔵㘰ㄵ搷㌶㝣㜳㜴㐳搳㠵㉣戹㈶摡㜷㤷㌷ㄵ〴ㄷ〵户㡤攷昷敡㕥㜱㙥捡㕢昴㉦㙤㜵㑡ㄲ改㥦挱ㅦ戱攴攸戴㤹㔳㌶㉦愱㉥㜰敦㜳挷散捡㜱㕢捥㉢敤昲挶ㅦ慤㔸慤慢㡢㤳捣㈵㍥挰ㅦ昹愸㠹昴敢攸㜱㈵搳㘶〷㜵〷〹晢㤱㡦㉦つ〶㤱㡥愱ㄳ搸敥戵ㅢ〳愴㤳つ㑤㜴㈲〵挱ㅡ愱搸戳ㅦㅡ愱㈸㍦〵㕡㐹㉣晥㤱ㅣ㝢晥ㄲ㔸㕦昹〹㜲㠸㜰扣〷㘲㈴㝤㈹㔲㌱愸㤳㠲㍣戸摥挱换㈰晦㍦㔸ち戹㜹㐹㜶晡㉦㌰戳昲㕡㌳㡡㉥㈶㡡㕥㙤㐵ㄱ〳戱愷ㄵ昲收散搷㡥㥡ㅦ昹戵摥晦攱㔱昳㑥㘰㤸㡦戴挶㄰㔴㘳㌰扥㘶っ㈴㕢㡣㠱㉢㔱㉣㡤㠱扢搸㠶昱㝡摦ㄸ〸扣ㅤ晢㤱戱扣㌱挰㈸㕥㡣挹ㄷ〹慡㐶ㅣㄸ㍣㙢㥤㘷搱ㄳ戶ㄷ搷㙢㠵㡢挸㍤搴㤳㍢〶摦搳挶搶散㐹摤搱慤㑤㌲㝦㡦㈳愰戶㥣㘹摣搷㤶㑤搸㘲昳㤲㈵戲搱ㄲ㕥㠹搰㥦扥收㌹㔹搹㉤㜵㘰捡㝦㝣㐷扤㤲㔵㌲㘷攰ㄳ㔱㜸㐲㐸㝣㝡挳㡦昶扣昳搰㘳扢㜸㉦㉤愰搵㌴〳挱㥤〴攷㘹㌹㈰㝣ㅢ戹ㄲ㜲㉥㍦扦搹㡦て㤱捣昹戲ㄸ搵ㅤ㘹敦戸㥡ㄵ㈶㝤挲㡢㄰愶㑦㝣慢挱㤸挴つ〷摦㤸捣㌷㌹㌶攵攷㑢搲ㄹ㤸㡦㑣㕣㝡敦挲〰愱搲㔶㘵㜵㘸㔷愶㝦っ愵㜳㥡ㄳ㘹戴〷㜹扥攴愳㈸㉦㌷㙢戵ㅤ搴㙡搲㑣㔴㠶㔰㈳㤴㔲㠸㌴㤰㐲愲㐷ㄶ㠶晥愵㤴㥡㐴㈲㥤〷㠸㠹愱㌵〷㜳㜹昲㕦ㄳ〲愲㜶扤慦挳㑦㔵戰㡢挰㘲攸㜵敦昴散㑡慢㌳㔴㑤っ捡捡搳挷摤㐸挸㘳ち㌳ㄸ愵㤵戹㠷㤰〸㥦昴㌰㔲㉢㜶㍣㜱㤰㕥换て戱昹㡣㥤戶攸㔵换㔹㜷搸㔵摣昱㠰㥥挹㐸㠵㘱慦㘷㌶㡥㥥㌲ㅡ攷㔷捤昹㔹㠴㝤㝥戲搶愸㍢㈸㠲捥戲㌷攱晣㠹㌰ㅦ扦〷㘲昹㔰扤敢㜳㥢㑢愸攳散㉥㉣㤰㍦搸㕦ㄷ挷㌰㌶㐶㈵挷㐰挲慥愸㔶搶扦〴㍥㠵㈶搲㥥㔷戴㝡㤲㘳㈹ち愳搱㈱㘷㈵搵ㄶ晤捦㌸戵攴慣㘹搶㘶挰扡㐱晦ㅦ㐱挶戲晡㕦㘱㤴㑤愲散㥥㈰挱㤷㌴㈳㈵换〶㘷戸㈳昰㘱㈳㑣㈳㡦挰㥡㑣㌲戸敤愷愶昰㠹慡㕦㉣㈵㌸㍣㕣愹收㑢㄰戵戶戴㙤扢摢ち㐰㐶㠱搲㍦㠰〸㙡摢㥥㤳㙥㍤挷㘶敥㐵昶㠶晤㘶搱愹戸ㄵ挳ㅢ㥣㐲㜸㜷㤰㕦㤸ㄹ戰㜹㐶㤴㤷㥡㠵摡攵搸㠹㥥晢搰收挰㐱〸散〳挲晢戰愲㡥㡣㈱慣㉣㘶挱慦㡤晡㈳㠱㈴㙡〷昷ㅣ攳敥慡㕥挶〷慡〷攱搵昴㤸戵㉡㤴㥤敦㕢㙥扥㡢挱慤挳㙤慣扢攰昹ㄱ攵㍣挲㘰㜲〹昷摤捦㝤㙤摥㠳挶扡挱摡㕣搶散捣扢㤶㑢㝦て㌸㕤搹㈸㡤㈴挳㌱昹摤㜱㑥扢㥦㄰㜱ㅥ㝡㐷㔷敥㡡㘵㙦〳愰昳攰戳㙤扡扣㠶捡㜰㤴慤㈰捥晤㈹㌴㔵㙥㈷挰㑦㉢〴〹扥㈸昴攷摤捡挴ぢ㔸ㄶㄹ〰改㐴㐶〷㘸㑦搵摦㔹㡡慡ㄵㅥ㉤㐸㠵㌹攵摢㈸攷㉥昹慢㉤㌱て㐷つ㜹㠴㐰㕡㡢㑡㙥㠵㐷〸㌹晥㜳㘸㔰ㅢ㝦ㄶ戹敤挷晦收㤲攳㔳昹换昵㐵晢敦て㤵㠷㜶㤴㐳ㅦ㈳㈸ㄳ㔸〰晤㘱捤㍥㡡㐵捡㥡㡣ㅦ㐴㜸㙤ㄷ搲㜸㝥ㅢ晣晢昶慥㌷摦攰昳㡦㕤㡡ㄴ㠴㈸㙡㕣〵〵愱㕣挵㔳搱㔵捣㈳户晤㉡扥戶搴㉡晡㈹㈳㌹ㄳ捤〱攸㑤㉡愴ㄵ戹㉡ㄷ〹㙥㈸㝦㡡㐴㈸ㄲつ戳攸㈷㘲㘵摢㉡ㄲ㘸换㥤㤷㙤ㄷ㤰〸摢愶戹ㄱ㌱㥦昰㐸晢㠸㔷ㅥ改戵挹昸㙥搷㡣慦ㄵ戳㔶攰㙦㕤ㄵ戲〱㑢攲㌷戱㙤㐵㝡愶挳㔸扥昲㘴㠸㤸扤㝢挳敦愳搴㈰扡〴挲昰㉤㔲ㄲㄲ㌷㔲昹㘲㔸昹攵㔷敡捥㔱ㄴ攰〱昵昸㤵㐹㜰戲昲ㄳ㘱攵㙤昸昶㑡搶㐹昰慥〰㥦户挳捡㈴㑣㔹昹昱戰昲摦户㙤慡㔵づ改搰敦㌹㑤㈲㠹戱㜵愵昵ㅦ昹づ㥢㠷敡戴㐱晤搹㙤昸搹㤴㥣㌲㐸㕣㤶ㅡ戴〷搷㍥ㅣ㝣〹㍤㠱㕢㑣戸散〱㈱敢晦㠷〸晢㜰扢㘹㕣昷㜴㝣攸扣㠰戰戲愳挹㌷㌶捥ㄸ〷ㅤ㘴㜴ㄹ晢㕣㥣愹㑡慢㡡㐴㘰づ愴晣晤㕤挶晤ㅥ㘳㍡搶昷㈳っ㠷愹扣㉤搲㤹昲㤰㈱㤴㤴昲㔸㠸搹挴挹㍡捤㘸㥦〱㜲㈰㈶〱㤹搰㍥ぢ攸㠷㕣㌶㌰愳㥦晣㉦㤹晢㈴ㄲ摡愳〴㥦〳挸㈹㘴㜶搲㐱收昳〰㝤攱㝦㐷㌱戸㈰晤㈵慡昲㜰㌸㔸㤴㡣戴㉦戰挱攳〰㐹㌸㙡㤵㠰〸㜳摡ㄳ挸㠹づ㑡挱㈱〷㝤㤲〵㕦㈲昸㌲㐰㉥捤挹慥㜸搷戸愶づ㌵搷㔷搰㔴攱㔶㐸㌹昶搵㈰挱㤷昴㐹㠰㕢摢摢捡㍣ち㠷㥦敦㈳愸搹昰㥤晥ㅤ昸敥㝥㤱㡢㑥攲扦ㅤ㐹㑢挳㍥愵㝥慣戳扥挸〴戴挹攵捦挱㘶㥦㐱㍦㕣㔷摤挶㘴㡦ㅦ挷㉦慢㘶㤴㐷昱敦㐹晣㤴〷㌱〲㐷愱愶捤挲捤㐲ㅡ㤰〵昳㐱〱㔵㤶昶ㄴ㠰㐲ㅣㄳ㑦摡搳㝣㈳㙡搹扦昶㑣㤰攰㡢㐲扣㥥㘴愲ㅣ㌴て〷㈴慥㘵挱戱愶〱㠹㝦㔹㜰㌴㍡攰㌷㤰慢㐸㘴㈱搱愸㤵㠸戴ㄴ㜳㥦〵攸㑤昶㜱㙥搴㜲敡〹愵昸㐰改㠱〷摥敢㑢つ㙥㑥㝤攲昶㥥㘷摦晥昵扢㑦扦昵挹㥤㝦㝢晦昹攷摦晡换搳㙦扣晦晡捣捥㕦扥昸攲㉦敥晣敥ㅢ敦慥㌷㕥㔰㕦㜹㙦攲㠵㠷㠷㡦㍤晣愰㜱昸扡㍤て摦㝢昴敥攱挹㜳㠶㤲挹慥慥慢〷㝥㜵晥㌵晤㈷ㅦ㝣㔵昹昹ㅦ㌶摡㡡㕣㉥〷㍣〴㄰㍥晤㕣戶㥣挶户㤰挰㌴㌸攳㡦㜴ㅡ㕣敥㐹晣㤴㔲戰㔱愳㜸挹挲愷挱〹挸㠲㘲㘳㐱昷㝦〰挱挵戲扥</t>
  </si>
  <si>
    <t>CB_Block_7.0.0.0:2</t>
  </si>
  <si>
    <t>CB_Block_7.0.0.0:3</t>
  </si>
  <si>
    <t xml:space="preserve">Forecast: Share value Normal </t>
  </si>
  <si>
    <t>Percentile</t>
  </si>
  <si>
    <t>Forecast values</t>
  </si>
  <si>
    <t>Statistic</t>
  </si>
  <si>
    <t>Trials</t>
  </si>
  <si>
    <t>Base Case</t>
  </si>
  <si>
    <t>Mode</t>
  </si>
  <si>
    <t>'---</t>
  </si>
  <si>
    <t>Standard Deviation</t>
  </si>
  <si>
    <t>Variance</t>
  </si>
  <si>
    <t>Skewness</t>
  </si>
  <si>
    <t>Kurtosis</t>
  </si>
  <si>
    <t>Coeff. of Variation</t>
  </si>
  <si>
    <t>Minimum</t>
  </si>
  <si>
    <t>Maximum</t>
  </si>
  <si>
    <t>Mean Std. Error</t>
  </si>
  <si>
    <t>5b2d491c-2d65-4983-a9d9-084dde80f0d5</t>
  </si>
  <si>
    <t>㜸〱敤㕣㕢㙣ㅣ㔷ㄹ摥ㄹ敦慥㜷搶㜶散挶戹㌴㘹㥢扡昷㡢愳㙤㥣㈶扤㔰㐲敡㑢慥捤挵㠹㥤㤴慡㤴敤㜸昷㡣㍤挹捥慣㌳㌳敢挴㈵搰ㄴ㑡㑢戹〸戵㍣㐰㑢㠱慡㐲ㄵ扣㔴㤴㠷慡㠵昲㠰㠴〴㐲㉤攲愱㐲攲〱愹㔴〸ㅥ㡡㔰㄰㉦ㄵ慡㔴扥敦捣捣敥散慥㜷散㙣㕡㜰㤰㈷搹㍦㘷捥晤㥣晦㝡晥晦㑣ㄲ㑡㈲㤱昸㄰て晦攵㤳㘴攲捡㠹㜹搷ㄳ㔶㙥戴㕣㉡㠹㠲㘷㤶㙤㌷㌷散㌸晡晣〱搳昵㍡㔰㈱㥤㌷㔱敥愶昲慥昹㠸挸攴攷㠴攳愲㔲㉡㤱挸㘴㌴ㄵ攵散㠴扦扥昰㐵㘳慢敥㈴挰攴攸挸攱愹ㄳ攸㜵挲㉢㍢㘲昳挰㜱扦敤㡥愱愱摣㔰㙥摢㥤㐳㜷攴戶㙣ㅥㄸ慤㤴扣㡡㈳㜶搸愲攲㌹㝡㘹昳挰㜸㘵慡㘴ㄶ敥ㄳ昳㤳攵㤳挲摥㈱愶戶摣㍥愵㙦扢㙢㘸摢昶敤挶摤㜷摦搵㡤愱ㄳ㠷㐶㐷挶ㅤ㘱戸ㅦ㔱㥦㈹㑥㜹摢㤸㈸㤸㕣㥢㄰㡥㘹㑦攷㐶㐷昰㌷㌲㝦扣摤㤹㥢㤸ㄱ挲攳搰挲ㄱ㜶㐱戸ㅡㅡ㜶㔹挳慥㕢戱㘶戹㜹㥡戵ㅢ㑢㉤攸慥㤷戲㐶㐵愹愴㔹㘱慦ㄹ敢㌰昶慥愴捦㜷㕢ㄳ挲㜶㑤捦㥣㌳扤昹戴㌵㠹㡥㡡㍤搶㌱㔷ㅣ搵敤㘹㜱㐸户㐴捡摡㔳㌱㡢㐹晦㐹㜴摣ㄴ㜶ㄱ㥤㤸㕣㝥㙥搸戵㐶㘷㜴㐷捥挸攵挶挴搴摤敤ㄴ敡敢㕥搷扡㕦㑥㕤㡥挰㍥㙦㘸㕤て㈵挷㜵愷㕡㜳戰㜵捤㘰昱昵㌳戸慤㜵晤挸ㅥ搵户戹愵㜵ㅢ戹㤵昵戵㤵慥㠰扥攵㡥㘲㌱㕡㥡愰㤳㈰㐳㐰〴㙡㔹㠲㉥㠲㙥〰㈵昹㉦㜰㐹戴㈱㡢搴扣慥收愷搴㝣㐱捤ㄷ搵扣㔰昳㠶㥡㥦㔶昳㌳㙡摥㔴昳㈷搴晣㐹搴〹㥦㑣㘷愷ㅡ㍣㔷扦晣敦㐷㝥戲㘵敤晥愷㑥摥㤸㕣晦挱㍦摦敢㕥㠵㑡㐷㠲㐹㡤㌹晡㘹㤰㕡㡤㡡户收戶昰捦攲㕣〱愶㌰戶ㅢ㜷ㅡ㐳㐳挵敤㕢昴摢昵ㄴ㤷ㄵ㠳晣㍡㐲改㐳摤㙥攳㝥搳㉥㤶㑦㑢摣㕤㌹愲扢愲戶㜱㠳㐱搹㐸戹㘲ㄷ摤㉢ㄶ㉥㥣昰㜴㑦㙣㙣㉣慢㜵搲搴㙣〲㙣㈵㕣㌹摥愶挶㘶挷昵㔲㐵っ㥦㌱晤攲慢ㅡ㡡慤㜱愷㍣搵扡㜴户㈳㑥㔵㑢㥢㘶㌴っ愱㌶㈷晢㙥㕡愵㕦攴捦㙢㘰㜴愶散ち㕢㑥㙦搰ㅡ㌷ぢ㈷㠵㌳㈱㈸ㄲ㐵㔱㉥㜵㉤㡢〲慥ㅦ㍣㙣㘳愱攰搶攲戵搱㕣㘳搷ㄹて捣㉣㡡㤸敦慣㜰扣昹㐹㝤慡㈴搶搵㔵昱挷㐴挱㠶扡散摤攵㐲挵ㅤ㉤摢㥥㔳㉥搵㤷っㄷ攷㜴㐸㥡攲挱㜲㔱㈴㤳〹㈹ㄴ㈰㜰㍢㍡ㄴ㈵㜱㙢㙢㕥㤰㠸㠸愰㤸㡣㝣㜹㍤搹攵㡥㘲㜵㔸㐵㐹㤰㈶搵敢ㄷ改㡣昳㤵㌲㈶㠶〳㈳㙢愲晥攰愰㌷㉦搲㙤ㄵ㜳ㅦ㙦㘵㔵敤て㔶扦㙢㑥搸摥㕥摤㉥㤶㠴ㄳ慢晤ㄴ捥㐸敢〵㐸㥤㠷㐰㘸戹㝢㔴㜵捡ㄹ㘵㍥㜵摡㉣㝡㌳改ㄹ㘱㑥捦㜸挸㠳㠶捣㘴戸戵㑤㡦㜶ㄹ戲戴搵〴晤〰搹㙣㈲扤㠶㤵搲㔹㍣㠹ㄴ愵㔳っ㉦搷〹㜲戶慢攳攵㙥㘳户㔹昲㠴㉦㤴㝢つ㘰挴搷㙡ㄲ㝤㍤㈴㔱㐷㉦昸ち㘳㡤㌱ち㉡搵㑤摢㥢慦昱㙤ㄳ㤷昸㐴戴㈲ぢ㤶㥤㉣愰㈸愸㤷〷㌱扣〶愲㘹㤰〶昱㤵㈳㐴㐴㌶㠸搱散攸戹㥥挸㔸㍦㐶㐶愰㝥㤴〸㔹㝢㑢㙢ㄹ㐱㘲㙦㈶㔲㌶㙡挹㡦㉢搲㙣㈱㕢摥㤷㘶㙢戱㜱摡㍡㠲昵〴㤷ㄳ㙣〰㔰晥ち〹㐷㈹㠷㜴晤愳㕤㠱㜷敤㑡㠲慢〰㈰㥦㌴捡㥣㐰㔴搱㠶㕡㡡ㅤ挹㝡㍤戰㤳愵㔱散㡢㈲㕡挶㔵㍢戳挷㤲㠸づ慣捥攵愱㙢㤳㔲挷摥搸㥡㌶愳换㈱㐵挶㔴㡤慥㜵㤱慡搱㡤㘰搵㌶昵搶搵㘸慡つ㄰㕣〳攰㉢ㄶㅡ扢㑢戳收㘹㑥㕥ㄲ㈶㤱㙦〸戵愹摣〳㈲愶昹ㅦ㈳攰㥡㡥㉥㉢昶㌳㑤挱㐱攳㤲户㥦㌷户收敤〰改つ㍡㜳㐵攷搰㔷㜴㠱ㄶ昴戵㘰㉦攵㑦㉤昵换昵㈸搶㙥㈰戸ㄱ愰㐱扦昰攴㝤愱㕥〲㘹ㄲ㕢ㄱ捣慤愶挷㐵㕡戸㤳昳戳㐲㙡㥦㙥㘳㔲㜷愶㠵〷敦挵扥㌱搸挱㘵挷ㄱ㈵ㅣ㘸㡢㌲㠳㘷㤷昵昵㤹敥㙥愷㙣㌱㝦挵㍥㜶㉦〹挵㤰㑣慡ㅤ㠹〶晢㌸挶捥㡣昸㥢㈲㤴㐳晤㝢㝢㙢㈱ㄱ㘹㔴㑦㕥㙣ㄷ㝦戶㕣㤱㈴㙤㐸㤲㥢戱慤摡㉤〰㤰ㄲ捡ㅦ㕡㑡㤴㐱㔶摢㉣慢搵㕢慢昴敥挵㥣㑣ㅡ晣㠷㑤㜲愴换㜷搶㡥挰㜷攰昶㔸ㄳ愶㔵ㄵㄶ㕤搶戸㜰ち昰㉢㤸㈵㤱昵㕤戲ㄴ㌵㉢戲攲ㄲ㤱ㄵㅤㅤ㑤㘷改ㄸ摦㥡愴㤳〶㈹ㄱ换敤戱㠵㌱攷昰ㅡ㔱搱〵㐹愱ㄲ攳ㄶ慡㑡㈰㔲ㅥ敢慥㠸㤸㌶㐴㑣づㅢ愷摤㐶戰㠵㘰〸㈰昵㍢㐸㥡愵㙥㍣㐳㘱㥤㜳㜴㘷攷昳㠹っ搱㈰摤㠳㙦戵ㄴ㔶摢㌸捣㜶㠲㍢〰ㅡ捣ㅦ㍡ㅦ㘳〸㔱愲㍣㐲㠸戴㤶㌴攳戸㈹㑥㤳〶㔶ㄹ〸㉡㡤㔶㕣慦㙣㌱慡搴㘳㡣㤵て㤵扤㌱搳㥤㐵ㄴ慡摦〸ㄲ昷捦〸ㅢ搴攵挰昶㘹挸㉢捦捥㡡愲㘶㑣㤴㉢㄰㙤晢挶㤶挳愱ㅣ敢㠳㉤㈹捦攵慡㠲愷扤戳㌱扡㔰攴㠹ㄸ扥㔶㝡㘲㤷攴昹收愱慦户戶愳㤳愶㔷ㄲ㕤㠶捦㜴㑣㘷っ散㈲愲〶挵㑥㘳㜲挶ㄱ㘲慣挷搸攳㤸挵㤲㘹ぢ㈲〳㌶㈶〳㜵〷挴㌴㈲〴攳㘵挶晦捡㜶㡦㌱改攸戶㍢慢㌳㤸㌸扦扡敥㑤㠶㐴㔲挶㠸㘹扢ㄸ㐶㘲㤱改㕥㘳㘲愶㝣ㅡ搱摡㡡㘵敦搱㘷摤㘵㠱ㄵㄲ扤晦㐸搴㈸慡愲慡㑡㐶捤戴㡢ㅦㅥ挸ㄳ㠹慤昸㈵〹㈴慥ㄲ㈹晡换㘳戴㌷敤晡㈰㍥㐳㍢㥤㜳敡㐶攴愸㥡搹ㄱ㉢㠵挹愹摡㕤㙣㜳㌷挰晥㍤挷昶搵愲㜲ㄷㄵ慦㑥搱挳ㅦ㈳攳㈵㔹㔴㠳㈰昴捦慤昲㐹㠵㜹愴ㅣ㜰㈰㌰捥户㐶昲换ㅡ戲づ愹㙦㔵㉤戹ㅢ㔱愴㙥攳㠰㍥㈵㑡㠸㐵㕢扡户捡㝦愱ㄹ㙢改㈵㌷㈸ㅢ㉤㕢㤶㑥搲㈲㔹㑥ㄴ㜴㔲昰㜰挵㉢ㅦ㌴㙤捤〰㤰昴ㄷ㘴改㘷㤰愵㥦㤱㔹摤挶㔱㠶〵㘵㥡㝤㤵愷㜵挷昴㘶㉣戳㤰攱ぢ㐳㜷换㠲㈶挱攴㤴扣攱ㄳ捡㡣㠱〶㙢晥ㄸ㑣㌶㌷〷㜴攷㈰㐷戹㜵㐴㍦㈸㔷㔵搲昸愳戴改㔸㠲㠰㤱㕥㔲敤ㅥ昴㤶㤲㌷㈳㈰㜲攴㜳㍥扣㝦㜱晥㔱攴昸㝥㌹㘲㍤㠶㐴攰ㄱ㡣〸㜹扡户搳挶㌱摢昴㠰㍤㘲㙣户改㡤戹㐰㌹〰㤲昲㜸扢㔱㘲㌵搲㘸戰慡ㄵ慥㙥㉥慡㔳ㄳ㥢㥡换愳㝡攳晡〵㡡㝤㡤ㄲ㔱㈴㡢㔵㤲㥡㘵㠱㌹㉥㈷㔵愳㐸挵ㅤ㙡ㅢ㈵捥㙤㕡摢㜷㑡㤱㡢㔰㑣㤲㘶ㄲ摡づ㐹㈸〸昲㤲㍡愰愳攸慦㡦㈷㡦㐸戴㠶㌶㐰㤶㝡捡捦敢〹挲㠱晢㜰攵愴㈸戲挱ㅢ昸㝢㔵㤰㍣㕣昱敡㑡昴㌳晤㐱挹㜰愹㜴搸㠶㤵㔰搰㥤攲㌲㘱㘹慣捤搷㌰㤲㍢摢搵晥晥昶㐶ㄸ㌱㘰㐳㠶㐴㘲晣挰㘰㐳㌰㔷㈴㥡㑡敢慣㠷㕢㕤捤捥昰敤愰搰㙤㠹㠱〹慦㌸㈶收愴ㄹ㔶戳攴晢㘵㠳敡㘹㔱捡㔱捤ㄸ㥥㜲愱搲㍤捡昱㈰㈵ㄹ㕣㌳㡥搲㉤㠵ぢっ㄰扢㐱㙡扣攰㈱慣㕢敤㠰㈷㠳攵㠳ㅤ散㠸ㅦ㌶愱㜵㐶〹㥡㡥㈱摣晡㐵㤰㜷摡挴㈸〴愹㈱㥦㝦散㔴㥥㝢㤶捦㡦㜷㈶挲㐴挰㐴っ㜵挵㔸て㐰㙥㌴㉡㐹㉥敡て㠳攵扥㘴㤳㐲慢㍢捣愳㠹搱㐳㤳捦昱㜰㠳㠷㜱慣㕥戲㑤〹㜷摣㍣ㄳ摡戴㌴扦捡搸㘷ㄷ㑡㤵愲㤰慡㌸㤴搵㔲㈳㉦ぢ㝣挹敢㝦㍥㌷挵散㑢戰㈹晢㜰㤴攲㤲㠹愴昶敤㙥敤㔳㘸㉥㠵ㅣ晡昰㘵ㅢ㠳㡦㌱㙥㌹ㄹっ㙢扡愳㐰晢㜰㜵敤昲㠲扣㌸〷㤱搶㤴㐵㔹㜶〰㜷昱慡ㄱ㘴挹㙤㤱㙡〷捡〷捡戴搹㈳㔹㝢㑤㍦㙢㔹攰〸敢昴〵㕥㍡つ㘳愴㑤敥㘰㈷㠹昳㐱㘴昷晣愳昲㌵㜱㝥㘷㘰㝣㈸㡣敦昲ㄴ㤴挰慥㠲㤱㘸㜰慢㌵慢㕢㘱攴㤷㤶户㜶㉦㠰挲㄰㌰つ㕡搴昴つ㥣ㄱ愴ㄷ㌷㜰ㄸ㡣㡣㠹㡥㐶〳愹㡣㔱昶挳㘱て愴㠱㥢㜸㤰㥥㉣㐳〹㜹㙢攴愵戰昰㕥攲愰㠵㈳㔰搹㔹搷㤰㌹慥㝢戸晡㘲㙦㘸挸ㅥ㉥ㄶ㘹敥挲㍦户㉣戰㡡㙢ㅢ扥㌹扡愶攱㐲㤶㕣ㄳ敤扢敢ㅡち㠲㡢㠲㕢挷㜲㝢㜵慦㌰㌳攱捤晢㤷戶摡㈵㠹搴㉦攰㡦㔸㜰㜴摡捣㐹㥢㤷㔰攷戸昷搹㤳㜶昹戴㉤攷㤵㜲㜹攳㡦㔶慣搶搹挹㐹㘶ㄳㅦ攲㡦㝣搴㐴敡つ昴戸㤴㘹戳㠳㥡㠳㠴晤挸挷㤷〶〳㐸挷搰〹㙣昷敡㡤〱搲挹㥡〶㍡㤱㠲㘰㠵㔰散改㡦㡣㔰㤴㥦〳慤㈴ㄶ晦㐸㡥㍤㝦〹慣慦晣っ㌹㐴㌸摥〳㌱㤲扡〶愹ㄸ搴㐹㐱ㅥ㕣敦攰㘵㤰晦ㅦ㉣㠵摣扣㈰㍢晤ㄷ㤸㔹㜹扤ㄱ㐵㥢㠸愲搷㥡㔱挴㐰散〵㠵扣㌹晢㤵愳收挷㝥慤昷㝦㜸搴摣てっ昳㤱搶ㄸ㠲㙡っ挶㔷㡤㠱㡥㈶㘳攰〶ㄴ㑢㘳攰㍥戶㘱扣摥㌷〶〲㙦挷㐱㘴㉣㙥っ㌰㡡ㄷ㘳昲㐵㠲慡ㄱ〷〶捦㕡敢㉣㝡挲昶攲㝡慤㜰ㄱ戹㠷㝡㜲㐷攱㝢㕡摦㥣㍤慥㍢扡戵㐱收敦㜱〴搴㤶㌳㠹晢摡戲〹㕢㙣㕣戰㐴㌶㕡挰㉢ㄱ晡搳㔷㍣㈷㑢扢愵づ㑣昹㡦敦愸㔷㌲㑡晡㈲㝣㈲ち㑦〸㠹捦慤㜹㜹捦㥦ㅦ㜹㝣㈷敦愵〵戴㥡㘲㈰戸㥤攰㍣㉤〷㠴㙦㈳㔷㐲搶昲昳㥢㠳昸㄰挹㥣㉤㠹ㄱ摤㤱昶㡥慢㔹㘱搲㈷扣〸㘱晡挴户ㅣ㡣㐹摣㜰昰㡤挹㕣㠳㘳㔳㝥扥㈴㥤㠱戹挸挴愵昷㉥っ㄰㉡㉤㔵㔶㥢㜶㘵敡愷㔰㍡ㄷ㌸㤱㝡㝢㤰攷㑢㍥㡡昲㑡愳㔶摢㑥慤㈶捤㐴㘵㄰㌵㐲㈹㠵㐸〳㈹㈴㝡㘴㘱攸㕦㑡愹㜱㈴㔲㌹㠰㤸ㄸ㕡㘳㌰㤷㈷晦ㄵ㈱㈰慡搷晢摡晣㔴〵扢〸㉣㠶㕥昷㜶捦慥戴㍡㐳搵挴愰慣㍣㝤ㅣ㐱㐲ㅥ㔳㤸挱㈸慤捣㍤㡡㐴昸愴㠶㤰㕡戲攳㠹㠳昴㔸㝥㠸捤㘷散㤴㐵慦㕡搶摡㘵㔷㜰挷〳㝡㈶㉤ㄵ㠶扤㥡搹㌸㝡捡㘸㥣㕦㌵敢㘷ㄱ昶晡挹㙡愳慥愰〸㍡换摥㠰昳㈷挲㝣晣ㅥ㠸攵㠳戵慥搷㌶㤶㔰挷搹㥤㔸㈰㝦戰扦㌶挵㌰㌶㐶㈵挷㐰挲㉥愹㔶挶扦〴㍥㠱㈶搲㥥㔷戴㕡㤲㘳㈹ち愳搱㈱㘷㜵愸㑤晡㥦㜱㙡挹㔹㤳慣捤㠰㜵㥤晥㍦㡥㡣㐵昵扦挲㈸㥢㐴搹晤㐱㠲㉦㈹㐶㑡ㄶつ捥㜰㐷攰挳㐶㤸㐶ㅥ㠱㌵㤹㘴㜰摢㑦㑤攰ㄳ㔵扦㔸㑡㜰㜸戸㤲㡤㤷㈰慡㙤㘹摢㜶戵ㄴ㠰㡣〲愵㝥〴ㄱ搴戲㍤㈷摤㝣㡥㑤㍦㠰散㌵〷捤㠲㔳㜶换㠶㌷㌰㠱昰敥〰扦㌰㌳㘰昳っ㉢㉦㌵ち戵敢戰ㄳ摤て愲捤愱挳㄰搸㠷㠴昷㔱㐵ㅤㄹ㐳㔸㕡捣㠲㕦ㅢ昵㐵〲㐹搴づ敥㘵挶㤱㡡㕥挲〷慡㠷攱搵昴㤸戵㉣㤴㥤敦㕢㙥扣㡢挱慤挳㙤慣晢攰昹ㄱ愵ㅣ挲㘰㜲〹て㍥挴㝤㙤摣㠳晡扡挱摡㕣搶㙣捦扢㤶㑤晤㄰㌸㕤摡㈸昵㈴挳㌱昹摤㜱㔶㝢㠸㄰㜱ㅥ㝡㐷㤷敥㡡㘵㙦晤愰昳攰戳㙤扡扣〶㑢㜰㤴㉤㈱捥晤㔹㌴㔵敥㈵挰㑦换〷〹扥㈸昴攷摤挳挴ぢ㔸ㄶㄹ〰改㐴㕡〷㘸㑤搵摦㕦㠸慡ㄵㅥ㉤㐸㠵㔹攵㝢㈸攷㉥昹慢㉤㌲て㐷つ㜹㠴㐰㕡㡢㑡㙥㠵㐷〸㌹晥㜳㘸㔰ㅤ㝦ㅡ戹慤挷晦捥㠲攳㔳昹换昵㐵晢敦ぢ㤵㠷㜶㠲㐳㥦㈴㈸ㄱ㔸〰㝤㘱捤㕥㡡㐵捡㥡戴ㅦ㐴㜸㝤㈷搲㜸㝥ㅦ晣晢捥捥户摥攴昳昷㥤㡡ㄴ㠴㈸慡㕦〵〵愱㕣挵搳搱㔵捣㈲户昵㉡扥戹搰㉡晡㈸㈳㌹ㄳ捤〱攸改㔰㐸㉢㜲㔵㉥ㄲ摣㔰晥ㄴ㠹㔰㈴敡㘶搱㐷挴捡戶ㄵ㈴搰㤶㍢㉦摢捥㈱ㄱ戶㑤㜱㈳㘲㍥攱㤱昶ㄱ慦㍣搲㙢㤳昶摤慥㘹㕦㉢㘶慣挰摦扡㉣㘴〳㤶挴㙦㘲㕢㡡昴㜴㥢戱㝣攵愹㄰㌱㝢昷㠶摦㐷愹㐱㜴〹㠴攱㕢愴㈴㈴㙥愴昲㤵戰昲㉢慦搶㥣愳㈸挰〳敡昱㉢㤳攰㘴攵㈷挳捡㕢昱敤㤵慣㤳攰㕤〱㍥敦㠴㤵㐹㤸戲昲ㄳ㘱攵昷戶㙥愸㔶づ改搰敦㌹㐵㈲㠹戱㜵愵昵ㅦ昹づ㥢㠷敡㤴㐱晤搹㘵昸搹㤴㥣㌲㐸㕣㤲ㅡ戴ㅢ搷㍥ㅣ㝣〹㝤〰户㤸㜰搹〳㐲搶晦てㄱ昶攱㜶搳㤸敥改昸搰㜹づ㘱㘵㐷㤳㙦㙣㥣㌶づ㍢挸攸㌴昶戹㌸㔳ㄵ㤷ㄵ㠹挰ㅣ㐸晡晢扢㠸晢㍤挶㜴慣敤㐷ㄸづ㔳㜹㕢愴㍤攵㈱㐳㈸㐹攵昱㄰戳㠹㜳㌵㥡搱㍥て攴㐰㑣〲㌲愱㝤〱搰て戹慣㘱㐶ㅦ昹㕦㌲昷㌹㈴戴挷〸扥〸㤰㔵挸散愴㠳昴㤷〰㝡挳晦㡥㘲㘰㑥晡㑢㔴攵㙣㌸㔸㤴㡣戴㉦戳挱ㄳ〰ㅤ㜰搴㉡〱ㄱ㘶戵㈷㤱ㄳㅤ㤴㠲㐳づ晡ㄴぢ扥㑡昰㌵㠰㙣㡡㤳㕤昲慥㜱㑤㙤㙡慥慦愳愹挲慤㤰㜲散ㅢ㐱㠲㉦愹㜳〰昷戴戶㤵㜹ㄴづ㍦摦㐷㔰戳敥㍢晤㕤昸敥㝥㥥㡢敥挰㝦㍢㤲㤲㠶㝤㔲晤㐴㝢㝤㤱〹㘸㤳换㥦㠳捤扥㠸㝥戸慥㥡㡤挹ㅥ㍦㠹㕦㐶㑤㉢㡦攱摦㜳昸㈹愷㌰〲㐷愱愶捤挰捤㐲ㅡ㤰〵戳㐱〱㔵㤶昶㌴㠰㐲ㅣㄳ㑦摡㌳㝣㈳㙡搹扦昶慤㈰挱ㄷ㠵㜸㍤挷㐴㈹㘸ㅥづ㐸㕣换㠲㤳つ〳ㄲ晦戲攰㐴㜴挰㙦㈳㔷㤱挸㐲愲㕥㉢ㄱ㘹㐹收㍥ぢ搰搳搱换戹㔱换愹㘷㤴挲挳挵㠷ㅦ㝥扦㌷㌹戰㌱昹改㝢扢㥦㝤攷户敦㍥昳昶㘷㜶晣敤㠳攷㥦㝦晢㉦捦扣昹挱ㅢ㔳㍢㝥晤攲㡢扦摡晦㠳㌷摦㕤㙤扣愰扥晡晥㠱ㄷ捥づ㥤㍣㝢捡㌸㜶敢㥥戳て㥣㌸㌲㌴㝥搹㘰㐷㐷㘷攷㑤晤扦戹晣收扥㜳愷㕥㔳㝥昹挷昵戶㈲㤷换〱㡦〲㠴㑦ㅦ㤷㉤愷昱㕤㈴㌰つ捥昸㘳㥤〶㤷㝢づ㍦愵ㄸ㙣搴〸㕥㌲昰㘹㜰〲戲愰㔰㕦搰昵ㅦ戳㉡戱攸</t>
  </si>
  <si>
    <t>Per share Value</t>
  </si>
  <si>
    <t>Assumptions</t>
  </si>
  <si>
    <t>ContributionToVariance</t>
  </si>
  <si>
    <t>RankCorrelation</t>
  </si>
  <si>
    <t>OL % of Sales (4) · 3</t>
  </si>
  <si>
    <t>GA % of Sales · 3</t>
  </si>
  <si>
    <t>Tax Rate (3) · 3</t>
  </si>
  <si>
    <t>EI % of Equity Method Investments · 1</t>
  </si>
  <si>
    <t>EI % of Equity Method Investments · 3</t>
  </si>
  <si>
    <t>GO % of Sales · 3</t>
  </si>
  <si>
    <t>Other</t>
  </si>
  <si>
    <t xml:space="preserve">Sensitivity: Per share Value · 2 </t>
  </si>
  <si>
    <t>2024-2027 NA Growth</t>
  </si>
  <si>
    <t>2024-2027 INTL Growth</t>
  </si>
  <si>
    <t>IE % of Total Financing Debt · 1</t>
  </si>
  <si>
    <t>Tax Rate (3) · 1</t>
  </si>
  <si>
    <t>International Terminal Growth</t>
  </si>
  <si>
    <t>Internatioanl Growth</t>
  </si>
  <si>
    <t>MC % of Sales · 1</t>
  </si>
  <si>
    <t>GA % of Sales · 1</t>
  </si>
  <si>
    <t>OL % of Sales (4) · 1</t>
  </si>
  <si>
    <t>INTL 2023 Growth</t>
  </si>
  <si>
    <t>DA % of PP&amp;E · 3</t>
  </si>
  <si>
    <t>IE % of Total Financing Debt · 3</t>
  </si>
  <si>
    <t>DA % of PP&amp;E · 1</t>
  </si>
  <si>
    <t>Terminal Growth INTL</t>
  </si>
  <si>
    <t>End of Sensitivity Charts</t>
  </si>
  <si>
    <t>Sensitivity Charts</t>
  </si>
  <si>
    <t>End of Assumptions</t>
  </si>
  <si>
    <t>Std. Dev.</t>
  </si>
  <si>
    <t>Normal distribution with parameters:</t>
  </si>
  <si>
    <t>Cell: C18</t>
  </si>
  <si>
    <t>Assumption: WACC</t>
  </si>
  <si>
    <t>Cell: E11</t>
  </si>
  <si>
    <t>Assumption: Terminal Growth NA</t>
  </si>
  <si>
    <t>Cell: E12</t>
  </si>
  <si>
    <t>Assumption: Terminal Growth INTL</t>
  </si>
  <si>
    <t>Cell: C11</t>
  </si>
  <si>
    <t>Assumption: NA 2023 Growth</t>
  </si>
  <si>
    <t>Cell: C12</t>
  </si>
  <si>
    <t>Assumption: INTL 2023 Growth</t>
  </si>
  <si>
    <t>Cell: D11</t>
  </si>
  <si>
    <t>Assumption: 2024-2027 NA Growth</t>
  </si>
  <si>
    <t>Cell: D12</t>
  </si>
  <si>
    <t>Assumption: 2024-2027 INTL Growth</t>
  </si>
  <si>
    <t>Worksheet: [Group1_Section81_ChengyiXu_MAR_Stage2.xlsx]Simple Proforma DCF Risks</t>
  </si>
  <si>
    <t>Cell: B124</t>
  </si>
  <si>
    <t>Cell: W45</t>
  </si>
  <si>
    <t>Assumption: Tax Rate (3) · 3</t>
  </si>
  <si>
    <t>Cell: U45</t>
  </si>
  <si>
    <t>Assumption: Tax Rate (3) · 1</t>
  </si>
  <si>
    <t>Cell: U103</t>
  </si>
  <si>
    <t>Assumption: SBC % of Sales</t>
  </si>
  <si>
    <t>Cell: W36</t>
  </si>
  <si>
    <t>Assumption: RE % of Sales · 3</t>
  </si>
  <si>
    <t>Cell: U36</t>
  </si>
  <si>
    <t>Assumption: RE % of Sales · 1</t>
  </si>
  <si>
    <t>Uniform distribution with parameters:</t>
  </si>
  <si>
    <t>Cell: U104</t>
  </si>
  <si>
    <t>Assumption: PTS % of Sales (9)</t>
  </si>
  <si>
    <t>Cell: U52</t>
  </si>
  <si>
    <t>Assumption: PE % of Sales</t>
  </si>
  <si>
    <t>Cell: U94</t>
  </si>
  <si>
    <t>Assumption: ONL % of Sales</t>
  </si>
  <si>
    <t>Cell: U74</t>
  </si>
  <si>
    <t>Assumption: ONA % of Sales</t>
  </si>
  <si>
    <t>Cell: U93</t>
  </si>
  <si>
    <t>Assumption: OLL % of Sales</t>
  </si>
  <si>
    <t>Cell: U73</t>
  </si>
  <si>
    <t>Assumption: OLA % of Sales</t>
  </si>
  <si>
    <t>Cell: W32</t>
  </si>
  <si>
    <t>Assumption: OL % of Sales (4) · 3</t>
  </si>
  <si>
    <t>Cell: U32</t>
  </si>
  <si>
    <t>Assumption: OL % of Sales (4) · 1</t>
  </si>
  <si>
    <t>Cell: U101</t>
  </si>
  <si>
    <t>Assumption: OCI % of Sales</t>
  </si>
  <si>
    <t>Cell: U71</t>
  </si>
  <si>
    <t>Assumption: NR % of Sales</t>
  </si>
  <si>
    <t>Cell: H126</t>
  </si>
  <si>
    <t>Assumption: NA Terminal Growth</t>
  </si>
  <si>
    <t>Cell: G126</t>
  </si>
  <si>
    <t>Assumption: NA 2027 Growth</t>
  </si>
  <si>
    <t>Cell: F126</t>
  </si>
  <si>
    <t>Cell: W35</t>
  </si>
  <si>
    <t>Assumption: MC % of Sales · 3</t>
  </si>
  <si>
    <t>Cell: U35</t>
  </si>
  <si>
    <t>Assumption: MC % of Sales · 1</t>
  </si>
  <si>
    <t>Cell: U90</t>
  </si>
  <si>
    <t>Assumption: LGN % of Sales</t>
  </si>
  <si>
    <t>Cell: U84</t>
  </si>
  <si>
    <t>Assumption: LGC % of Sales</t>
  </si>
  <si>
    <t>Cell: W40</t>
  </si>
  <si>
    <t>Assumption: LE % of Sales · 3</t>
  </si>
  <si>
    <t>Cell: U40</t>
  </si>
  <si>
    <t>Assumption: LE % of Sales · 1</t>
  </si>
  <si>
    <t>Cell: H127</t>
  </si>
  <si>
    <t>Assumption: International Terminal Growth</t>
  </si>
  <si>
    <t>Cell: G127</t>
  </si>
  <si>
    <t>Assumption: International 2027 Growth</t>
  </si>
  <si>
    <t>Cell: F127</t>
  </si>
  <si>
    <t>Assumption: Internatioanl Growth</t>
  </si>
  <si>
    <t>Cell: W42</t>
  </si>
  <si>
    <t>Assumption: II % of Cash and Equivalents · 3</t>
  </si>
  <si>
    <t>[Threaded comment]
Your version of Excel allows you to read this threaded comment; however, any edits to it will get removed if the file is opened in a newer version of Excel. Learn more: https://go.microsoft.com/fwlink/?linkid=870924
Comment:
    We set it equal to 4% since we believe the interest expense and income are somehow depends on the interest rate, and the interest rates for financing debt is stable at 4%, therefore, we believe adopting 4% should also be optimal for interest income</t>
  </si>
  <si>
    <t>Cell: U42</t>
  </si>
  <si>
    <t>Assumption: II % of Cash and Equivalents · 1</t>
  </si>
  <si>
    <t>Cell: W41</t>
  </si>
  <si>
    <t>Assumption: IE % of Total Financing Debt · 3</t>
  </si>
  <si>
    <t>Cell: U41</t>
  </si>
  <si>
    <t>Assumption: IE % of Total Financing Debt · 1</t>
  </si>
  <si>
    <t>Cell: W39</t>
  </si>
  <si>
    <t>Assumption: GO % of Sales · 3</t>
  </si>
  <si>
    <t>Cell: U39</t>
  </si>
  <si>
    <t>Assumption: GO % of Sales · 1</t>
  </si>
  <si>
    <t>Cell: W34</t>
  </si>
  <si>
    <t>Assumption: GA % of Sales · 3</t>
  </si>
  <si>
    <t>Cell: U34</t>
  </si>
  <si>
    <t>Assumption: GA % of Sales · 1</t>
  </si>
  <si>
    <t>Cell: U58</t>
  </si>
  <si>
    <t>Assumption: FE % of Buildings and Improvements</t>
  </si>
  <si>
    <t>Cell: U70</t>
  </si>
  <si>
    <t>Assumption: EM % of Sales</t>
  </si>
  <si>
    <t>Cell: W43</t>
  </si>
  <si>
    <t>Assumption: EI % of Equity Method Investments · 3</t>
  </si>
  <si>
    <t>Cell: U43</t>
  </si>
  <si>
    <t>Assumption: EI % of Equity Method Investments · 1</t>
  </si>
  <si>
    <t>Cell: U91</t>
  </si>
  <si>
    <t>Assumption: DTL % of Tax expense</t>
  </si>
  <si>
    <t>Cell: U72</t>
  </si>
  <si>
    <t>Assumption: DT % of Sales</t>
  </si>
  <si>
    <t>Cell: U92</t>
  </si>
  <si>
    <t>Assumption: DR % of Sales</t>
  </si>
  <si>
    <t>Cell: W33</t>
  </si>
  <si>
    <t>Assumption: DA % of PP&amp;E · 3</t>
  </si>
  <si>
    <t>Cell: U33</t>
  </si>
  <si>
    <t>Assumption: DA % of PP&amp;E · 1</t>
  </si>
  <si>
    <t>Cell: U102</t>
  </si>
  <si>
    <t>Assumption: D % of Net Income</t>
  </si>
  <si>
    <t>Cell: U81</t>
  </si>
  <si>
    <t>Assumption: CPO % of Long-term Debt</t>
  </si>
  <si>
    <t>Cell: U63</t>
  </si>
  <si>
    <t>Assumption: CIT % of Sales</t>
  </si>
  <si>
    <t>Cell: U59</t>
  </si>
  <si>
    <t>Assumption: CI Fixed % of Sales</t>
  </si>
  <si>
    <t>Cell: U50</t>
  </si>
  <si>
    <t>Assumption: CE % of Sales (2) and PLUG</t>
  </si>
  <si>
    <t>Cell: U64</t>
  </si>
  <si>
    <t>Assumption: CA % of Sales</t>
  </si>
  <si>
    <t>Cell: U57</t>
  </si>
  <si>
    <t>Assumption: BLI % of Land</t>
  </si>
  <si>
    <t>Cell: U99</t>
  </si>
  <si>
    <t>Assumption: ASU Fixed · 1</t>
  </si>
  <si>
    <t>Cell: U51</t>
  </si>
  <si>
    <t>Assumption: AR % of Sales</t>
  </si>
  <si>
    <t>Cell: U83</t>
  </si>
  <si>
    <t>Assumption: APB % of Sales</t>
  </si>
  <si>
    <t>Cell: U82</t>
  </si>
  <si>
    <t>Assumption: AP Fixed (5)</t>
  </si>
  <si>
    <t>Cell: U53</t>
  </si>
  <si>
    <t>Assumption: AH Fixed (3) % of Sales</t>
  </si>
  <si>
    <t>Cell: U85</t>
  </si>
  <si>
    <t>Assumption: AE % of Sales</t>
  </si>
  <si>
    <t>Cell: U60</t>
  </si>
  <si>
    <t>Assumption: AD % of Fixed Assets</t>
  </si>
  <si>
    <t>Cell: U65</t>
  </si>
  <si>
    <t>Assumption: AA % of Brand Assets</t>
  </si>
  <si>
    <t>Worksheet: [Group1_Section81_ChengyiXu_MAR_Stage2.xlsx]FULL Proforma_Revised&amp;DCF RISKS</t>
  </si>
  <si>
    <t>End of Forecasts</t>
  </si>
  <si>
    <t>100%</t>
  </si>
  <si>
    <t>90%</t>
  </si>
  <si>
    <t>80%</t>
  </si>
  <si>
    <t>70%</t>
  </si>
  <si>
    <t>60%</t>
  </si>
  <si>
    <t>50%</t>
  </si>
  <si>
    <t>40%</t>
  </si>
  <si>
    <t>30%</t>
  </si>
  <si>
    <t>20%</t>
  </si>
  <si>
    <t>10%</t>
  </si>
  <si>
    <t>0%</t>
  </si>
  <si>
    <t>Percentiles:</t>
  </si>
  <si>
    <t>Range Width</t>
  </si>
  <si>
    <t>---</t>
  </si>
  <si>
    <t>Statistics:</t>
  </si>
  <si>
    <t>Cell: C30</t>
  </si>
  <si>
    <t>Forecast: Per share Value · 2 (cont'd)</t>
  </si>
  <si>
    <t>After 2,000 trials, the std. error of the mean is 1.79</t>
  </si>
  <si>
    <t>Base case is 271.29</t>
  </si>
  <si>
    <t>Entire range is from 154.08 to 1440.74</t>
  </si>
  <si>
    <t>Certainty range is from 230.65 to 321.32</t>
  </si>
  <si>
    <t>Certainty level is 53.98%</t>
  </si>
  <si>
    <t>Summary:</t>
  </si>
  <si>
    <t>Forecast: Per share Value · 2</t>
  </si>
  <si>
    <t>Cell: B141</t>
  </si>
  <si>
    <t>Forecast: Share value Normal (cont'd)</t>
  </si>
  <si>
    <t>After 2,000 trials, the std. error of the mean is 2.72</t>
  </si>
  <si>
    <t>Base case is 172.14</t>
  </si>
  <si>
    <t>Entire range is from  (246.07) to 719.22</t>
  </si>
  <si>
    <t>Certainty range is from 158.69 to 209.78</t>
  </si>
  <si>
    <t>Certainty level is 16.72%</t>
  </si>
  <si>
    <t>Forecast: Share value Normal</t>
  </si>
  <si>
    <t>Forecasts</t>
  </si>
  <si>
    <t>Decision variables</t>
  </si>
  <si>
    <t xml:space="preserve">   Correlation matrices</t>
  </si>
  <si>
    <t xml:space="preserve">   Correlations</t>
  </si>
  <si>
    <t>Crystal Ball data:</t>
  </si>
  <si>
    <t>Random numbers per sec</t>
  </si>
  <si>
    <t>Trials/second (average)</t>
  </si>
  <si>
    <t>Total running time (sec)</t>
  </si>
  <si>
    <t>Run statistics:</t>
  </si>
  <si>
    <t xml:space="preserve">   Confidence level</t>
  </si>
  <si>
    <t>Precision control on</t>
  </si>
  <si>
    <t>Random seed</t>
  </si>
  <si>
    <t>Monte Carlo</t>
  </si>
  <si>
    <t>Number of trials run</t>
  </si>
  <si>
    <t>Run preferences:</t>
  </si>
  <si>
    <t>Simulation stopped on 5/2/2023 at 6:15 PM</t>
  </si>
  <si>
    <t>Simulation started on 5/2/2023 at 6:10 PM</t>
  </si>
  <si>
    <t>Crystal Ball Report - Full</t>
  </si>
  <si>
    <t>After 20,000 trials, the std. error of the mean is 0.88</t>
  </si>
  <si>
    <t>Entire range is from  (319.73) to 866.86</t>
  </si>
  <si>
    <t>Simulation stopped on 5/2/2023 at 5:22 PM</t>
  </si>
  <si>
    <t>Simulation started on 5/2/2023 at 4:35 PM</t>
  </si>
  <si>
    <t>0f2616d2-7fd2-4520-a4ad-0a22e9fe265a</t>
  </si>
  <si>
    <t>㜸〱敤㕣㕢㙣ㅣ㔷ㄹ摥ㄹ敦慥㜷搶㜶散挶戹㌴改捤扤㕦ㅣ㙤攳㌴改㠵㄰㔲㕦㜲扦㌹戱㤳㔰㤵戲ㅤ敦㥥戱㈷搹㤹㜵㘶㘶㥤戸㠴㌶㠵搲㔲㉥㐲㉤て搰㔲愰慡㔰〵㐲慡㔴ㅥ慡ㄶ捡〳ㄲㄲ〵戵㠸㠷ち㠹〷愴㔲㈱㜸〰愱㐸扣昴愱㔲昹扥㌳㌳扢戳扢摥戱扢㙤挱㐱㥥㘴晦㥣㌹昷㜳晥敢昹晦㌳㐹㈸㠹㐴攲〳㍣晣㤷㑦㤲㠹㉢㈷收㕤㑦㔸戹搱㜲愹㈴ち㥥㔹戶摤摣戰攳攸昳〷㑤搷敢㐰㠵㜴摥㐴戹㥢捡扢收㐳㈲㤳㥦ㄳ㡥㡢㑡愹㐴㈲㤳搱㔴㤴戳ㄳ晥晡挲ㄷ㡤慤扡㤳〰㤳愳㈳㐷愶㑥愱搷〹慦散㠸㑤〳㈷晣戶㍢㠶㠶㜲㐳戹慤㜷つ摤㤹摢扣㘹㘰戴㔲昲㉡㡥搸㘱㡢㡡攷攸愵㑤〳攳㤵愹㤲㔹㌸㈰收㈷换愷㠵扤㐳㑣㙤扥㘳㑡摦㝡昷搰搶㙤摢㡣㝢敥戹扢ㅢ㐳㈷づ㡦㡥㡣㍢挲㜰㍦愶㍥㔳㥣昲搶㌱㔱㌰戹㌶㈱ㅣ搳㥥捥㡤㡥攰㙦㘴晥㜸扢㉢㌷㌱㈳㠴挷愱㠵㈳散㠲㜰㌵㌴散戲㠶㕤户㘲捤㜲昳㌴㙢㌷㤶㕡搰㕤㉦㘵㡤㡡㔲㐹戳挲㕥㌳搶ㄱ散㕤㐹㥦敦戶㈶㠴敤㥡㥥㌹㘷㝡昳㘹㙢ㄲㅤㄵ㝢慣攳慥㌸愶摢搳攲戰㙥㠹㤴戵愷㘲ㄶ㤳晥㤳攸戸㌹散㈲㍡㌱戹晣摣戰㙢㡤捥攸㡥㥣㤱换㡤㠹愹扢摢㈹搴搷扤扥㜵扦㥣扡ㅣ㠱㝤摥搸扡ㅥ㑡㑥攸㑥戵收㘰敢㥡挱攲敢㘷㜰㝢敢晡㤱㍤慡㙦㜳㙢敢㌶㜲㉢敢㙢㉢㕤〱㝤换ㅤ挵㘲戴㌴㐱㈷㐱㠶㠰〸搴戲〴㕤〴摤〰㑡昲摦攰㤲㘸㐳ㄶ愹㜹㕤捤㑦愹昹㠲㥡㉦慡㜹愱收つ㌵㍦慤收㘷搴扣愹收㑦愹昹搳愸ㄳ㍥㤹捥㑥㌵㜸㕥㥡摢晥昰晤㠵〳㝢㕥戹㘲晦ㅢ㈷㥦晣敤㑦扢㔷愱搲搱㘰㔲㘳㡥㝥ㄶ愴㔶愳攲㉤戹捤晣戳㌸㔷㠰㈹㡣㙤挶㕤挶搰㔰㜱摢㘶晤づ㍤挵㘵挵㈰扦㡥㔰晡㔰户摢㌸㘹摡挵昲㔹㠹扢㉢㐷㜴㔷搴㌶㙥㌰㈸ㅢ㈹㔷散愲㝢挵挲㠵ㄳ㥥敥㠹㡤㡤㘵戵㑥㥡㥡㑤㠰慤㠴㉢挷扢扡戱搹〹扤㔴ㄱ挳攷㑣扦昸慡㠶㘲㙢摣㈹㑦戵㉥摤敤㠸㌳搵搲愶ㄹつ㐳愸捤挹扥㥢㔶改ㄷ昹昳ㅡㄸ㥤㈹扢挲㤶搳ㅢ戴挶捤挲㘹攱㑣〸㡡㐴㔱㤴㑢㕤换愲㠰敢〷㡦搸㔸㈸戸戵㜸㕤㌴搷搸㜵捥〳㌳㡢㈲收㍢㉢ㅣ㙦㝥㔲㥦㉡㠹㜵㜵㔵晣㌱㔱戰愱㉥㝢㜷戹㔰㜱㐷换戶攷㤴㑢昵㈵挳挵㌹ㅤ㤲愶㜸愸㕣ㄴ挹㘴㐲ち〵〸摣㡥づ㐵㐹摣搶㥡ㄷ㈴㈲㈲㈸㈶㈳㕦㕥㑦㜶戹㘳㔸ㅤ㔶㔱ㄲ愴㐹昵㠶㐵㍡攳㝣愵㡣㠹攱挰挸㥡愸㍦㌸攸㉤㡢㜴㕢挵摣㈷㕢㔹㔵晢㠳搵敦㥡ㄳ戶户㔷户㡢㈵攱挴㙡㍦㠵㌳搲㝡〱㔲ㄷ㈱㄰㕡敥ㅥ㔵㥤㜲㑥㤹㑦㥤㌵㡢摥㑣㝡㐶㤸搳㌳ㅥ昲愰㈱㌳ㄹ㙥㙤搳愳㕤㠶㉣㙤㌵㐱㍦㐰㌶㥢㐸慦㘱愵㜴ㄶ㑦㈲㐵改ㄴ挳换㜵㠲㥣敤敡㜸戹摢搸㙤㤶㍣攱ぢ攵㕥〳ㄸ昱戵㥡㐴㕦て㐹搴搱ぢ扥挲㔸㘳㡣㠲㑡㜵搳昶收㙢㝣摢挴㈵㍥ㄱ慤挸㠲㘵㈷ぢ㈸ち敡攵㐱っ慦㠱㘸ㅡ愴㐱㝣攵〸ㄱ㤱つ㘲㌴㍢㝡慥㈷㌲搶㡦㤱ㄱ愸ㅦ㈵㐲搶摥摣㕡㐶㤰搸㥢㠹㤴㡤㕡昲攳㡡㌴㕢挸㤶昷愵搹㕡㙣㥣戶㡥㘰㍤挱攵〴ㅢ〰㤴扦㐱挲㔱捡㈱㕤晦㘸㔷攰㕤扢㤲攰㉡〰挸㈷㡤㌲㈷㄰㔵戴愱㤶㘲㐷戲㕥て散㘴㘹ㄴ晢愲㠸㤶㜱搵捥散戱㈴愲〳慢㜳㜹攸摡愴搴戱㌷戵愶捤攸㜲㐸㤱㌱㔵愳㙢㕤愴㙡㜴㈳㔸戵㑤扤㜵つ㥡㙡〳〴搷〲昸㡡㠵挶敥搲慣㜹㥡㤳㤷㠴㐹攴ㅢ㐲㙤㉡昷㠰㠸㘹晥挷〸戸愶愳换㡡晤㑣㔳㜰搰戸攴敤攷㑤慤㜹㍢㐰㝡㠳捥㕣搱㌹昴ㄵ㝤㐸ぢ晡㍡戰㤷昲攷㤶晡攵〶ㄴ㙢㌷ㄲ摣〴搰愰㕦㜸昲晥戰㕥〲㘹ㄲ㕢ㄱ捣慤愶挷㐵㕡戸㤳昳戳㐲㙡㥦㙥㘳㔲㜷愶㠵〷敦挵扥㌱搸挱㘵挷ㄱ㈵ㅣ㘸㡢㌲㠳㘷㤷昵昵㤹敥㙥愷㙣㌱㝦挵㍥㜶㉦〹挵㤰㑣慡ㅤ㠹〶晢㌸挶捥㡣昸㥢㈲㤴㐳晤㝢㐷㙢㈱ㄱ㘹㔴㑦㕥㙣ㄷ㝦戶㕣㤱㈴㙤㐸㤲㕢戰慤摡慤〰㤰ㄲ捡ㅦ㕢㑡㤴㐱㔶摢㈴慢搵㕢慢昴敥挵㥣㑣ㅡ晣㠷㑤㜲愴换㜷搶㡥挰㜷攰昶㔸ㄳ愶㔵ㄵㄶ㕤搶戸㜰ち昰㉢㤸㈵㤱昵㕤戲ㄴ㌵㉢戲攲ㄲ㤱ㄵㅤㅤ㑤㘷改ㄸ摦㥡愴㤳〶㈹ㄱ换敤戱㠵㌱攷昰ㅡ㔱搱〵㐹愱ㄲ攳ㄶ慡㑡㈰㔲ㅥ敢慥㠸㤸㌶㐴㑣づㅢ愷摤㑥戰㤹㘰〸㈰昵㝢㐸㥡愵㙥㍣㐳㘱㥤㜳㜴㘷攷昳㠹っ搱㈰摤㠳㙦戵ㄴ㔶㕢㌹捣㌶㠲㍢〱ㅡ捣ㅦ㍡ㅦ㘳〸㔱愲㍣㐲㠸戴㤶㌴攳㠴㈹捥㤲〶㔶ㄹ〸㉡㡤㔶㕣慦㙣㌱慡搴㘳㡣㤵て㤷扤㌱搳㥤㐵ㄴ慡摦〸ㄲ㈷㘷㠴つ敡㜲㘰晢㌴攴㤵㘷㘷㐵㔱㌳㈶捡ㄵ㠸戶㝤㘳换攱㔰㡥昵挱㤶㤴攷㜲㔵挱搳摥搹ㄸ㕤㈸昲㐴っ㕦㉢㍤戱㑢昲㝣昳搰搷㕢摢搱㐹搳㉢㠹㉥挳㘷㍡愶㌳〶㜶ㄱ㔱㠳㘲愷㌱㌹攳〸㌱搶㘳散㜱捣㘲挹戴〵㤱〱ㅢ㤳㠱扡㠳㘲ㅡㄱ㠲昱㌲攳㝦㘵扢挷㤸㜴㜴摢㥤搵ㄹ㑣㥣㕦㕤昷㈶㐳㈲㈹㘳挴戴㕤っ㈳戱挸㜴慦㌱㌱㔳㍥㡢㘸㙤挵戲昷攸戳敥戲挰ち㠹摥㝦㈴㙡ㄴ㔵㔱㔵㈵愳㘶摡挵てて攴㠹挴ㄶ晣㤲〴ㄲ㔷㠹ㄴ晤攵㌱摡㥢㜶㝤㄰㥦愱㥤捥㌹㜵㈳㜲㔴捤散㠸㤵挲攴㔴敤㙥戶戹〷㘰晦㥥攳晢㙡㔱戹㡦ㄴ慦㑥搱挳ㅦ㈳攳㈵㔹㔴㠳㈰昴捦慤昲㐹㠵㜹愴ㅣ㜰㈰㌰捥户㐶昲换ㅡ戲づ愹㙦㔵㉤戹ㅢ㔱愴㙥攳愰㍥㈵㑡㠸㐵㕢扡户捡㝦愱ㄹ㙢改㈵㌷㈸ㅢ㉤㕢㤶㑥搲㈲㔹㑥ㄴ㜴㔲昰㜰挵㉢ㅦ㌲㙤捤〰㤰昴ㄷ㘴改攷㤰愵㥦㤳㔹摤挶㌱㠶〵㘵㥡㝤㤵愷㜵挷昴㘶㉣戳㤰攱ぢ㐳㜷换㠲㈶挱攴㤴扣攱ㄳ捡㡣㠱〶㙢晥㌸㑣㌶㌷〷㜴攷㈰㐷戹㜵㐴㍦㈸㔷㔵搲昸愳戴改㔸㠲㠰㤱㕥㔲㙤㍢㝡㑢挹㥢ㄱ㄰㌹昲戹ㄸ摥扦戸昸〸㜲㝣扦ㅣ戱ㅥ㐳㈲昰〸㐶㠴㍣摤摢㘹攳戸㙤㝡挰ㅥ㌱戶摢昴挶㕣愰ㅣ〰㐹㜹扣摤㈸戱ㅡ㘹㌴㔸搵ち搷㌴ㄷ搵愹㠹慢㥢换愳㝡攳㠶〵㡡㝤㡤ㄲ㔱㈴㡢㔵㤲㥡㘵㠱㌹㉥㈷㔵愳㐸挵ㅤ㙡ㅢ㈵捥㙤㕡摢㜷㑡㤱㡦愰㤸㈴捤㈴戴ㅤ㤲㔰㄰攴㈵㜵㐰㐷搱㕦ㅦ㑦ㅥ㤱㘸つ㙤㠰㉣昵㤴㥦搷ㄳ㠴〳昷攱捡㐹㔱㘴㠳㌷昰昷慡㈰㜹愴攲搵㤵攸攷晡㠳㤲攱㔲改㠸つ㉢愱愰㍢挵㘵挲搲㔸㥢慦㘱㈴㜷戶慢晤晤敤㡤㌰㘲挰㠶っ㠹挴昸㠱挱㠶㘰慥㐸㌴㤵搶㔹て户扡㥡㥤攱摢㈱愱摢ㄲ〳ㄳ㕥㜱㑣捣㐹㌳慣㘶挹昷换〶搵搳愲㤴愳㥡㌱㍣攵㐲愵㝢㤴攳㐱㑡㌲戸㘶ㅣ愳㕢ちㄷㄸ㈰㜶㠳搴㜸挱㐳㔸户摡〱㑦〶换〷㍢搸ㄱ㍦㙣㐲敢㡣ㄲ㌴ㅤ㐳戸昵㡢㈰敦戴㠹㔱〸㔲㐳㍥晦摡愹㍣晢っ㥦㥦散㑣㠴㠹㠰㠹ㄸ敡㡡戱ㅥ㠰摣㘸㔴㤲㕣搴ㅦ〶换㝤挹㈶㠵㔶㜷㤸㐷ㄳ愳㠷㈶㥦攳攱〶て攳㔸扤㘴㥢ㄲ敥戸㜹㈶戴㘹㘹㝥㤵戱捦㉥㤴㉡㐵㈱㔵㜱㈸慢愵㐶㕥ㄶ昸㤲搷晦㝣㙥㡡搹㤷㘰㔳昶攱㈸挵㈵ㄳ㐹敤摢摤摡㘷搰㕣ち㌹昴攱换㌶〶ㅦ㘳摣㜲㌲ㄸ搶㜴㐷㠱昶攱敡摡攵〵㜹㜱づ㈲慤㈹㡢戲散㈰敥攲㔵㈳挸㤲摢㈲搵づ㤶て㤶㘹戳㐷戲昶㥡㝥搶戲挰ㄱ搶改ぢ扣㜴ㅡ挶㐸㥢摣挱㑥ㄲㄷ㠳挸敥挵㐷攴㙢攲攲捥挰昸㔰ㄸ摦攵㈹㈸㠱㕤〵㈳搱攰㔶㙢㔶户挲挸㉦㉤㙦敤㕥〰㠵㈱㘰ㅡ戴愸改ㅢ㌸㈳㐸㉦㙥攰㌰ㄸㄹㄳㅤ㡤〶㔲ㄹ愳散㠷挳ㅥ㐸〳㌷昱㈰㍤㔹㠶ㄲ昲搶挸㑢㘱攱扤挴㐱ぢ㐷愰戲戳慥㈱㜳㕣昷㜰昵挵摥搰㤰㍤㕣㉣搲摣㠵㝦㙥㔹㘰ㄵ搷㌶㝣㜳㜴㑤挳㠵㉣戹㈶摡㜷搷㌷ㄴ〴ㄷ〵户㡣攵昶敡㕥㘱㘶挲㥢昷㉦㙤戵㑢ㄲ愹㕦挲ㅦ戱攰攸戴㤹㤳㌶㉦愱捥㜱敦戳愷敤昲㔹㕢捥㉢攵昲挶ㅦ慤㔸慤戳㤳㤳捣㈶㍥挰ㅦ昹愸㠹搴敢攸㜱㈹搳㘶〷㌵〷〹晢㤱㡦㉦つ〶㤰㡥愱ㄳ搸敥搵ㅢ〳愴㤳㌵つ㜴㈲〵挱ち愱搸搳ㅦㅢ愱㈸扦〰㕡㐹㉣晥㤱ㅣ㝢晥㈲㔸㕦昹㌹㜲㠸㜰扣〷㘲㈴㜵㉤㔲㌱愸㤳㠲㍣戸摥挱换㈰晦㍦㔸ち戹㜹㐱㜶晡㉦㌰戳昲㕡㈳㡡慥㈶㡡㕥㙤㐶ㄱ〳戱ㅦ㉡攴捤搹慦ㅣ㌵㍦昱㙢扤晦挳愳收㝥㘰㤸㡦戴挶㄰㔴㘳㌰扥㙡っ㜴㌴ㄹ〳㌷愲㔸ㅡ〳〷搸㠶昱㝡摦ㄸ〸扣ㅤ㠷㤰戱戸㌱挰㈸㕥㡣挹ㄷ〹慡㐶ㅣㄸ㍣㙢慤戳攸〹摢㡢敢戵挲㐵攴ㅥ敡挹ㅤ㠵敦㘹㝤㜳昶戸敥攸搶〶㤹扦挷ㄱ㔰㕢捥㈴敥㙢换㈶㙣戱㜱挱ㄲ搹㘸〱慦㐴攸㑦㕦昱㥣㉣敤㤶㍡㌰攵㍦扥愳㕥挹㈸改㡦攰ㄳ㔱㜸㐲㐸㝣㘱捤㑢㝢晥昲搰㘳㍢㜹㉦㉤愰搵ㄴ〳挱敤〴攷㘹㌹㈰㝣ㅢ戹ㄲ戲㤶㥦摦ㅣ挲㠷㐸收㙣㐹㡣攸㡥戴㜷㕣捤ち㤳㍥攱㐵〸搳㈷扥攵㘰㑣攲㠶㠳㙦㑣收ㅡㅣ㥢昲昳㈵改っ捣㐵㈶㉥扤㜷㘱㠰㔰㘹愹戲摡戴㉢㔳㍦㠳搲昹㤰ㄳ愹户〷㜹扥攴愳㈸㉦㌷㙡戵㙤搴㙡搲㑣㔴〶㔱㈳㤴㔲㠸㌴㤰㐲愲㐷ㄶ㠶晥愵㤴ㅡ㐷㈲㤵〳㠸㠹愱㌵〶㜳㜹昲㕦ㄱ〲愲㝡扤慦捤㑦㔵戰㡢挰㘲攸㜵㙦昷散㑡慢㌳㔴㑤っ捡捡搳挷㔱㈴攴㌱㠵ㄹ㡣搲捡摣㘳㐸㠴㑦㙡〸愹㈵㍢㥥㌸㐸㡦攵㠷搸㝣挶㑥㔹昴慡㘵慤㕤㜶〵㜷㍣愰㘷搲㔲㘱搸慢㤹㡤愳愷㡣挶昹㔵戳㝥ㄶ㘱慦㥦慣㌶敡ち㡡愰戳散つ㌸㝦㈲捣挷敦㠱㔸㍥㔸敢㝡㙤㘳〹㜵㥣摤㠹〵昲〷晢敢敡ㄸ挶挶愸攴ㄸ㐸搸㈵搵捡昸㤷挰㈷搰㐴摡昳㡡㔶㑢㜲㉣㐵㘱㌴㍡攴慣づ戵㐹晦㌳㑥㉤㌹㙢㤲戵ㄹ戰慥搳晦㈷㤰戱愸晥㔷ㄸ㘵㤳㈸㍢ㄹ㈴昸㤲㘲愴㘴搱攰っ㜷〴㍥㙣㠴㘹攴ㄱ㔸㤳㐹〶户晤搴〴㍥㔱昵㡢愵〴㠷㠷㉢搹㜸〹愲摡㤶戶㙤㔷㑢〱挸㈸㔰敡挷㄰㐱㉤摢㜳搲捤攷搸昴㝤挸㕥㜳挸㉣㌸㘵户㙣㜸〳ㄳ〸敦づ昰ぢ㌳〳㌶捦戰昲㘲愳㔰扢ㅥ㍢搱㝤㍦摡ㅣ㍥〲㠱㝤㔸㜸ㅦ㔷搴㤱㌱㠴愵挵㉣昸戵㔱㕦㈴㤰㐴敤攰㕥㘶ㅣ慤攸㈵㝣愰㝡〴㕥㑤㡦㔹换㐲搹昹扥攵挶扢ㄸ摣㍡摣挶㍡〰捦㡦㈸攵㄰〶㤳㑢戸晦〱敥㙢攳ㅥ搴搷つ搶收戲㘶㝢摥戵㙣敡㐷挰改搲㐶愹㈷ㄹ㡥挹敦㡥戳摡〳㠴㠸昳搰㍢扡㜴㔷㉣㝢敢〷㥤〷㥦㙤搳攵㌵㔸㠲愳㙣〹㜱敥捦愳愹㜲㉦〱㝥㕡㍥㐸昰㐵愱㍦㙦㍢ㄳ捦㘳㔹㘴〰愴ㄳ㘹ㅤ愰㌵㔵晦㘰㈱慡㔶㜸戴㈰ㄵ㘶㤵敦愳㥣扢攴慦戶挸㍣ㅣ㌵攴ㄱ〲㘹㉤㉡戹ㄵㅥ㈱攴昸捦愲㐱㜵晣㘹攴戶ㅥ晦扢ぢ㡥㑦攵㉦搷ㄷ敤扦㉦㔴ㅥ摡㈹づ㝤㥡愰㐴㘰〱昴㠵㌵㝢㈹ㄶ㈹㙢搲㝥㄰攱戵㥤㐸攳昹㐳昰敦㍢㍢摦㝡㤳捦㍦㜷㉡㔲㄰愲愸㝥ㄵㄴ㠴㜲ㄵ㑦㐵㔷㌱㡢摣搶慢昸搶㐲慢攸愳㡣攴㑣㌴〷愰愷㐳㈱慤挸㔵戹㐸㜰㐳昹㔳㈴㐲㤱愸㥢㐵ㅦㄱ㉢摢㔶㤰㐰㕢敥扣㙣㍢㠷㐴搸㌶挵㡤㠸昹㠴㐷摡㐷扣昲㐸慦㑤摡㜷扢愶㝤慤㤸戱〲㝦敢戲㤰つ㔸ㄲ扦㠹㙤㈹搲搳㙤挶昲㤵㈷㐳挴散摤ㅢ㝥ㅦ愵〶搱㈵㄰㠶㙦㤱㤲㤰戸㤱捡㔷挳捡㉦扦㔲㜳㡥愲〰て愸挷慦㑣㠲㤳㤵㥦〸㉢㙦挱户㔷戲㑥㠲㜷〵昸扣ㄳ㔶㈶㘱捡捡㡦㠷㤵晦戱㘵㐳戵㜲㐸㠷㝥捦㈹ㄲ㐹㡣慤㉢慤晦挸㜷搸㍣㔴愷っ敡捦㉥挳捦愶攴㤴㐱攲㤲搴愰摤戸昶攱攰㑢攸㠳戸挵㠴换ㅥ㄰戲晥㝦㠸戰て户㥢挶㜴㑦挷㠷捥㜳〸㉢㍢㥡㝣㘳攳戴㜱挴㐱㐶愷戱捦挵㤹慡戸慣㐸〴收㐰搲摦摦㐵摣敦㌱愶㘳㙤㍦挲㜰㤸捡摢㈲敤㈹てㄹ㐲㐹㉡㡦㠵㤸㑤㕣愸搱㡣昶㐵㈰〷㘲ㄲ㤰〹敤㘱㐰㍦攴戲㠶ㄹ㝤攴㝦挹摣ㄷ㤰搰ㅥ㈵昸ㄲ㐰㔶㈱戳㤳づ搲㕦〶攸つ晦㍢㡡㠱㌹改㉦㔱㤵昳攱㘰㔱㌲搲扥挲〶㡦〳㜴挰㔱慢〴㐴㤸搵㥥㐰㑥㜴㔰ちづ㌹攸㤳㉣昸ㅡ挱搷〱戲㈹㑥㜶挹扢挶㌵戵愹戹扥㠱愶ち户㐲捡戱㙦〶〹扥愴㉥〰㙣㙦㙤㉢昳㈸ㅣ㝥扥㡦愰㘶摤㜷晡扢昰摤晤㍣ㄷ摤㠱晦㜶㈴㈵つ晢愴晡愹昶晡㈲ㄳ搰㈶㤷㍦〷㥢晤ㄱ晡攱扡㙡㌶㈶㝢晣㌴㝥ㄹ㌵慤㍣㡡㝦㉦攰愷㥣挱〸ㅣ㠵㥡㌶〳㌷ぢ㘹㐰ㄶ捣〶〵㔴㔹摡㔳〰ち㜱㑣㍣㘹㑦昳㡤愸㘵晦摡户㠳〴㕦ㄴ攲昵〲ㄳ愵愰㜹㌸㈰㜱㉤ぢ㑥㌷っ㐸晣换㠲㔳搱〱扦㠳㕣㐵㈲ぢ㠹㝡慤㐴愴㈵㤹晢っ㐰㑦㐷㉦攷㐶㉤愷㥥㔳ちてㄶㅦ㝣昰扤摥攴挰挶攴㘷敦敤㝥收㥤摦扤晢昴摢㥦摢昱昷昷㥦㝢敥敤扦㍥晤收晢慦㑦敤昸捤ぢ㉦晣㝡晦て摦㝣㜷戵昱扣晡捡㝢〷㥦㍦㍦㜴晡晣ㄹ攳昸㙤㝢捥摦㜷敡攸搰昸㘵㠳ㅤㅤ㥤㥤㌷昷扦㜱昹㉤㝤ㄷ捥扣慡晣敡㑦敢㙤㐵㉥㤷〳ㅥ〳〸㥦㍥㉥㕢㑥攳㝢㐸㘰ㅡ㥣昱㈷㍡つ㉥昷〲㝥㑡㌱搸愸ㄱ扣㘴攰搳攰〴㘴㐱愱扥愰敢㍦挶ㄴ戱扦</t>
  </si>
  <si>
    <t>Cell: F63</t>
  </si>
  <si>
    <t>Assumption: Weighting Price/Revenue</t>
  </si>
  <si>
    <t>Cell: B63</t>
  </si>
  <si>
    <t>Assumption: Weighting Price/EPS</t>
  </si>
  <si>
    <t>Cell: C63</t>
  </si>
  <si>
    <t>Assumption: Weighting EV/Revenue</t>
  </si>
  <si>
    <t>Cell: G63</t>
  </si>
  <si>
    <t>Assumption: Weighting EV/FCFF</t>
  </si>
  <si>
    <t>Cell: E63</t>
  </si>
  <si>
    <t>Assumption: Weighting EV/EBITDA</t>
  </si>
  <si>
    <t>Cell: D63</t>
  </si>
  <si>
    <t>Assumption: Weighting EV/EBIT</t>
  </si>
  <si>
    <t>(=F54)</t>
  </si>
  <si>
    <t>(=F53)</t>
  </si>
  <si>
    <t>Cell: F58</t>
  </si>
  <si>
    <t>Assumption: Price/Revenue</t>
  </si>
  <si>
    <t>Cell: B58</t>
  </si>
  <si>
    <t>Assumption: Price/EPS</t>
  </si>
  <si>
    <t>Cell: C58</t>
  </si>
  <si>
    <t>Assumption: EV/Rev (cont'd)</t>
  </si>
  <si>
    <t>(=C46)</t>
  </si>
  <si>
    <t>Assumption: EV/Rev</t>
  </si>
  <si>
    <t>(=G51)</t>
  </si>
  <si>
    <t>(=G50)</t>
  </si>
  <si>
    <t>Cell: G58</t>
  </si>
  <si>
    <t>Assumption: EV/FCFF</t>
  </si>
  <si>
    <t>(=E54)</t>
  </si>
  <si>
    <t>(=E53)</t>
  </si>
  <si>
    <t>Cell: E58</t>
  </si>
  <si>
    <t>Assumption: EV/EBITDA</t>
  </si>
  <si>
    <t>(=D54)</t>
  </si>
  <si>
    <t>(=D53)</t>
  </si>
  <si>
    <t>Cell: D58</t>
  </si>
  <si>
    <t>Assumption: EV/EBIT</t>
  </si>
  <si>
    <t>Worksheet: [Group1_Section81_ChengyiXu_MAR_Stage2.xlsx]Multiples Valuation RISKS</t>
  </si>
  <si>
    <t>After 5,000 trials, the std. error of the mean is 1.01</t>
  </si>
  <si>
    <t>Entire range is from 151.44 to 808.32</t>
  </si>
  <si>
    <t>Certainty level is 57.59%</t>
  </si>
  <si>
    <t>Cell: B64</t>
  </si>
  <si>
    <t>Forecast: Share Price Multiple Valuation (cont'd)</t>
  </si>
  <si>
    <t>After 5,000 trials, the std. error of the mean is 0.75</t>
  </si>
  <si>
    <t>Base case is 158.87</t>
  </si>
  <si>
    <t>Entire range is from 14.57 to 345.82</t>
  </si>
  <si>
    <t>Forecast: Share Price Multiple Valuation</t>
  </si>
  <si>
    <t>After 5,000 trials, the std. error of the mean is 1.74</t>
  </si>
  <si>
    <t>Entire range is from  (212.35) to 802.43</t>
  </si>
  <si>
    <t>Certainty level is 17.47%</t>
  </si>
  <si>
    <t>Simulation stopped on 5/2/2023 at 6:43 PM</t>
  </si>
  <si>
    <t>Simulation started on 5/2/2023 at 6:29 PM</t>
  </si>
  <si>
    <t xml:space="preserve">Sensitivity: Share Price Multiple Valuation </t>
  </si>
  <si>
    <t>EV/Rev</t>
  </si>
  <si>
    <t>Weighting EV/Revenue</t>
  </si>
  <si>
    <t>Weighting Price/Revenue</t>
  </si>
  <si>
    <t>Weighting Price/EPS</t>
  </si>
  <si>
    <t>Weighting EV/EBITDA</t>
  </si>
  <si>
    <t>Weighting EV/FCFF</t>
  </si>
  <si>
    <t>cf19a37e-a64f-4360-acdc-fe66ef456150</t>
  </si>
  <si>
    <t>㜸〱敤㕣㕢㙣ㅣ㔷ㄹ摥ㄹ敦慥㜷搶㜶散挶戹㌴改捤扤㕦ㅣ㙤攳㌴㘹㕡㑡㐸㝤㘹㉥㡤ㄳ㍢戱㤳㔲㤵戲ㅤ敦㥥戱㈷搹㤹㜵㘷㘶㥤戸ㄴ㥡㐲㘹㈹ㄷ愱㤶〷摡㔲愰慡㔰〵㉦㐸攵愱㙡愱㍣㈰㈱㠱㔰㡢㜸愸㤰㜸㐰㉡ㄵ㠲〷㄰㡡挴㑢ㅦ㉡㠵敦㍢㌳戳㍢扢敢ㅤ㍢㥢ㄶㅣ攴㐹昶捦㤹㜳㍦攷扦㥥晦㍦㤳㠴㤲㐸㈴捥攳攱扦㝣㤲㑣㕣㌹戵攸㝡挲捡㡤㤶㑢㈵㔱昰捣戲敤收㠶ㅤ㐷㕦ㅣ㌷㕤慦〳ㄵ搲㜹ㄳ攵㙥㉡敦㥡㡦㠹㑣㝥㐱㌸㉥㉡愵ㄲ㠹㑣㐶㔳㔱捥㑥昸敢ぢ㕦㌴戶敡㑥〲㑣㡦㡥㑣捣㥣㐴慦㔳㕥搹ㄱ摢〶㑥昸㙤昷っつ攵㠶㜲㍢㜷て摤㤹摢扥㙤㘰戴㔲昲㉡㡥搸㘳㡢㡡攷攸愵㙤〳㤳㤵㤹㤲㔹㌸㈴ㄶ愷换愷㠴扤㐷捣㙣扦㘳㐶摦㜹搷搰捥㕤扢㡣扢敦扥慢ㅢ㐳㈷㡥㡣㡥㑣㍡挲㜰㍦愶㍥㔳㥣昲捥㌱㔱㌰戹㌶㈱ㅣ搳㥥捤㡤㡥攰㙦㘴晥㜸摢㥤㥢㥡ㄳ挲攳搰挲ㄱ㜶㐱戸ㅡㅡ㜶㔹挳慥㕢戱收戹㜹㥡戵て㑢㉤攸慥㤷戲㐶㐵愹愴㔹㘱慦ㄹ㙢〲㝢㔷搲ㄷ扢慤㈹㘱扢愶㘷㉥㤸摥㘲摡㥡㐶㐷挵ㅥ敢戸㉢㡥改昶慣㌸愲㕢㈲㘵敤慦㤸挵愴晦㈴㍡㙥づ扢㠸㑥㑣㉥㍦㌷散㕡愳㜳扡㈳㘷攴㜲㘳㘲敡敥㜳ち昵㜵慦㙦摤㉦愷㉥㐷㘰㥦㌷戶慥㠷㤲ㄳ扡㔳慤㌹搸扡㘶戰昸晡ㄹ摣摥扡㝥㘴㡦敡摢摣摡扡㡤摣捡晡摡㑡㔷㐰摦㜲㐷戱ㄸ㉤㑤搰㐹㤰㈱㈰〲戵㉣㐱ㄷ㐱㌷㠰㤲晣㌷戸㈴摡㤰㐵㙡㕥㔷昳㌳㙡扥愰收㡢㙡㕥愸㜹㐳捤捦慡昹㌹㌵㙦慡昹㤳㙡晥ㄴ敡㠴㑦愶戳㔳つ㥥㌷㜶㙦扣㙣晥晣ぢ㘳捦㥥晦㜰昱搰捣昸㜳摤敢㔰改㘸㌰愹㌱㐷㍦つ㔲慢㔱昱㡥摣㜶晥㔹㥥㉢挰ㄴ挶㉥㘳户㌱㌴㔴摣戵㕤扦㐳㑦㜱㔹㌱挸慦㈳㤴㍥搴敤㌶ㅥ㌰敤㘲昹戴挴摤㤵㈳扡㉢㙡ㅢ㌷ㄸ㤴㡤㤴㉢㜶搱扤㘲改挲㈹㑦昷挴搶挶戲㕡㈷㑤捤愶挰㔶挲㤵攳㕤摤搸散㠴㕥慡㠸攱㌳愶㕦㝣㔵㐳戱㌵改㤴㘷㕡㤷敥㜳挴愳搵搲愶ㄹつ㐳愸㉤挸扥㥢㔶改ㄷ昹昳ㅡㄸ㥤㉢扢挲㤶搳ㅢ戴㈶捤挲㈹攱㑣〹㡡㐴㔱㤴㑢摤挸愲㠰敢〷㈷㙣㉣ㄴ摣㕡扣㉥㥡㙢摣㜷挶〳㌳㡢㈲收㍢㉦ㅣ㙦㜱㕡㥦㈹㠹㑤㜵㔵晣㌱㔱戰愵㉥㝢㕦戹㔰㜱㐷换戶攷㤴㑢昵㈵挳挵〵ㅤ㤲愶㜸戸㕣ㄴ挹㘴㐲ち〵〸摣㡥づ㐵㐹摣搶㥡ㄷ㈴㈲㈲㈸㈶㈳㕦㕥㑦㜶戹㘳㔸ㅤ㔶㔱ㄲ愴㐹昵㠶㘵㍡攳㝣愵㡣㠹攱挰挸㥡愸㍦㌸攸㉤换㜴㕢挵摣㈷㕢㔹㔵晢㠳搵摦户㈰㙣敦㠰㙥ㄷ㑢挲㠹搵㝥ち㘷愴昵〲愴捥㐱㈰戴摣㍤慡㍡攵㡣戲㤸㍡㙤ㄶ扤戹昴㥣㌰㘷攷㍣攴㐱㐳㘶㌲摣摡愶㐷扢っ㔹摡㝡㠲㝥㠰㙣㌶㤱摥挰㑡改㉣㥥㐴㡡搲㈹㠶㤷敢〴㌹摢搵昱㜲户戱捦㉣㜹挲ㄷ捡扤〶㌰攲㙢㌵㠹扥ㅥ㤲愸愳ㄷ㝣㠵戱挱ㄸ〵㤵敡愶敤㉤搶昸戶㠹㑢㝣㈲㕡㤳〵慢㑥ㄶ㔰ㄴ搴换㠳ㄸ㕥〳搱㌴㐸㠳昸捡ㄱ㈲㈲ㅢ挴㘸㜶昴㕣㑦㘴慣ㅦ㈳㈳㔰㍦㑡㠴慣扤扤戵㡣㈰戱㌷ㄳ㈹ㅢ戵攴挷㌵㘹戶㤴㉤敦㑢戳㡤搸㌸㙤ㄳ挱㘶㠲换〹戶〰㈸㝦㠳㠴愳㤴㐳扡晥搱慥挰扢㜶㈵挱㔵〰㤰㑦ㅡ㘵㑥㈰慡㘸㐳慤挴㡥㘴扤ㅥ搸挹搲㈸昶㐵ㄱ㉤攳慡㥤搹㘳㐹㐴〷㔶攷敡搰戵㐹愹㘳㙦㙡㑤㥢搱攵㤰㈲㘳慡㐶搷扡㑣搵攸㐶戰㙡㥢㝡敢ㅡ㌴搵〶〸慥〵昰ㄵぢ㡤摤㤵㔹昳㌴㈷㉦〹㤳挸㌷㠴摡㔴敥〱ㄱ搳晣㡦ㄱ㜰㑤㐷㤷㌵晢㤹愶攰愰㜱挹摢捦摢㕡昳㜶㠰昴〶㥤戹愶㜳攸㉢扡㐰ぢ晡㍡戰㤷昲攷㤶晡攵〶ㄴ㙢㌷ㄲ摣〴搰愰㕦㜸昲扥㔰㉦㠱㌴㠹慤〸收搶搳攳㈲㉤摣改挵㜹㈱戵㑦户㌱慤㍢戳挲㠳昷攲攰ㄸ散攰戲攳㠸ㄲづ戴㐵㤹挱戳换收晡㑣㜷㥦㔳戶㤸扦㘶ㅦ扢㤷㠴㘲㐸㈶搵㡥㐴㠳㝤ㅣ㘳㘷㐶晣㑤ㄱ捡愱晥扤愳戵㤰㠸㌴慡㈷㉦戶㡢㍦㕢慥㐹㤲㌶㈴挹㉤搸㔶敤㔶〰㐸〹攵㡦㉤㈵捡㈰慢㙤㤳搵敡慤㔵㝡昷㘲㑥㈶つ晥挳㈶㌹搲攵㍢㙢㐷攰㍢㜰㝢慣㈹搳慡ち㡢㉥㙢㔲㌸〵昸ㄵ捣㤲挸晡㉥㔹㡡㥡㌵㔹㜱㠹挸㡡㡥㡥愶戳㜴㡣㙦㑤搲㐹㠳㤴㠸攵昶搸挲㤸㜳㜸㡤愸攸㠲愴㔰㠹㜱ぢ㔵㈵㄰㈹㡦㜵搷㐴㑣ㅢ㈲㈶㠷㡤搳㙥㈷搸㑥㌰〴㤰晡㍤㈴捤㑡㌷㥥愱戰捥〵扡戳昳昹㐴㠶㘸㤰敥挱㜷㕢ち慢㥤ㅣ㘶ㄷ挱㥤〰つ收て㥤㡦㌱㠴㈸㔱ㅥ㈱㐴㕡㑢㥡㜱挲ㄴ愷㐹〳敢っ〴㤵㐶㉢慥㔷戶ㄸ㔵敡㌱挶捡㐷捡摥㤸改捥㈳ち搵㙦〴㠹〷收㠴つ敡㜲㘰晢㌴攴㤵攷攷㐵㔱㌳愶捡ㄵ㠸戶㠳㘳慢攱㔰㡥昵挱㤶㤴攷㜲㔵挱搳摥搹ㄸ㕤㈸昲㐴っ㕦㉢㍤戱㉢昲㝣昳搰搷㕢摢搱㘹搳㉢㠹㉥挳㘷㍡愶㌳〶㜶ㄱ㔱㠳㘲愷㌱㍤攷〸㌱搶㘳散㜷捣㘲挹戴〵㤱〱ㅢ㤳㠱扡㜱㌱㡢〸挱㘴㤹昱扦戲摤㘳㑣㍢扡敤捥敢っ㈶㉥慥慦㝢㤳㈱㤱㤴㌱㘲摡㉥㠶㤱㔸㘴扡搷㤸㥡㉢㥦㐶戴戶㘲搹晢昵㜹㜷㔵㘰㠵㐴敦㍦ㄲ㌵㡡慡愸慡㤲㔱㌳敤攲㠷〷昲㐴㘲〷㝥㐹〲㠹慢㐴㡡晥昲ㄸ敤㑤扢㍥㠸捦搰㑥攷㥣扡ㄱ㌹慡㘶㜶挴㑡㘱㜲慡㜶ㄷ摢摣つ㜰晦晥攳〷㙢㔱戹㡢㡡㔷愷攸攱㡦㤱昱㤲㉣慡㐱㄰晡攷搶昹愴挲㍣㔲づ㌸㄰ㄸ攷㕢㈳昹㘵つ㔹㠷搴户慥㤶摣㠷㈸㔲户㌱慥捦㠸ㄲ㘲搱㤶敥慤昳㕦㘸挶㕡㝡挹つ捡㐶换㤶愵㤳戴㐸㤶㔳〵㥤ㄴ㍣㕣昱捡㠷㑤㕢㌳〰㈴晤〵㔹晡ㄹ㘴改㘷㘴㔶户㜱㡣㘱㐱㤹㘶㕦攵㔹摤㌱扤㌹换㉣㘴昸挲搰摤慡愰㐹㌰㌹㈵㙦昸㠴㌲㘳愰挱㥡㍦づ㤳捤捤〱摤㌹挸㔱㙥ㅤ搱て捡㔵㤵㌴晥㈸㙤㍡㤶㈰㘰愴㤷㔴扢〷扤愵攴捤〸㠸ㅣ昹㥣ぢ敦㕦㥣㝢〲㌹扥㕦㡥㔸㡦㈱ㄱ㜸〴㈳㐲㥥敥敤戴㜱摣㌶㍤㘰㡦ㄸ摢㘷㝡㘳㉥㔰づ㠰愴㍣摥㙥㤵㔸㡤㌴ㅡ慣㙡㠵㙢㥡㡢敡搴挴搵捤攵㔱扤㜱挳ㄲ挵扥㐶㠹㈸㤲攵㉡㐹捤戲挴ㅣ㔷㤳慡㔱愴攲づ戵㡤ㄲ攷㌶慤敤㍢愵挸㐵㈸㈶㐹㌳〹㙤㡦㈴ㄴ〴㜹㐹ㅤ搰㔱昴搷挷㤳㐷㈴㕡㐳ㅢ㈰㑢㍤攵攷昵〴攱挰㠳戸㜲㔲ㄴ搹攰つ晣扤㉥㐸㑥㔴扣扡ㄲ晤㑣㝦㔰㌲㕣㉡㑤搸戰ㄲち扡㔳㕣㈵㉣㡤戵昹ㅡ㐶㜲㘷扢摡摦摦摥〸㈳〶㙣挸㤰㐸㡣ㅦㄸ㙣〸收㡡㐴㔳㘹㥤昵㜰慢慢搹ㄹ扥ㅤㄶ扡㉤㌱㌰攵ㄵ挷挴㠲㌴挳㙡㤶㝣扦㙣㔰㍤㉤㑡㌹慡ㄹ挳㌳㉥㔴扡㐷㌹ㅥ愴㈴㠳㙢挶㌱扡愵㜰㠱〱㘲㌷㐸㑤ㄶ㍣㠴㜵慢ㅤ昰㘴戰㝡戰㠳ㅤ昱挳㈶戴捥㈸㐱搳㌱㠴㕢扦〸昲㑥㥢ㄸ㠵㈰㌵攴昳慦扤捡㑢㉦昲昹挹摥㐴㤸〸㤸㠸愱慥ㄸ敢〱挸㡤㐶㈵挹㐵晤㘱戰摣㤷㙣㔲㘸㜵㠷㜹㌴㌱㝡㘸昲㌹ㅥ㙥昰㌰㡥搵㑢戶㈹攱㡥㥢㘷㐲㥢㤶ㄶ搷ㄹ〷敤㐲愹㔲ㄴ㔲ㄵ㠷戲㕡㙡攴㔵㠱㉦㜹晤捦攷愶㤸㝤〹㌶攵㈰㡥㔲㕣㌲㤱搴扥摤慤㝤〶捤愵㤰㐳ㅦ扥㙣㘳昰㌱挶㉤㈷㠳㘱㑤㜷ㄴ㘸ㅦ慥慦㕤㕥㤰ㄷ攷㈰搲㥡戲㈸换挶㜱ㄷ慦ㅡ㐱㤶摣ㄶ愹㌶㕥ㅥ㉦搳㘶㡦㘴ㅤ㌰晤慣㔵㠱㈳慣搳ㄷ㜸改㌴㡣㤱㌶戹㠳㥤㈴捥〵㤱摤㜳㑦挸搷挴戹扤㠱昱愱㌰扥换㔳㔰〲扢ち㐶愲挱慤搶慣㙥㠵㤱㕦㕡摥摡扤〰ち㐳挰㌴㘸㔱搳㌷㜰㐶㤰㕥摥挰㘱㌰㌲㈶㍡ㅡつ愴㌲㐶搹て㠷㍤㤰〶㙥攲㐱㝡扡っ㈵攴㙤㤰㤷挲挲㝢㠹㠳ㄶ㡥㐰㘵㘷㔳㐳收愴敥攱敡㡢扤愵㈱㝢戸㔸愴戹ぢ晦摣慡挰㉡慥㙤昸收攸㠶㠶ぢ㔹㜲㑤戴敦慥㙦㈸〸㉥ち敥ㄸ换ㅤ搰扤挲摣㤴户攸㕦摡㙡㤷㈴㔲扦㠴㍦㘲挹搱㘹㌳㈷㙤㕥㐲㕤攰摥㘷㑦搹攵搳戶㥣㔷捡攵㡤㍦㕡戱㕡㘷㈷㈷㤹㑤㥣挷ㅦ昹愸㠹搴摢攸㜱㈵搳㘶〷㌵〷〹晢㤱㡦㉦つ〶㤰㡥愱ㄳ搸敥搵ㅢ〳愴㤳つつ㜴㈲〵挱ㅡ愱搸戳ㅦㅢ愱㈸扦〰㕡㐹㉣晥㤱ㅣ㝢晥ㅡ㔸㕦昹㌹㜲㠸㜰扣〷㘲㈴㜵㉤㔲㌱愸㤳㠲㍣戸摥挱换㈰晦㍦㔸ち戹㜹㐹㜶晡㉦㌰戳昲㔶㈳㡡慥㈶㡡摥㙣㐶ㄱ〳戱ㄷㄴ昲收散搷㡥㥡㥦昸戵摥晦攱㔱昳㝥㘰㤸㡦戴挶㄰㔴㘳㌰扥㙡っ㜴㌴ㄹ〳㌷愲㔸ㅡ〳㠷搸㠶昱㝡摦ㄸ〸扣ㅤ㠷㤱戱扣㌱挰㈸㕥㡣挹ㄷ〹慡㐶ㅣㄸ㍣㙢㙤戲攸〹㍢㠰敢戵挲㐵攴ㅥ敡挹ㅤ㠵敦㘹㜳㜳昶愴敥攸搶ㄶ㤹扦摦ㄱ㔰㕢捥㌴敥㙢换㈶㙣戱㜵挹ㄲ搹㘸〹慦㐴攸㑦㕦昳㥣慣散㤶㍡㌰攵㍦扥愳㕥挹㈸改㡢昰㠹㈸㍣㈱㈴扥戰攱愷晢晦昲搸㔳㝢㜹㉦㉤愰搵ㄴ〳挱敤〴攷㘹㌹㈰㝣ㅢ戹ㄲ戲㤱㥦摦ㅣ挶㠷㐸收㝣㐹㡣攸㡥戴㜷㕣捤ち㤳㍥攱㐵〸搳㈷扥搵㘰㑣攲㠶㠳㙦㑣收ㅡㅣ㥢昲昳㈵改っ捣㐵㈶㉥扤㜷㘱㠰㔰㘹愹戲摡戴㉢㔳㍦㠳搲戹挰㠹搴摢㠳㍣㕦昲㔱㤴搷ㅢ戵摡㉥㙡㌵㘹㈶㉡㠳愸ㄱ㑡㈹㐴ㅡ㐸㈱搱㈳ぢ㐳晦㔲㑡㑤㈲㤱捡〱挴挴搰ㅡ㠳戹㍣昹慦〹〱㔱扤摥搷收愷㉡搸㐵㘰㌱昴扡户㝢㜶愵搵ㄹ慡㈶〶㘵攵改攳㈸ㄲ昲㤸挲っ㐶㘹㘵敥㌱㈴挲㈷㌵㠴搴㡡ㅤ㑦ㅣ愴挷昲㐳㙣㍥㘳愷㉣㝡搵戲搶㝤㜶〵㜷㍣愰㘷搲㔲㘱搸敢㤹㡤愳愷㡣挶昹㔵戳㝥ㄶ㘱慦㥦慣㌶敡ち㡡愰戳散㉤㌸㝦㈲捣挷敦㠱㔸㍥㔸敢㝡㘳㘳〹㜵㥣摤㠹〵昲〷晢敢敡ㄸ挶挶愸攴ㄸ㐸搸ㄵ搵捡昸㤷挰愷搰㐴摡昳㡡㔶㑢㜲㉣㐵㘱㌴㍡攴慣づ戵㐹晦㌳㑥㉤㌹㙢㥡戵ㄹ戰慥搳晦㈷㤰戱慣晥㔷ㄸ㘵㤳㈸㝢㈰㐸昰㈵挵㐸挹戲挱ㄹ敥〸㝣搸〸搳挸㈳戰㈶㤳っ㙥晢愹㈹㝣愲敡ㄷ㑢〹づて㔷戲昱ㄲ㐴戵㉤㙤摢慥㤶〲㤰㔱愰搴㡦㈱㠲㕡戶攷愴㥢捦戱改〷㤱扤攱戰㔹㜰捡㙥搹昰〶愶㄰摥ㅤ攰ㄷ㘶〶㙣㥥㘱攵戵㐶愱㜶㍤㜶愲晢㈱戴㌹㌲〱㠱㝤㐴㜸ㅦ㔷搴㤱㌱㠴㤵挵㉣昸戵㔱㕦㈴㤰㐴敤攰㕥㘶ㅣ慤攸㈵㝣愰㍡〱慦愶挷慣㔵愱散㝣摦㜲攳㕤っ㙥ㅤ㙥㘳ㅤ㠲攷㐷㤴㜲〸㠳挹㈵㍣昴㌰昷戵㜱て敡敢〶㙢㜳㔹戳㍤敦㕡㌶昵㈳攰㜴㘵愳搴㤳っ挷攴㜷挷㔹敤㘱㐲挴㜹攸ㅤ㕤戹㉢㤶扤昵㠳捥㠳捦戶改昲ㅡ㉣挱㔱戶㠲㌸昷攷搱㔴戹㤷〰㍦㉤ㅦ㈴昸愲搰㥦㜷てㄳ慦㘰㔹㘴〰愴ㄳ㘹ㅤ愰㌵㔵晦㘰㈹慡㔶㜸戴㈰ㄵ㘶㤵敦愳㥣扢攴慦戶挸㍣ㅣ㌵攴ㄱ〲㘹㉤㉡戹ㄵㅥ㈱攴昸㉦愱㐱㜵晣㔹攴戶ㅥ晦㠵㈵挷愷昲㤷敢㡢昶摦ㄷ㉡て敤㈴㠷㍥㐵㔰㈲戰〰晡挲㥡扤ㄴ㡢㤴㌵㘹㍦㠸昰搶㕥愴昱晣㈱昸昷晤扤敦扥挳攷㥦㝢ㄵ㈹〸㔱㔴扦ちち㐲戹㡡攷愲慢㤸㐷㙥敢㔵㝣㝢愹㔵昴㔱㐶㜲㈶㥡〳搰搳愱㤰㔶攴慡㕣㈴戸愱晣㈹ㄲ愱㐸搴捤愲㡦㠸㤵㙤㉢㐸愰㉤㜷㕥戶㕤㐰㈲㙣㥢攲㐶挴㝣挲㈳敤㈳㕥㜹愴搷㈶敤扢㕤搳扥㔶捣㔸㠱扦㜵㔵挸〶㉣㠹摦挴戶ㄴ改改㌶㘳昹捡戳㈱㘲づㅣ〸扦㡦㔲㠳攸ㄲ〸挳户㐸㐹㐸摣㐸攵㙢㘱攵搷摦愸㌹㐷㔱㠰〷搴攳㔷㈶挱挹捡捦㠴㤵㜷攰摢㉢㔹㈷挱扢〲㝣摥て㉢㤳㌰㘵攵愷挳捡晦搸戱愵㕡㌹愴㐳扦攷ㄴ㠹㈴挶搶㤵搶㝦攴㍢㙣ㅥ慡㔳〶昵㘷㤷攱㘷㔳㜲捡㈰㜱㐹㙡搰㙥㕣晢㜰昰㈵昴㌸㙥㌱攱戲〷㠴慣晦ㅦ㈲ㅣ挴敤愶㌱摤搳昱愱昳〲挲捡㡥㈶摦搸㌸㙤㑣㌸挸攸㌴づ扡㌸㔳ㄵ㔷ㄵ㠹挰ㅣ㐸晡晢扢㡣晢㍤挶㜴慣敤㐷ㄸづ㔳㜹㕢愴㍤攵㈱㐳㈸㐹攵愹㄰戳㠹戳㌵㥡搱扥〸攴㐰㑣〲㌲愱㝤〹搰て戹㙣㘰㐶ㅦ昹㕦㌲昷㔹㈴戴㈷〹扥っ㤰㔵挸散愴㠳昴㔷〰㝡挳晦㡥㘲㘰㐱晡㑢㔴攵昱㜰戰㈸ㄹ㘹㕦㘵㠳愷〱㍡攰愸㔵〲㈲捣㙡捦㈰㈷㍡㈸〵㠷ㅣ昴㔹ㄶ㝣㥤攰ㅢ〰搹ㄴ㈷扢攲㕤攳㥡摡搴㕣摦㐴㔳㠵㕢㈱攵搸户㠲〴㕦㔲㘷〱敥㘹㙤㉢昳㈸ㅣ㝥扥㡦愰㘶摤㜷晡昷攱扢晢㐵㉥扡〳晦敤㐸㑡ㅡ昶㐹昵㔳敤昵㐵㈶愰㑤㉥㝦づ㌶晢㈲晡攱扡㙡㌶㈶㝢晣㌴㝥ㄹ㌵慤㍣㠹㝦捦攲愷㍣㡡ㄱ㌸ち㌵㙤〶㙥ㄶ搲㠰㉣㤸てち愸戲戴攷〰ㄴ攲㤸㜸搲㥥攷ㅢ㔱换晥戵敦〴〹扥㈸挴敢㔹㈶㑡㐱昳㜰㐰攲㕡ㄶ㥣㙡ㄸ㤰昸㤷〵㈷愳〳㝥ㄷ戹㡡㐴ㄶㄲ昵㕡㠹㐸㑢㌲昷㐵㠰㥥㡥㕥捥㡤㕡㑥㍤愳ㄴㅥ㈹㍥昲挸㠷扤挹㠱慤挹捦摥摢晤攲晢扦晢攰昹昷㍥户攷敦ㅦ扤晣昲㝢㝦㝤晥㥤㡦摥㥥搹昳㥢㔷㕦晤昵晤㍦㝣攷㠳昵挶㉢敡ㅢㅦ㡥扦昲昸搰愹挷ㅦ㌵㡥摦戶晦昱〷㑦ㅥㅤ㥡扣㙣戰愳愳戳昳收晥摦㕥㝥㑢摦搹㐷摦㔴㝥昵愷捤戶㈲㤷换〱㡦〱㠴㑦ㅦ㤷㉤愷昱㍤㈴㌰つ捥昸ㄳ㥤〶㤷㝢ㄶ㍦愵ㄸ㙣搴〸㕥㌲昰㘹㜰〲戲愰㔰㕦搰昵ㅦㄶ晢戲㍣</t>
  </si>
  <si>
    <t>㜸〱敤㕢ぢ㜰㕣搷㔹摥戳扢昷㙡捦㑡㉢慤攵戸㠹攳挴㤱㘳攷搱挸㘸慣㌸㙥ㅣ㔲㡦㉤慦㉣㕢慤㙣㉢㤶ㅤ愷搰捣收㙡昷㕥㙢攳㝤㈸昷摥㤵㈵摡㌴改㠳昲愶㄰ㅥ㐳㑢㑡搲㔲ㅡㄲ㍡ㄴ㤸㠱㜶愶搰ㄹㄸ㑡㈸愴ㄳ㔲㌲ㄴ㘶㍡㑣愶㤴ㄶ搲㔰㕣㍡㐰㍡㉤㌱摦昷摦扢敦搵摡㔶摣㐱㌳昴搸昷摦昳㍥昷晣晦㝦晥搷戹㡡愸㐸㈴㜲〱㠹扦㑣㜱㘶慥㥢㕢昱㝣扢㌴㤶愹ㄴ㡢㜶捥㉦㔴捡摥搸㠴敢㕡㉢㌳〵捦㡦愱㠳㤹㉤愰摤㌳戲㕥攱挷散㐴㜶挹㜶㍤㜴㌲㈲㤱㐴㐲㐷搱捥㍥㝣搲戵㠲㘶㐹挷〹搰㉢㌲㘰〲㥣捣ㅣ㍣㍥晦㈰收㥦昳㉢慥扤㜳攴摥㘰㤶㝤攳攳㘳攳㘳㜷摣㌹晥愶戱㕤㍢㐷㌲搵愲㕦㜵敤㝤㘵扢敡扢㔶㜱攷挸㙣㜵扥㔸挸扤搵㕥㌹㔹㌹㙢㤷昷搹昳扢㜶捦㕢㜷散ㅤ扦㘳捦ㅥ攷慥扢昶づ昴㘱收㘳㤹㠳戳慥敤㜸㔷㙡捥〴攷㍣㥥㌹㌸㜶捣昶慦搴㥣ㅡ㜳㘲捡挹㑡挹㉡㤴慦搰愴〶戱扣㘷搲捥ㄵ㐸づ摢㜶ぢ攵㌳㘳㜸敤ㄶ㐴愳㜴攷搸㠴攷㔵㑢㡢愴㙣挶㉥ㄶ㑦搸づ户愸㑢㤳㥥㍦㙢戹㈵㙦愰㐴晣搹慥㕤捥搹摥㘰改搰㜲捥㉥㠶ㅤ扤㐴改㕥换㍤㘶㤵散㌸㌳㐳愵㠰㠶搳㜹扢散ㄷ晣㤵㔴改㤴㘷㥦戰捡㘷㙣㜶㌱㑡㠷慢㠵扣㡡挷昱㍦ㄲ扢愵摢㥢〹愱昰㍥愵捣㠲攵晡㔲㈲〹挷扢昵㙤㘲ㄷ搹㐵换㝢㤱愵㐶摡㐶㤱㘶㜳㠵搲㕢㙤户㙣ㄷ戹〸户㌹摡搶㐹㄰ㄴ搰愱㡥愹摡㜶㐸㈵搵ㅦㅥ〷敥㠵慢㤸㐹㠰慢㑦㤵ぢ㑥挵㉤敤㍣㕡㈸敦摢㌵戶㝢攷㔱㙢ㄹ扦㜷敡㝥㌴敡〱㜶㑢〱㙣㍣ち〶㉥㉣ㄶ㙤㙦攴捦㍥㌵㜲摡㉥㥣㔹昰昵㈰扢っ〱愸昸㜹㥣扤收昹㌹㍡㥡戵愲搹昹㘸㌶ㄷ捤收愳㔹㍢㥡㜵愲搹㌳搱散㐲㌴㕢㠸㘶ㅦ㡣㘶捦愲㑦㉤㈵晡晡愲㘱摡昰㍢㜷晤搷〷㑥㍤㝣攰戳愹㝤愳㝦晦挲挹㈵㠳挷㙤㜷户捤戶攳㜱ち攷㉦㘷㜹㝥㐸㘲攲晦捡㜲挰挵ㄹ㘰捡捤㝤晦ㄹ〰㡢㕣ㄱ〶搰ㅢ㠰㈱㍤っ㘰㙥〴ㄸ㍥〶攱㔴㠵㜴ㅡ戹搷㉡㔶㉤㥥㉡㝤ㄵ㝢㙣〲㔰敡㘵㤰㤸㘴㥥㝤晢㙤㤵敦昴晦昵昱摦晡攷㔷㡡㤹㙦㙥㜸㑡㔱ㄲ昲挴㥡㔷〳慣捡㑦搷愰㔱㙦㘶户㙢〱戶㑣㔵㡢挵㤱㔹户㐲摥戳㐶㈶㌳㔳㑤㝣戵㠵㕤慦〳㔰敡㥦挲㐵捤㉦㝥㘶敡摢敦㐸ㅤ㝤㕡㝤改扢㤹搳㥦㝦㝥㘰㉢㥡敦〹ㄹ㝡搲戵捥㐱㐴㌴愴捦敤㘳扢昸敦攲㘲ㄷ㔲搷搹攳摣改㡣㡦攷昷散戲㜶㕢〶昹昶㔲捦㜷ㅡ㝤〷㥣搳㠵㜲扥㜲㑥づ晣㜵〷㉤捦㙥㤰㝦㌴㙣㍢㔸愹㤶昳摥㤶敥㡤㜳扥攵摢搷戶户㌵㈶改ㄸ㌶〷㜱㘸㝢戲摥搶昶㘱愴㥢㍤戱㕣〸㥡慦㙦㙢㠶㌰慣捣慦摥㍡攵摡て搵㕢㍢摥㘸〲晡㜳㐹收敥搸㘵搰ㄴ扣搷㐸㘶愱攲搹㘵㜹扤搱搲㙣㈱㜷搶㜶攷㙣㙡㕦㍢㉦㕢摤挴愶㔰㈲㡦ㅥ㉦㘳愳㤰戱昹ㅢ㥢㙢㥤㐳换扥㕤捥摢㜹扣敦愲敤晡㉢㈷慤昹愲晤㠶㤶㉥挱㥡㘸搸摣㔲㍤㔵挹㔵扤㑣愵散扢㤵㘲㙢换㐴㝥挹㠲ㄶ挸ㅦ慤攴㙤〸昱㌸㔳㐴㐵㘲㌱愵㈲户㜵ㄳ㉥㥣搷ㅢㄳ㐲㌴㤱㤸㌲攵㥡㔶戶ㅢ㍢㠱摤㘱ㄷ㐵㥢㍣ㄹ摤㜱㤱挹㘴㕥㑥昳挶搵㍢㌶敤㠹愶ち㝢摦扡㝡㙦㜹挷㍡攵扥扦㥤愳搱㡤攱敥て㉤㐱㔳ㅥ戱捡昹愲敤昶㌴戴ㄴ摦㐸摦〰㘰扣㠴搳扣㉡昶㈸收搵戲㕡㌱捥ㄵ昲晥㠲戹㈰㍡〶㜵㌰挶ㄲ〹愲戶㈳改㙤愸搲㌷ㄲ㙣〷㐸㈶㈳收づ㜶㌲㤳晡愶愰㙣㔰㠱㕤扥づ愶戹愷㐵攷挳㐰昳㡣ㄲㄴ㡢ㄷ㡢㜵摢攵ㄱ换㕢昰挹㥥㍤ㅢ愹㙤昵捤〴户〰ㄸ搴㥢ㄷ㔵昱搴慢㜱㕡㌲愹搲愴敤㔸㔰扦㜲扡㤵㘵㤴〲㤳㘴搲昶㜲㥡戶换㌴捥捡戲㠹ㅣづ晦㐰㠹摣㙦㉦晢㤳㤶㙦昵㤵㘰〵㠱㑡ㅡ㥤㐶㘵㔴㤰攳挸㤴搴搵㐶㈷挳ㄲ㘶㐸㑢戶㘹㤶㝥愹〸㘶挲挱挱㜹㠹挴㐲搸㝢ㄳ㜸㜷慡㈹戳㥤搱㕢慤ㄹㄸ㔹昹挳㜶昹攴捡愲敤戱㝢挲散㠹捡昶攳挵挹㡥攷收㑦昹㠵愲㌷㠶㌷㍤散㔶慡㡢㔷㜴ㅥ扣㤳扥ㄵ愰㤶㡣㉦㠱㡢㉦㝤㑦㜴㐴晡㤶㐸㥢㙣ㄶ慣㡣ㄲ㙢㌴㡤㉡㑤㙥挵㘴ㄷ昰㈳㐹敦挴㑦戲㔷㥢㐱戶戸ㅣ换㑦摣㤴ㄲ㌰㜴搲戵挵㤶㑤㐸〱搸㑥㤵㑥㔷摣戳昳㤵捡㔹昲搳愰㤴扣〵摢昶㘹ㅦ昶㠷昶戰搸扤㑡挵㘲㉤挶㕤㤳㈱㐹换搲摣〵㤰㥡㠰㐲慦捤攸㤹攳愸㡡挱㔲㌵㙦㐷收㌶愱捡㜸㜶㉥昰挲昶㡥㘷㌳ぢ㜶昹捣㑡攱扥㙡昶攸挴㠹㉣㌴挳ㄹ晢昶戱攵愲户慣扥〰㝣搰捣㜸搷㙦㙥㝥晥昸挷ㅦ挸㝣攲换慦㌹晦㝥挸㥡㔵捦㠵つㅤ昶㈱慤㤸ㅥ㍡扢挵㈴愳㍤搳愲戳〷㥣愹㐲搱户㕤ㄱ换㐳づ㝥〲慦㐳捡㈹慡㈲搷捡〵昶晣㔵㑥〶摡〸㙥㡥扦搲搰捦ㅤ摡㌰㔰ㄶ㍦搰昹敢㑥攷㡢挶㙦搱晢㍤㜴㉡㤸愶㑤敢昷敥摣挴㐴㔴㜷㕤㑦愸戰搴ㄸ㘶㙥㘵㌲昶㙦ㄷ㈷攲换搵晢㌷㌳㈱㝢敦㕡摤ㄶ㈰戳㜷㌲㈹〷慤慡㜷㝦㘰戵㜴ぢて〵㔶换ㅥ㈰㑥扦㠹攰㑥㠲扤〴㜷〱愸扦㠰㌰愲㌵昳㘹ㄴ㝥づ㡦〱㌹扢㐹㠲㐳㜷戳捦㥢〹昶〱挰㈶ㄱ㈹て㤳㘴㍦㡡收〱搶㠹昴ㄸ愱挶㑢㉡㐵昷㡢㔶㡡㥥㈰㌸挸㔲〶攰搸ㄱ扢〸攳昷㑡挵㝥っち扥摥敡ㅡ慣挳㜷㜹㐳㘹㙥愵㥣㕢㜰㉢㘵挴挴㘸㐵㑣攴㄰㍣昱㤴㘵㤶㘶㉡㤹慡㙦㤶㡥ㄴ昰㌳㔰㍡㘱㉦摡㤶㥦㠱㜳〳ㄳ㘵〶㙥户ㄸ㈰搳昹攵晦㑢〳㈵㐲㉢ㄲ㝥㘳挳㐶㔱敤〷㌷㌰ㄵ㐲昴㡥㑤㔶㄰㠸戳㈵㉡㐸戴㥢㈶㡣捤㜵㘸㠱㐴昴㈴摥敥㠹㙦㍤㜳昷㑤ㅦ晥攴㠵昰昷ㄱ㌰愰㈴㑤昷扤搳㥡㌸㡣摡㘴慦㌶㐵捦㥥ㄶ㠵愶〶㌷㘷〰㘲㘰〳㑤㥤慤晥〰㔳㜷㔵挴扦ㅦ㌶㜴〴〲攸攲㑢搸㘸㤶攳㍦㠹㙥㍣㈲挸户㈶㝤〲㘵㍤㐷㜰ㄲ愰改㠸摣ㅢㄴㄵ挳〴㜲㈶㑥戳搳㝤〰㡡㌱〱㠹㌷扤つ㤹㕡㔲ㅦ挷晣㌴挷挴愴㘲㕣愱ㄳ〹昷愳㌶愹㝢戴㈹㐶ㅡ敡㐸搰㌴㕣〲〴㍣㡥㠹扢㈲攰搷挳㠶昶愰㠴㐱㈷攷㌲㥣㐹挱㤵㜳㙦挱㍥㐷㔹㌰攸㈰攴㤸愹㝡㝥㐵㑣昵㤴㌳㔹㌹㔶昱㈷ぢ摥㘲搱㕡搹攸㠴㤹搳㌰㥣㘰㉥戹昰愷摢敡㉡㡢㡢㜶㕥㍢㜳㤵慡㥢戳愷㈷搷㠳愳つ㜴㠰㜴攲㘳㐷ㄵ搲摡㝣㐷ㅣ㘷〵㉥㐱㡡ㄸ摢㌰㘱扢ぢ搰愴㉣ㅢ㜶ㄹ㠳㌳㐳つ㡣㥥㉣昸㐵扢摦㤱㜶挹㈷ㅣ㘰ㄱ搱㠹㝣㥦㜳㜲〱愶昱㘴捡㌹散ㄶ昲挵㐲搹㈶㌱㘰敢㌱㡥㍢㘳㥦㐱㈴㘲戶攲ㄵㄸつ㑢㌹㈷㕤慢散㉤搲愹捡慤っ户㤴㐴昸ㄹ捥挱㐲搹挳㌲㐲㐵收㠷㥣戹㠵捡㌹㕣㐰㔴㑢攵挳搶愲户㉥愸挲搳ㄲ㈴㈱㡤㡡慡㘸㔴㈵愲㠹戵搲挷㜴㌰摢㔵㘱㈰㜹〴㡣敡扢㠵昹㉡㌱㈶慢㔰㥡挴〹㠴㠸ㄱ㠳づ㝢て㠳㠷㘶㑦ㄸ㈰㘲昰㠳㉦摢ㄲ挵敤敡㠷搷慦㜵㘸敡攸㌳ㅣ戳〰昰㤶挳愷愶ㅢ㘱挱搷㜵㈳㘳㌰挴搰慥㑢摡㔹慦ㅥ㠵愱㘰ㅤっ㜸㠸㜵㘴㈹ㅣ㑤戰〲㑢敤㝣㤹㜴愴て㔹㜴戰㤱㥤㠲㈳㍦攰捣㔸昳㜶ㄱ昱㠷㤲攵て〶〵ㅡ㝦㈵慢攸㠵㙤㤹㑡愹㘴㤱攷挸慦㜳㌹慢㘸㈷㥣㠹慡㕦㐱㍣㕦㍢〰挲㤸㘱㤵戵㡣㉡㙢㔹慡〶㥣ㄳ㡣㑢㑡㥥㜳㔵捥㔸㙥挱㕦㈸ㄵ㜲〹ㄶㄸ㍢㕣ㄷ捣ち〱㈲㍡ㅤ〸㘵慡〹㤳㜶㕢㈶搰敡㈰昷ㄸ散㜶愲㡥攴〷㑢㐷㤵㠹㝦㙡㡤㘱㉢㠸ㅥ搱㈸晡㐱捣㘶㌰㉣㐴㔹㈴改㝣敤慥昱晣㈳愸ㄱ改愴ㄸ㜵㘲戳收搵〶㌳㝣攲っ晣昴㡣㘹㤰㘷㤳㌳ㄵ㉢㍦〵㔷戳攲昶㠵㌷㠸〹㤰㤶戲挶㑤㌳捡㤴㐱攰ㄲ〱搱愵㐲摥㜶ㄳ慣㤸㠳㝤ㄶ㘷㝣捡っ㘸㐸摣挰づ敤㑦㜴㕢㙢扡㌶搷㡥搰㜷㙦扥ㄳ㥤敥㤸晦㤵㝢昶搲㕣挵戶挴愶㉤㈲慢㑢〰敡ㄶ〰敥愷慤〳て扡慥〰ㄸ㡣㤴戴搳愶㌵攰㠳戰㄰㠳〶㜱戹㝢㘳㈸㉡㠱戰㡤挴戰っ搹㐸㝦㔳散挹っ挲㑥㠹摡㠵㥥㌹〷㉥户昳挹㐰挰搲㍡㈵㌹愲搱㌸㐸㙤戶挷〰㍡㤶挵㘴愵㌹㕢㠲㔲㡡㠱ㄸ㜳ㄱ㘰ぢてぢ收捦㜶扢攱摡㠱づ㔰昶㜵ㅢ㈶㤹搴㉥慡㈲㐹戵ㄳ戰㠶〸㤳㌵㐹㤱㍣ㅥ戲摡〷㌰攸㍡昴㄰ㄷ㌰戳㥡ㅣ㑣㕡㌶愶〳〹敡攳㈴昳㠵愶ち㍥摥㘹挰〱㐰㔶㍣挱㙢攵㠴㌷つㅡ慤㥢づ㌷㜴㌶戵搸ㄲ㕢㍢摢㥢㡤㡢ㅤ㕤㥡〳戳愳挹摡戸㔸㈷㌱㍦扡扣攳㝡戲㐷㔴攰ㅥ㠴㈶㠹扡㘹㜵㍦扡〹敦愴敢敢戰㕥㐴㝥㐴昴ㄲ㘶㠱㌸愰㈱愳捦㈱㑢㘳㠶㡥㘵㙦ㄶ㘹ち㉢搰㔸㑣搲愰〹敡㔲㘱摣㙡扡散㐱㈲㈴挳ㄲ攴晤㘰㤸㍤㕥昵㕢㕡慣攵㡤㘱ぢ〲㜵挷换搰搲㌹换捤慦ㄳㄱ㡦扤〵愶㠸㐸敢㌵㥡㠹㤸㠴愹㐹㌰挳昰㕦㐶つ㜱㑤晦晤㜲愲㌲㜴〸㔲㐴㜷㍤㔸㤳㘰改愸㙤㤵㠵ち㜳㝥㝥搲㕥ㄲ㥢㝤搶㠶挱㡤慦〶㡡昶㐶ㄹ㔰㉦㡡㌸搳捥挴扣〷晢捦愷㙥て㜳㜲搰戵㜳挲㉥攲㤶㜵挹㠶㉡づ㜳戳㌹ㅦ㌱挸晡〴扣㌱㕢㍦ㄴ〲㐶攲㈱㤵㤴搰挹散挱扣慤㥢攰ㄹ㕡㈳㔵㈱摦ㅤ㐹摦摣慦㍥昴㐱愶愷昷㐷㙡㤹搰㉢搸㡢改㝢㔸㤴㤰戵捤㈱㌴㥥愴㡤戵挸㙥㈰攱㐴㜸つ搴敡㘸㜶愶攸ㅦ戸㍥慥㤵昹㌵挱㄰㡦㑥ㄱ㝡搹㉦挰挲㉡慥っ㍡搳攵㕣戱㥡户挵㍣慢挹㙣戱搲搶〵扤攴昳愷㠰㔶㍤昰ㄲ㈲㘵ㅡ摦㐰搵慥ㄹ搷敥愴改ㄵ愰㔵㠴ㅤ收㐸敡㜷愰挴㜳挷㘸搹㘵挷㉢昹㘱捡㜰㈳摡㉥摦攱㐰戴㜵㔴㔱愶㌱昲㔴て㜹捡㠹㙢敡㌶㔳㤹愹搰挹㙢慡㍡㔲〸慡搶〵㥤戰捦㐰昰㤹㈶㡣搴㌵㥥㄰㑥〲愹㈷㍦㤱昳㡦㠴扦戰摦〲愳㤴〱挹㙤慣㤴㐸㤰搸愴㜴挶愲つ㡦㑣㌱㕣㐹慦㑣㍦っ愰ㄸ户愴戳〳㘵ㄵㄸ扦㥣昲攲挶㉦ㄶ挴〸㑣昲㘸㤸㘱㐱㑤〰搴散㈴㘴昱㑥㘲㔱扥ㅢ㔹晤ㅥ〰㜵㄰愰㑢㠷昷戲挳晢〰っ〶扥摡〵捤慡㌱㍣㑥㙥㤴㘸ㄸ㈶㑡㌴㤰㜱㑣㑤㕣㠹㈲㐶〹ㄱ㘴昶㈷㌲㥣昶挷〱扥昰摣㜳摣㘷㐴ㅤ〶愸慤捦换戲搰㤰㝢㍦戲晡㈷搸㠱挱慣ㅢ昰㌴㠵㈱搴〹ㄴ户戱捥晣㐹㠰㑢㜶㝤ㄵ㠳㕥㠲攸㥦㐲㐶㌱晡戵ㅤて㘶づ㄰晤㌳挸㕦ㅣ搱㡣㤲ㄱ户晡㘷挳っぢ㡡愱戲摡㍥㤰慤㈱㥡挱㘹晤昳〰㡡㘱戴㉥ㅤ㍥挰づ扦挰づ㡣慣搱㝣㌷㝦ㄱ㘰㝢捤㉣敥昵愱㑥ㄷ昳昸㤷㌰ㄶ收㌱愳㙥戵挵㑣搶〴收昱㉦㈳慢㝦〵㐰㥤㈱㘰改㔷挳㡣㔰㡥㙥㔶扢昷搰攱搹挵搱〹〶て㝣扣㌹㝦愵〸扦㥡㔹㝡ㄳ㐱㡥㘴て㥡攱攳㔴㕣㠸挲㜸晢摤㐷㝤㉣敦㍥晡慦㙡晢㥥㐳㠶戱㘵〱㡦㔱㠰昹扦敡㜸敥愰㜱戹㕢晢㐸挱晣㌵㔴㕦㜵戴㤰㜳㉢㕥挵昱㐷收㄰㌴ㅡ攱昷㌱づ㘴攱㠴㜱〶㌳㜶㕤㤳ㅢ㡢㤷昹扤攱ㄲ敦㡢㤳㘷换㤵㜳㘵㜹ㅢ挳攳㘷㐲㠲慦扥㍥㉥㐳〹㈹㘹㍢戰㤸愶扢挹挱晡㐳〰愹㔸㥡晥ㅡ㔳㥡㍥ㅢ㔳㍡㠸挴㈰㐳㈷㡤挹愰ㅦ㜳愹ㅥㄳ攷㔶昳㉡愷昲捡㡥昷昵㜵ㄸ捥ㅤ㥥ㄶ攳ㅤ㜲㥢㡦㜸㍡ㄷ戳戱攵㜶㙢扢晢愰㔶㡣㜲戰散晡㜱㘴昴㠷〱㤲㘹扡㔸㝣㈱昳㌷〰㠶㌳〷戳戸㘵慥摤㍢㤳ぢ捣㈷㔰㍦㠰㝡㔱〶㈷昰ㄵ㡦昹㈴㙡㌶愰愶昵ㅢ㑦昳㈳愸ㅥ㐴㜵㔳挴㈹㑤摦㑤㔰㐹昱㈸摦㍦敡㡦㌱㐷愳挱愰ㄱ摦扥㡤愶㄰㔰㥢搳㤰㙥昲攴〴㈱ㅢ㥣㝢慡㔶ㄱ㕦㤷ㅥ㠷㌹攱戳㙡㍤㈸愱㜸㘰搴㕤㤴ㄷ㘴ぢ㍦㝡㍦㐹搲㡥㠳㔶㔲㠶㝢ㄳ晡慦㑤愵㈵㡤ㅦ戹㈸挳搴㔶改㘴ㄸ㑡㤲愴㝥㡡㌰ㄹ㔱㜴戶㠴㠵㝥ㅢㄹ㌶昱㔱㜴ぢ愴昶㘹㘴㙡挹愰〹㜳改昶ㄲ挷㙦㙣挴㔱ㄸ㌱ㅢ㉤挲㜴扣㠴〰攵㌳ㄸ慡㘸㈲㜵扣㠳㝡戸㔶晢㠹㌰㈳㠷㡦㉡㤸挲㔱捤〱㌱ㄴ㐹挸㐷捣摦〵㔸㔵捥愸㝢搰㡤戲愶㔵㔶㍣㡡㌱挲攰扦㠷っ㘴挵扢昱挳㤴愶㌶㘶㑡扦㌷昸㡤愴摦ㄷ㘶㠶愸㌰㌹ぢ㈵昹ㄵ㑤改昷㘳㍡ㄲ㐴昳搰敡㈷〹㍥〲㤰愶收㤵晡㘱㔶晤㈱〱㍦昳㔰愲㌷㔹晡ㄴ㑢㜸㠴㥡搴㥢㠲㥤㈳㑤搸搱㤴挲ㄴ戸㙡慡㉢㈲愸㍤〵ㄱ㥦㐱〶㠸愰愶㘴㑡㔳㕢㌲愵愹ㅡ㤹搲㔴㡦㑣㡡摡㡤㠲㔳㑤㘲㑡ち㌵愱摦㥦愰㐶㝦ㄶ㈰㤹愶㠲㤳㐹㈹㥣摡㌷㐵挵㈷㡤㈲㕢㌶戳挷攷〸慥〱㐸㔳て㑡攳戳挸愴㘲〶㐵昹摤慢〷㈸㥡㘴搶㈸散昸㤶敦㈵て攱晢挷㤵㈸挶挷㄰ㅥっ㠲㙡昱攸て慦㙤㉥㥥晡㍥㑣挵挷搸㡢ㅤ扦㡥㜹㠸慣㠶戶攴㡣㌷攰搱㥦〷ㄸ愲㠰愷昹搵挶㘲攷昷愳㡥改㠰挰㐸㈲晣㑤ㅦㄸ愲㌶㤰ㄱ昷慢㙤㡦㑤ㄸ㉦㍤搲㝥㍢扡㕢搲摦敥て摣挷慦敤㔷ㅦ挳〸晡昵㜲摢搹㜴搱户ㅢ摢敡㝡搱㜷㝢搸搰晥挹㤱㝡ち戳〸改㥦㐷㠶㉣挸㈷㑤〹㈳㈴晣ㅢ㘴昴ぢ〴㕦〴㐸愶㙢㐲㐶㍤㠳愲㡣慢搷愰㈲捤㤳㉥攳㕥㐴㈶ㄵ㔳㍣㤹㈴扦ㅡ挵晡挴戹愰改敦㔸挳㤳搰搸挲っ㑡挱㕤攵捤慢㙤攱愶戰愱晤戲㌶捤〳㈴㡢㝥ㄹㄹ㉣捡㔳㈰㡢㙥㙦㕥昴ㅦ㔱㍢㐴晥扥㍣摡昰㌰㕣ㅥ㙤㍥挷㠵昰戴搳㘶敢㙡ㅢ扢㍥㙣攸戸㠴㝤ㄶ戳㕣散ㄲ戶改㈳㙡㉥㙡㌸㌴ㅣ晡㥤愰㥡㉣㉦〱戵愲搸㕥〳戸㌲㜱昱ㄹ昳っ慥〶㜱㔱㠲扦挳〸捤〸㕣ㄹ搲搱愸〵攵戵㤴㌸搸㜴㡥扢㠸搲昷㌹搳ㅥ㐲㐶昹〴㍥挳昴昱㠹㔹㜹㍤㘸㝢㔸挳㜱㡡〶戰㉣㍦㝤㡥㜶㌵㐴户愲戹摤攵㙡戲㜳ㅡ昸愸㠵つ愲扣㘹㔹㥢慥㌷扦㡡挵敡ㅥ㔴扥改昲㌰慥戶㠰挶㠱〶㝢㌴㜲㠱敦っ户㌵愲扦㠶ㅦ㌹扤㜲㤴〰㤲晡㕦㔸戵愳〶㈲〶㐵㑡晢捥攸ㄷ㑣㜱敢㙤ㅦㄸ昷昷㜳扢戵㤴收㠹㤶㜳昱㌲㌲晡ㅢ〴慦〰㈴ㄵて戵ㅣ㤰㡤攱〱愱㐲㑡㐴㘳㡡〷㕤ㅡ㠶挳㠶㕢搹㠰㈸〸て扦㌴㙣〸ㅢ摥㠸ち㝤ㅥ㐰昱愴㤳㔱捤㙦〱っ搵晥㜰㘵㐴散㝥㉦慡〶㙢ㅢ晦挶敤㥢ㅢㅢ晦㌶晡㙡㥥㜹㈵ㄴ攴挶晦㤳㔵㡤㡤㉢ち〹㙥晥改晤晦㝡攰㕤〷㝥㝡㐲昱㜴换㐲晦㡤捣㉡㘸㑥搴㔶㡢㌴愳昹㍢ㄸ搰㠶收敦戲慡㘹㌵㑡〷慥㔶㑢〶㐹㜳挹㡣㐳㐱戸㐶晢改㝦㌰㔴㤱攸㈲㑣㕦ぢ㌳㉣㈸㤲㑤㤰慥㐲愴扦ㄹㄵ㠹愸愹㐸㑡㘹攰㡤づ愵敡㍥㘹㔰㡡攴㤵㠶ぢ慦〵つ搴㌹㍡㡡搹㠶㐸慢㐱㍣㝤㉦愰㘸ㄸ㥢㘲挳昱㙡昴敢戱昳㤱㠷㐱㠱㝤㉡㠶〷㝦㐵㐰扡〸㔳挶㌰㐶㤱㈴昲㕡っ挲㤱㔰㝣ㄴ戱㈹㝤っ昶㈱㈲愵㡦挹㔲㔸㔰戲㉢ㄴ昴搳〰戵㤴收敥㠴㈱ㄳ攸㤸㡡つ昱挵㑥愳㉥扡慣㜲て攴ㅦ㜸攰搵愱昸挸戵昱晢づっ㝣昰愵扦晡捡㘳㉦扥㝤摦搷扦昷昸攳㉦㝥昵戱攷扥昷挷昳晢㥥晤攸㐷晦晣㉤㑦㍣昷㤵㘱攷挹攸ㅦ扤㍡昳攴㍢挷捦扥昳㈱攷搴㙤㠷摦昹戶〷敦ㄹ㥦摤㌰ㅡ㡢昵昵摤戲昱㉦慦戹㌵晤攸㐳㥦㔶㝦晡て㔷㤷㤵散〲ぢ㘸㡤㤵㘴㘵ㄴ搲摣㡤ㄴ㤲挸攸㝥㠰㔴㔴挹㘶搸戵攵㡤戹㈹改㥡㘲慦㤸攲㡢ぢ㠲晦㈳㐴昰㐱っ㐱㘵㥡ぢ㈴㌸㝣〸ㄹ㥤㈶搸㐰㌰っ㤰㡡㉢慥㈴攳晥慤㘵㥣㔲㕣㕤ㅡ㕥〹ㅢ搲㥣㘴ㄳ㙡ㄵ㤷㤴愶㤷㕢挶㐴っ㉥搱攳换㤱㠶㑣㤳ㄷ㉡㌱昴㑥改㤶㉣ㅤ㉡㔷㠳㙦敢捤ㄲ㉦昰换ㅢ挲戰改㘸扤捦㜰扤愶摥㜷戰㕥㈵㘳㌶〷搷慦晣㐳〱㜶ㄹ㙤㑣扡愹扤㐵晡〳㝢㐴㘰攴挶搵㡤戶摡ぢ昶愱㕢㐲㕤㜲挷㐴昰㘱攳搵挰〶㤳搲昵㥣ㄴㄵ㠹㈰搴戸〶ㄹ㜶㔲扡㥥㤳愲㈲㠵愴挷㘶㘴挴晣搶昵㥣ㄴㄵ挹㈷㍤慥㐵㠶攸㔴扡㥥㤳愲㈲愹攴㌴㙣㐱挶攰㉢㕣挲〶搰㙢慤昲攲㍡㡣㔵摣〷㤷搲搷戳挴㜷㤶搲㔶㤶昸㝥㔲扡㠱㈵扥ㄵ晥㌷搸㥡〵㈵㤳㌴搷㈲ㅦ㔱㌲㔹㐷慤㑣捡摡㙤攱㔴㌲㠳㑣捥摡ㅢ㥢㙡搳散㈲挷㘵㍢㌲㜰㐴搸㈸攵ㅤ㔲㌶㔸摤㠳㜳㠳㥢㈸戲㐳ㄲ㔳愷㑡挱摤戸〴㍦昰愷㉢㔲摦㘰户㤰㠷㠷㔹㍤摡搲㌵ㄹ㔴ㄱづ〵搹㍡㌳昷㠷㑤攴晥换攵攴㍥散㠴て㔴摤搶摥捣ㅣ㌰昲愵昵ち戹昸㈶㘰㈶㈹攲㔵㌷戲㔲㌶㠸扢ㅦ㕡㝤挱晡㡤㠱摣㉤㜸摣攰晦㍢散摤㑣散㤱㌲㑡㌷戲㔲ㅥ㈲㌶昱扦收㡤㥤摦㍦挴ㅥ挴慣挹づ㤱挸慢愱㔵昲敡㠵晥晦〵㜴㘷㉣㠴</t>
  </si>
  <si>
    <t>REVISION MEMO</t>
  </si>
  <si>
    <t>WACC APPROXIMATION</t>
  </si>
  <si>
    <t>Million USD, except for per share items and Percentages %</t>
  </si>
  <si>
    <t>Method 1: Net Interest</t>
  </si>
  <si>
    <t>Interest Expense</t>
  </si>
  <si>
    <t>Interest Income</t>
  </si>
  <si>
    <t>Net Interest</t>
  </si>
  <si>
    <t>Implied Cost of Debt</t>
  </si>
  <si>
    <t>Implied Cost of Debt for Method 1</t>
  </si>
  <si>
    <t>Method 2: YTM</t>
  </si>
  <si>
    <t>Maturity Date</t>
  </si>
  <si>
    <t>Coupon</t>
  </si>
  <si>
    <t>Offer Date</t>
  </si>
  <si>
    <t>Offering Amt. ($mm)</t>
  </si>
  <si>
    <t>Amt. Outstdg. ($mm)</t>
  </si>
  <si>
    <t>Current Price</t>
  </si>
  <si>
    <t>S&amp;P Rating</t>
  </si>
  <si>
    <t>Interest Frequency</t>
  </si>
  <si>
    <t>Call Price</t>
  </si>
  <si>
    <t>BBB</t>
  </si>
  <si>
    <t>Semi-Annual</t>
  </si>
  <si>
    <t>YTM</t>
  </si>
  <si>
    <t>Years to Maturity from 2022/12/31</t>
  </si>
  <si>
    <t>Weights</t>
  </si>
  <si>
    <t>Method 3: Debt Yield Alternative method</t>
  </si>
  <si>
    <t>At end of year 2022</t>
  </si>
  <si>
    <t>Effective interest rate</t>
  </si>
  <si>
    <t>Weighted Interest rates</t>
  </si>
  <si>
    <t>Bond 1</t>
  </si>
  <si>
    <t>Bond 2</t>
  </si>
  <si>
    <t>Bond 3</t>
  </si>
  <si>
    <t>Bond 4</t>
  </si>
  <si>
    <t>Bond 5</t>
  </si>
  <si>
    <t>Bond 6</t>
  </si>
  <si>
    <t>Bond 7</t>
  </si>
  <si>
    <t>Bond 8</t>
  </si>
  <si>
    <t>Bond 9</t>
  </si>
  <si>
    <t>Bond 10</t>
  </si>
  <si>
    <t>Bond 11</t>
  </si>
  <si>
    <t>Bond 12</t>
  </si>
  <si>
    <t>Bond 13</t>
  </si>
  <si>
    <t>Bond 14</t>
  </si>
  <si>
    <t>Bond 15</t>
  </si>
  <si>
    <t>Cost of Debt</t>
  </si>
  <si>
    <t>Cost of Equity</t>
  </si>
  <si>
    <t>Expected Dividend Per share</t>
  </si>
  <si>
    <t>Present Stock Price (End of 2022)</t>
  </si>
  <si>
    <t>CAPM</t>
  </si>
  <si>
    <t>Beta</t>
  </si>
  <si>
    <t>Damodaram</t>
  </si>
  <si>
    <t>Risk-Free Rate (T. Bill)</t>
  </si>
  <si>
    <t>Beta Estimation</t>
  </si>
  <si>
    <t>Earnings Capitalization</t>
  </si>
  <si>
    <t>Expected EPS (2023)</t>
  </si>
  <si>
    <t>Risk Premium</t>
  </si>
  <si>
    <t>Historical Average Return on Equity</t>
  </si>
  <si>
    <t>Historical Average Rf Return</t>
  </si>
  <si>
    <t>Period End Date</t>
  </si>
  <si>
    <t>2013-12-31</t>
  </si>
  <si>
    <t>2014-12-31</t>
  </si>
  <si>
    <t>2015-12-31</t>
  </si>
  <si>
    <t>2016-12-31</t>
  </si>
  <si>
    <t>2017-12-31</t>
  </si>
  <si>
    <t>2018-12-31</t>
  </si>
  <si>
    <t>2019-12-31</t>
  </si>
  <si>
    <t>2020-12-31</t>
  </si>
  <si>
    <t>2021-12-31</t>
  </si>
  <si>
    <t>2022-12-31</t>
  </si>
  <si>
    <t>Dividends Paid</t>
  </si>
  <si>
    <t>2013-06-30</t>
  </si>
  <si>
    <t>2013-09-30</t>
  </si>
  <si>
    <t>2014-03-31</t>
  </si>
  <si>
    <t>2014-06-30</t>
  </si>
  <si>
    <t>2014-09-30</t>
  </si>
  <si>
    <t>2015-03-31</t>
  </si>
  <si>
    <t>2015-06-30</t>
  </si>
  <si>
    <t>2015-09-30</t>
  </si>
  <si>
    <t>2016-03-31</t>
  </si>
  <si>
    <t>2016-06-30</t>
  </si>
  <si>
    <t>2016-09-30</t>
  </si>
  <si>
    <t>2017-03-31</t>
  </si>
  <si>
    <t>2017-06-30</t>
  </si>
  <si>
    <t>2017-09-30</t>
  </si>
  <si>
    <t>2018-03-31</t>
  </si>
  <si>
    <t>2018-06-30</t>
  </si>
  <si>
    <t>2018-09-30</t>
  </si>
  <si>
    <t>2019-03-31</t>
  </si>
  <si>
    <t>2019-06-30</t>
  </si>
  <si>
    <t>2019-09-30</t>
  </si>
  <si>
    <t>2020-03-31</t>
  </si>
  <si>
    <t>2020-06-30</t>
  </si>
  <si>
    <t>2020-09-30</t>
  </si>
  <si>
    <t>2021-03-31</t>
  </si>
  <si>
    <t>2021-06-30</t>
  </si>
  <si>
    <t>2021-09-30</t>
  </si>
  <si>
    <t>2022-03-31</t>
  </si>
  <si>
    <t>2022-06-30</t>
  </si>
  <si>
    <t>2022-09-30</t>
  </si>
  <si>
    <t>2023-03-31</t>
  </si>
  <si>
    <t>Last 10 Years</t>
  </si>
  <si>
    <t>Quarterly Growth</t>
  </si>
  <si>
    <t>Annual Growth</t>
  </si>
  <si>
    <t>Last 5 Years</t>
  </si>
  <si>
    <t>Long-term Dividend Growth</t>
  </si>
  <si>
    <t>Dividend Growth Estimation</t>
  </si>
  <si>
    <t>Weighted Average Diluted Shares</t>
  </si>
  <si>
    <t>Historical Return on Equity</t>
  </si>
  <si>
    <t>1,459</t>
  </si>
  <si>
    <t>1,907</t>
  </si>
  <si>
    <t>1,273</t>
  </si>
  <si>
    <t>1,099</t>
  </si>
  <si>
    <t>2,358</t>
  </si>
  <si>
    <t>6,794</t>
  </si>
  <si>
    <t>6,833</t>
  </si>
  <si>
    <t>6,082</t>
  </si>
  <si>
    <t>24,140</t>
  </si>
  <si>
    <t>23,846</t>
  </si>
  <si>
    <t>23,696</t>
  </si>
  <si>
    <t>25,051</t>
  </si>
  <si>
    <t>24,701</t>
  </si>
  <si>
    <t>25,553</t>
  </si>
  <si>
    <t>24,815</t>
  </si>
  <si>
    <t>ROE</t>
  </si>
  <si>
    <t>Average ROE</t>
  </si>
  <si>
    <t>RF rate</t>
  </si>
  <si>
    <t xml:space="preserve">Historical Average Rf Return	</t>
  </si>
  <si>
    <t>Yahoo Finance</t>
  </si>
  <si>
    <t>Capital IQ Estimation: 5Y</t>
  </si>
  <si>
    <t>Equity Risk Premium (FCFE)</t>
  </si>
  <si>
    <t>S&amp;P 500 Adj Close</t>
  </si>
  <si>
    <t>MAR Adj Close</t>
  </si>
  <si>
    <t>Self Estimation:</t>
  </si>
  <si>
    <t>S&amp;P 500 Return</t>
  </si>
  <si>
    <t>MAR Return</t>
  </si>
  <si>
    <t>Beta (Slope Method)</t>
  </si>
  <si>
    <t>Beta (Cov/Var)</t>
  </si>
  <si>
    <t>COV</t>
  </si>
  <si>
    <t>VAR</t>
  </si>
  <si>
    <t>WACC Conclusion</t>
  </si>
  <si>
    <t>Debt Yield</t>
  </si>
  <si>
    <t>Gordon Dividend Model</t>
  </si>
  <si>
    <t>Gordon Growth</t>
  </si>
  <si>
    <t>Earnings Cap</t>
  </si>
  <si>
    <t>Methodologies</t>
  </si>
  <si>
    <t>Values</t>
  </si>
  <si>
    <t>Final Cost of Debt</t>
  </si>
  <si>
    <t>Determined WACC</t>
  </si>
  <si>
    <t>Debt</t>
  </si>
  <si>
    <t>Equity Weight</t>
  </si>
  <si>
    <t>Debt Weight</t>
  </si>
  <si>
    <t>Final Cost of Equity</t>
  </si>
  <si>
    <t>The Valuation Date for this whole project is based on 12/31/2022</t>
  </si>
  <si>
    <t>Dividends should be paid at a portion of net income, however, MARIOTT has some complicated years (2020 and 2020) where they paid dividends even without net income and not paying any dividends. So we averaged the rest 3 years.</t>
  </si>
  <si>
    <t>It is hard to forecast how many debt they will issue without exact information, but according to historical figures, the issuance and repayment seems to offset each other</t>
  </si>
  <si>
    <t>We believe the current portion of long-term debt would be a % of the long-term debt, since it is revolving. And it is hard to predict exactly how much debt they are issuing thruough the annual report.</t>
  </si>
  <si>
    <t>Day Close Price</t>
  </si>
  <si>
    <t>Shares Outstanding</t>
  </si>
  <si>
    <t>Market Capitalization</t>
  </si>
  <si>
    <t>㜸〱捤㕣ぢ㜸ㅢ挵戵搶挸㤶散㔱散㔸㜹昰㑥愸〳㠴㈶㈴ㄸ㉢戶ㄳ〷㤲ㄸ挷㜶ㅥ㄰攷㘵ㄳ㈸つ搸戲戵㡡㐵昴〸㤲㥣㌸㤴㐷㈸搰㐲㥢〲㑤〲〵㉥㄰捡〷ㄴ㘸㑢㘸㈹㉤㔰㈰㐰㑢摦〵捡攵搱㔲愰㤴换敢㉢昴ㄶ戸愵㤷㤶㐰敥晦㥦摤戵㔷搲捡㜶㈸昷晢搸㔸㐷㘷㘶捥㥣㤹晦㥦㔹敤捣搱㈸ㅥ攵昱㜸昶攲攲㍢慦㔲㉡㤳㍡㌶㘷戲㐶愲愶㈵ㄵ㡦ㅢ扤搹㔸㉡㤹愹㘹㑥愷挳㥢㤷挵㌲搹ㄲㄸ昸扢㘲㈸捦昸扡㌲戱戳㡣昲慥㡤㐶㍡〳㈳㥦挷㔳㕥慥扤㈸ㅦ㘳扤㠲㜶㐲戳㤶㉥愵㠰㤵㐷晢㈹捡㈸捡㈹㌴㐵㠰㠲㌵㜵〵㐵㈵㐴挵㔸㠸捥㤶㠵㉢㝡捥㐰㍦㍡戲愹戴㌱戳㝡㡤搹摡晣㔰愸㈶㔴㔳㍦㈷㌴扢愶㜶㘶㜵㑢㝦㍣摢㥦㌶收㈷㡤晥㙣㍡ㅣ㥦㔹扤戲扦㈷ㅥ敢㍤搱搸摣㤹㕡㙦㈴攷ㅢ㍤戵㜵㍤攱晡挶㔰㝤㐳㐳㜴敥摣挶㡡㉡㜸㕥摥戲㜰㘵摡㠸㘶㍥㈹㥦㐱晡㕣搱戲戰㘶戹㤱晤愴㝣㡥㠳㑦戸㙣㑤㈵挲戱攴㈷攴搴挷搱㘸㘸㌵㝡㘳ㅣ㌶挳㐸挷㤲敢㙡搰敤ㅣ愲㤱㥡㔳搳㥣挹昴㈷㌶㜰〶戴ㄸ昱昸㙡㈳㉡挳㤵㘸捤㘴㔷㠶搳㠹㑣㐵㠲晣ㄹ㘹㈳搹㙢㘴挶㈶摡〶㝡㡤戸㘵㤸㈹㑦慣〹愷㤷㠷ㄳ㐶㈹㤵慡㠴㌹㠶㑢㈳㐶㌲ㅢ换㙥慥㑣㥣㤴㌱㔶㠷㤳敢っ㥡昸ㄲ㡢晢㘳ㄱ㔵㕡㡡㍦㑦挹㘷摤㝡㈶〳㠵晥㈴㕡晡挲改慣愴㌸㠴㈱㌷㕢挷㜴ㄱㄴ㌹晤攲㤴慡捥慢挵㌱敢㠸㈵㑥㌴搲㐹㈳捥㐶㌸㤲㌳昲㡣㠴㈰㜳ㅣ〶㤹戲攱㜰㤴搴ㄸ敢戶㈱ㄶ戶攲ㅦて戱㘰㜹㉡㥤挰㠴㙣㌷挲挹昹㐷搷搶搴㌶㌴㌶捥㤹㕤㍢扢㙥㙥愸慥㈱㔴㍢慢㌱㌴戳㈳ㅢ㘹㌵㌶捥㐷㔹㘱愱㥥〰ㅦ㝡㈲扤敤〷戱晦㡡㘵搵㔳慢㔳搱敡㡥㜰摣挸㔴㑦慢㥦㕥晤挸㡦慡敢昴晥戴㍡〰㐲㤵扥㠱扢搹搹ㄳ摥㔱摥慥戰户慢挷摢搵敢敤㡡㜸扢っ㙦㔷搴摢戵捥摢搵攷敤㡡㜹扢捥昰㜶慤㠷㡤㝤㤵㤷㤵㜹慤敢昶攷㡥㙤扣攳敥慡搶敢㝦摣晦㡦晢捦ㄹ摢慦㜸〳换晤㝦㄰㤴㠳㑥㑡挶愲〰㌷戳㍤㤶㘴攷㘷捤㙣てて㐰〹捤搲〷愳㔸ㅦ〲攱㥦〴㌱㘵改㔲戳搳㉤攱㑣㕦㜵㌸ㄹ愹㙥㍢戳㍦戶ㄱ〸㤲搹っ晢ㅦ搲㤳㔹攱㔰〸愵晥㡣晥ㄳ㐳㑦挵慥愶慤敦㙣㙡摦晥晥㙤㐷㑤㜸昵捤㙢ㄴ㍦㌸愴昱㙡㈸昳昲㘸㥤㌳扢㉥㔴ㄷ㥡㕤㕢㕦摦㔸㔷㕢㔷㌷扢捥挱㙡㕥㔹㐳愳㥥〲て晡㌰〸晦攱㄰攳㔷户㌹㐹ㄵ㐲㡦愰挵㔴〸愵㥥戳㍡㔴㜳搵攳㤳㑥㤹戵㘵搹慤㔷㑣㝡㝣敢㥥挳晦慥昸㈱㈶ㅤ晡㉣㤴㠳㥤㙣㜰㥣㘷摢㜴搴敢㘹㜴㌶ㅤ挲㝦ㄴ挴㤱㙤ㄶㅤ㘴㈱扢戹扡摤挸昶愵㈲搵㑢㤳ㅢ㡤㑣㌶㘱㜳㔲愷㘷戰搶㑣〸愵晥搳敡挲㐷敦摥扤攷戱㠳㈷㉦晤昲㠵敢㕢て晤昵〷㐱挵㡦㔰改㐲つ㤴ㅡ㈷㈷㥣㑤㜵㜳ㅡㅡ㘷捤㙤㥣㍢愷㘱昶摣晡㔰㙤㙤愳㠳㤴摡㤰㍥㠶つ搴㐲昸㐳㄰攳ㄷ慦挸㘳㈱愴㘷搱愲づ㐲愹摦㔸㕤㠸㍣㝢挳愴搷愷ㄸ敤摦晣挲戵㡦㌴㙦㌹㘶扣攲㈷㠲㜴愱〱捡愱捥㉥㠰㠵搰㉣㐷㤳㤸ㄸ戳改㜰づ㠴扦ㄱ㘲㕣㙢戳搹攴捡㤵㐷戶㤹ㄳ㜹㉥つ㡥㠵㔰敡㔱慢挵㥦㤶㌶扤扦㌶昸摥㠹摦晢搶昳㝤㙢㘶㝤搴慥昸戴㤰ㄶ攷㐱ㄹ愹挵昹㜴戸〰挲摦〴㔱搰㘲㐸ㅦ㑦㠳㘶〸愵ㅥ戴㕡㕣昹㔲攸愱戵晤ㅦ㉣晦捥㡢㉤㑢捡慢ㅥ晣愱攲愳㐹㕡㙣㠱昲敦摥搱慤㙣戰つ挲扦〸挲晤㡥づ改挵戴㕡〲愱搴㡦慣㙥㤵ㅣ昸昶㍤〳㜷㍦摤㝥昵敦㉢摥㙦搸㌱㜷愵攲慤㉤摤㍡〱捡㜰ㄳ昰㐴㍡㕢〶攱㙦㠷ㄸ摤〴っ改攵慣戵〲㐲愹㍢敤㉥愸㜷扢㉦晥愰愴昵摥昳ㅦ㍥扢攱愵㥤㙦㈹㍥慡愵ぢ慢愰ㅣ㤳㌷晡㤸㜱戵㜳㐳㜳攷捥慥慦㥤㍢ㄷ㜷㘱㕤愳㜳㍡㘰〶慥㘶ぢㅤ㄰晥㑥㠸昱敤㉤〵㌳昰㈴㕡慣㠱㔰敡㌶慢て㜷ㅤ戲攴㍥㘳摣㠱敤㤷ㅤ戲改㜷昵㑤攳ㄳ㡡㉢〵改挳㈹㔰㡥㜳昶愱戶㘶㔶㙤㘳㘸戶攳㥡攳㤸㡦〵㘵晡㜳㙣敤㔴〸晦攷㈱挶㜵㠶〷慡㔷㠷戳㐶昵戴㍡昹㥣つ改戵㌴㌸つ㐲愹ㅢ慤敥㉣昹摥敡㔵㌷ㅥ搹扡㙣㝢昳㝤㡦㥥晥愵攳㉥慡攸㐲昱㉡敢㔱搰㥡づ㙦挲挳㜵攸戹㍤慢〶㌷收㘸ㄶ㉣㔸慦㐴ㅢ愲㜳愲愱㔰愴愱㌶㕣ㄷ昶昱㐱㌰摡㈷㈳ㅦ㕦ㄵ搱㤳㘳挹㐸㙡㤳㍣㉡㈷㉤っ㘷㡣愱㈷攷っ慢㙣㘱慡㍦ㄹ挹ㅣ攲㕥搸㤱〵昴㠳昳换㠶㥣ㄴ㔴敢挰㐲挲挸㐸㝢㠷收㔷㕢ㄳ㡥昷ㅢ捤〳㌱戳㜸㜲㕥㌱㤶ㄱ愹㥥攲愵㡢搲挶㤹㠳愵〵㍤㙡挶ち㜵愳昸㉥㐰㘹ㄶ㤹晤慡㙥改㑢㘵㡣愴㜴㙦㐶㘲㘵慣㜷扤㤱敥㌰戸扥㌵㈲〲㜵㍦ㄶ㔹㙢㤹ㄹ㉢㤲〰㡡搵㐹攴㌰㘷㙥戴㙤㈰㙢㈴㈳㐶〴晤摤㘰愴戳㥢㍢挳㍤㜱㘳晦ㅣㄳ戳㑤ㄴㅣ㤴㤳扤㈸搵摢㥦㘹㐹㈵戳改㔴㍣户愴㌹戲㌱㡣昵㔳愴㍤ㄵ㌱戰晣㈹攵攵㔱㥥㤲ㄲ愵㍣㐷戹慤㐱攸㌷㔳㈳〳攱ㄸ㘲慥㠶づ捣㥤㜶㌵慢㠱づ㈸攲〶攷愴昷㠸ㄱ㥣㠹㕦扡㤹㕥摣搰㠱㠹㥢〱㕡㑦㉢㙥㉤㝤ㅣㅣ戹晦㕦㘳慦㜷㠲㠵扥㙤㈳ㅥ愲㑢戰捥㠸ㅢ改㘱户㌲㡡㍤搲摤㄰扥㥤戸㥢㡢戲挷㘵㡦ㅡ㔰㥢㝤㥢㘲㤱㙣㥦扦捦㠸慤敢换㈲て摢㥤昲㜲㔲㕢㜰改ㅥ㘴改㕥㡡〸㐴㈰攰昱ㅢ㌴昲〷㜴搴㑣晢戸愶摢昷搵㉢㌷㔴㕡㔶换搸摡㘴㝣㠹㐵愹㜴愶愴挴つ攵ㄲ㉣戶戲㥣㥥挳ㄶ㜲㥤慡搷㔱昴㐱昸戸㡥ㅣ㜱㜱㑣搶㑡戹〷愸㑣戴ㅡ搱㌰㜶㕥㜲㜷慢戰㉦㘱㉥收㕢㡤㑣慦收慡㝦㈹敥㤵〱㍦㌴摣晣ㄵ〹捥㝥㘳㈰摢ㅡ捥㠶换ㄲ搸㍦㘰㤴㌴㡣㘶㐸㉤㔳㘳捤㑡挹戳㙢〷慣ㄴ㍣〴㐵㜵㜸ㄹ㈳ㄹ愶㈷摣㌸戸㕦㍣㈵㤶ㅣㅥ〴晡捥㡦㐸㝦晥㐴捦摤〷㘰㝢ㄲ㔹㙣㈴㍢㌷㙦㌰㌲㌴㉦昷て㑢㘵晥敤㐵㘷㉢㝡㝢㑥捡挶攲㤹ㅡ昴㜴㜱㍡搵扦攱㤳昴㐳㕦㍡〶㘱㕦扥㉢㌱㡢㐷㡦㠹㕢晤㌲㉣挳晢㡤慥㉥㑦㌹扤㌱㐷㜳㥦愱㌹㕢攱㙣㉦摥攴搲〹扣〵㠶㉢昳㜱晢戱㉦㝢㈶ㅦ散㉢ㄲ㘰愸㌳㙤挸㉥戰㕣ㄲ㘰扢㌲㜱㜲㉡扤扥㈷㤵㕡捦昹㌴㔶㔲㤹㍥挳挸㜲㘷㌵挶摡㐹捡㡥㔱愹㤲㤲㥣捤㡥㘳ぢ挶㍤㤹晦㑣㠸捡收㜸扣摡昶㤸昱愷㤱㔵㠲㍤㥥㍦〳㘵㑥㙤㐳㙤扤㡣㑣愸慢挳㡣㜵㌴㠶扡㕡晡㡣攴扡捤戱㔳晡扢摡㥢㔷㜷攱改戰捥㤸㔵扤㘹㙡㕤㌸ㅤ换慣慦ㄹ㠸㘷〶搴㔶㤰挳㙤捡攴昰ㄵ慤摦㝣敢㠵ㄵ㍢づ㐸晤㌳昱挷敢㑡搵㔷慤㠲㠲捤ㄳ㌷㐵㝣㠸敢㡤㄰敡ㄲ㤸敤挴ぢ㝡敥愵〷㤰搶㥢㈹捥㠲挰㐷㠷っ〶㍥㌹捥㌶㤳㡡ㅢ㉢㝥㝡攸㜳㈸捥㠵㔰摣㍦昱摥搵攷㐱搸㤷摡〲晦㥣ㄲ㌲慣摣㠹ㄵづ敢〵挸つ攸㘱捡ㄴ㜷㘵ㅣ㕡㑤㉡㌵挹搳㈴㑥㙤㠴㘳㔷〲晡慤㠲㠲つ摣ㄴ㔴ㄳ〲戶戲㝥〶㘶㍢昱㠲㥥㝢改㑢㤱搶㤷㔱㕣づ攱㈰㘰㥢㤹㔴摣戹〹〱摢㘹戴〳㐲㜱扦㈶〴㕣〱挵扥搴ㄹ昰㍦㐸挰攱挸㉥㈴攰㙡攴〶昴㌰㘵㙡㉡㉣摣〸攸㠶㜳㔷〲扡慣㠲㠲つ㈳昷㠱㐲挰㡤㔰搴㘹㌰摢㠹ㄷ昴摣㑢摦㠴戴扥㤹攲ㄶ〸〷〱户㥡㐹挵扤愴㄰㜰ㅢ㡤㙥㠷㔰摣㉤ち〱摦㠶㘲㕦慡ㄳ晥〷〹㌸ち搹㠵〴散㐲㙥㐰て㔳愶戸〷㜵㈳攰〴㌸㜷㈵㘰愹㔵㔰戰㕤㍤〶㥥㠴㠰㝢愰愸挵㌰摢㠹ㄷ昴摣㑢摦㠷戴晥㌱挵晤㄰づ〲ㅥ㌴㤳慡ㄶ敦㐲挰㙥ㅡ㍤〴愱㘶㐱〸〱て㐳戱㉦戵〰晥〷〹〸㈱扢㤰㠰㐷㤱ㅢ搰挳㤴愹㍡㔸戸ㄱ㔰て攷慥〴搴㔹〵〵㥢攵搹昰㈴〴㍣〶㐵㠵㘰戶ㄳ㉦攸戹㤷㝥〲㘹晤㍢㡡㈷㈱ㅣ〴㍣㘵㈶搵ㅣ扣ぢ〱㑦搳攸ㄹ〸挵慤戳㄰昰㉣ㄴ晢㔲搳攰㝦㤰〰㙥扡ぢ〹昸㈳㜲〳㝡㤸㌲㜵㉣㉣摣〸㌸ㄴ捥㕤〹㤸㙣ㄵㄴ散摤戹ㅤㄷ〲㕥㠱愲づ㠱搹㑥扣愰攷㕥晡㌵愴昵敢ㄴ㙦㐰㌸〸昸㡢㤹㔴摣搲ぢ〱㙦搲攸㉤〸㜵㍣㠴㄰昰㔷㈸昶愵挶挳晦㈰〱㑤挸㉥㈴攰ㅤ攴〶昴㌰㘵慡ㄹㄶ㙥〴㤴挳戹㉢〱㘵㔶㐱㐱㈸愱ㄵ㥥㠴㠰㝦㐱㔱㍥㤸敤挴ぢ㝡敥愵昷㈰慤㍦愴昸〸挲㐱〰ㅦ搲㐸慡㌶㘴ぢ〱㕣昶㘸㉦㠴㘲捣㐰〸㈸㐱捡扥搴㥥㡦ㅣ〴㌰攴㔰㐸㐰ㄹ㝤敡㘱捡搴ㄲ搴㜳㈳攰㕤㌸㜷㈵攰ㅤ慢愰㈰㘸挱㔸㠴㄰㄰㘴㤷晦〶㌳㜷〲挶愳㔸㑦愰㤸挸摥つ㍤〶昷㌷㤳㙡ㄹㅣ〹〱〷搰攸㐰〸挵㠸㠵㄰㜰㄰㔲昶愵㕥㜳ㄲ挰〰㐸㈱〱㤳改㔳て㔳愶㔶愰㥥ㅢ〱捦ㄷ㈳攰㡦㌶〱昹㈱㤳搵昰㈴〴ㅣ挹㉥晦愱㈸〱搳㔰慣愷㔳ㅣ挵摥つㄱ㌰搳㑣慡づ㌸ㄲ〲㡥愶㔱つ㠴㘲戸㐴〸㌸〶㈹晢㔲㑦㌸〹攸㐴㜶㈱〱㜵昴愹㠷㈹㔳㙢㔰捦㡤㠰㥦ㄵ㈳攰㔱慢愰㈰㕥挳㈸㡢㄰㌰㡦㕤晥㐹㔱〲ㄶ愰㔸㌷㔱ㅣ捦摥つㄱ戰搰㑣慡㔳攱㐸〸㘸愱㔱㉢㠴㕡㡢㉣㈱愰つ㈹晢㔲昷㌹〹㘰㘸愷㤰㠰愵昴愹㠷㈹㔳愷愱㥥ㅢ〱㜷ㄶ㈳㘰㤷㔵㤰ㅦ㈱昲㜵挳搳㍥散散挷戰挳搱㌵㌱㘳ㄳ户㈲㘳愳昸收愴愵㍦㤳㑤挹扥愹㌲摡㥡㕡㥥捡戶挶㌲ㅢ攲攱捤ㄳ愲㤶㜲㌲㔶戰㔸户愶ㄱ摣挸换㑢㙤搸㘰㐴㜴戴㈳搵㥦敥㌵㤶戶㝥ㅡ愲ㅥ挰㠷愱㤳㠰㠷㔷攱晡㜸ㅢ㜹挴攴ㄴ㘶〹㉥㡦㡦摢敦晣晤㤸㝣㝦攳㠸㥤㠸捡㕤㑦搵㄰愳㥤戱㙣摣ㄸㄳ㤵戸㠵攸攵㔱戰㠸㔰㔱愴㉣摡搹㠷㝤㑡㙢㘵㜴㜱㍡ㄶ㠹挷㤲〶〷㘳愲㘹扡捣㔸㠷戰搰捡㔴㈶挶慦捡㉡愳㥤改㜰㌲戳㠱㍢摣摥捤攳㜳㔲戲ㄵ昶㐵ㄷ挶㤲ㄹ㌴㈳愳㐸扤㉡摡搱㤷摡㠴敦㕢晢ㄳ挹挵攱つ㤹㑦挵愸っ摤㐱㌲㌴捡慢扣㕥㔵敥㉤晦戸攳攳㕦つ㡦ㄳ捣昸㙣㌵收㘹㌶ㅤ敢改㈷㘱ㅣ㝥て搷㙦愵ㄴ㌲㠶ㅥ㕦㉦戴晣扤慣㘳〸昳〲㔱散㙢捥户㤱慥㌱㤱挱㉦戱慢㘰慥㍢㔰愹愲ㄳ攲㠴挵㈷㉤ㅤち搱晥㕢摦㉢晢㈲昰㍣敡㠸ㄸ户摡㘳捤㈹挴㈸ㄹ㘷ㄴ敥㑣捣〴愶昲愷㘵㈰㉡㌶㥣愱㘳㠷搴㐵〸慡㔴㐴㤷㠵㝢㡣㌸㘲㐱㠹㜰㜶慣㤹㘰㔰づ摦㍢㘶慣戲㤶㔴㈲ㄱ收㤴攳户愷ㅤ扤昸敥慤㍣摡摣㥦㑤攱扢㍢ㅤ㠵㤰㜹㘹㘵㠵〷㤰ㄵㅥ㌰愳㌶搱搵㡣ㄱ㡢㑥㕦愹㜵搸〳㘷晢ㄲ戱摥㜲㈶ㄸ挷晤㔴捣㔵㝣㝥㤴㠲㑣晢戲㍦㑢昲挳㐰㘶㌰〶挳㕤㠳挸㈹愹攳昰㘳㐶㝢㤵ㅦ晦搴挷っ㈱攲㤳㐷ㅥ㈸㝡つ扣昹ㄸ愲攳㐷㤱㕣㙦摢㈷㉢摥㍥て㌹昲攱愴愲㌴挰㑢㥦っ㐹㠵慦㔲〶攱㠶㡤㉦㤵挱㈰戰㉣ㄵ㡥㉣ち昷攲㈴㐴㤹㜵づ愲ㅣ㐳换㡦㥡㜴㤰ㄱ扦ㄶ〴㤱ㄱ㥣摥ㄸ㡢ㄸ改㜲㘶㜴攰㠴㐶㈹㘳㠵㝥㜳っㄱ晢㈸昱昸㝣㘳捡摤摡㕡㙡晢㍡挲㡡愳㌸㑦㠰㉣㉤昰晦搶慡㐶㉥㥡〱慢〴㔲㥦〲ㅣ晡㜳挴搴㠷㈴昱攴ㄹ㥣㑡㠳捦㐳昸ㄸ戵捡ㅦ㥢摣攰ㅢ㐲㜴ㅡ㐶愵㜲㠲㠰㘱挱㜲㠴搰㈴㥥攸ㄳ㈰㘳ㅣ㜱㐰扦ㄹ〲㉣户㡦㈵昸㍢㌰换㡤㐸挰晣㝣㘵扣㤱挳攱昵㤶㘲愸晤昹摦愱ㄴ㌴ぢ㘷㠹づ㐳〲㠴㡡㡦〷晦㕡㔴㍥㤴㌷ぢ晣㜷ㄵ昹〲摥㠰㈱搶昱㠳ぢ昹㐰㐰㥦㡥㙡㥥㠰㘲攰捣收㠲㠸〲〱づ愴敥㐲愹敥㠶㔰ㅢ㤱散挶换昱晣㔲㡣〱昱ㄹ收昱㠷㘱㌲搱晡㙥㜹挴て㑤挵戰ㄱ㍦㌸㜵て㍤㥦〵㡤㥦㐷㠳昳㌳㠲摣㤱攷攷搹慣㠱㤷㌶攸挴㑡愸㜳愰搸㌸愰摡㠳ㅥ㠵㠱㕥㐷挳㜳摤つ晡㘸㄰愳挱㜹㌰攰挰晢捦㐰㙡扡㑤攸挸㠷〳㕣戸㡤挳〳戸扤挰搱愴㠳摢〴㥢㑣戲㐹㐶㥡扡昱㜲㜲换昰㤲挹㙤ち㈶愳㝤ㅥ愹换㔰㑤愸摤㐰挷㤷㈳㤵㐳㙤ㅡ戹㈳㔳扢㡤㕤挱㑢㘷攸挴㑡愸敤㔰㕣愸捤挲㐰昷搳㜰㠷扢挱㐶ㅡ㙣愲〱愳㕥㐲敤〰㔲〷摢搴扡㥣㙢㜰攱昲㉣㔴〱㤷っ㠴搹㥤㜰㜰昹〵戶㜱㌶摢戸ㄱ〶摤㜸㌹戹扣〹㐹㤳换㜳㘰㌲晡㜹㝡㌳敡〹㤹攷搲昳㉤㐸攵㤰戹〵戹㈳㤳挹㘸ㄸっ㍤晡㝣㍡戱ㄲ敡㌶㈸㌶づ愸昶㍣晤㈲っ昴〵㌴㘴戸捣挵攰㐲ㅡ㕣㐴〳㐶搰㠴捣㉦㈱㔵㘳㤳㌹捡㔳ㅢ㉥〴㕦っ㌷㈰㜸㤷愳㕤〷挱㤷戰摤慦戰㕤〶挵扡昱㜲ㄲ㝣ㅦ㤲㈶挱㕦㠵挹愸㈷㉢㘳㘷挲敦㔶㍡㘶㄰㉤㠷摦㑢㤱㍢㌲扦っ戶挱㄰戱㔸㍡戱ㄲ㙡㌷ㄴㄷ晡㉥㠷㠱晥㍡つㅦ㜲㌷搸㐶㠳敤㌴㜸ㄸ〶挲敦づ愴〶㈷慢换昱ㄳㄷ㉥慦㐴ㄵ㜰昹愸愳つ〷㤷摦㐰愹扥ち㐲㌱扥搶㡤㤷㤳㑢〶搵㑣㉥慦㠶挹愸戹㘴ㄸ㑥戸扣㠶㡥㥦㐴㉡㠷换㙢㤱㍢㌲㤷㑦戱㉢㜸改敢攸挴㑡㈸〶敦㕣戸扣ㅥ〶㝡㈷つ㥦㜱㌷戸㠱〶摦愴挱戳㌰㄰㉥㙦㐴敡㈰㝢慥戶ㄶ㥣慢㜱愱昲㈶搴〰㤵㡣晥搹㝤㜰㔰㜹㌳㥢戸㠵㑤扣〲㠳㙥扣㥣㔴扥㠶愴㐹攵户㘰㌲㙡㉡㕦㐷㌵愱昲㔶㍡㘶㘴㉦㠷捡摢㤱㍢㌲㤵㡣〰挲搰愳扦㑤㈷㔶㐲㌱っ㘸挳㠰㙡摦昶摦㠱㠱晥㉥つㄹ㈲㜴㌱戸㠳〶扢㘸挰愸愱㔰㜹㈷㔲㐵愹っㄵ㠴づ昰愸晦㍥㙡㠰㑡挶ㄱ敤㈶ㅣ㔴摥挵㈶㝥挰㈶ㄸ昳敢挶换㐹㈵〳㝤㈶㤵㜷挳㘴搴㔴㌲㌴㈸㔴晥㤰㡥ㄹ㈳捣愱昲ㅥ攴㡥㑣㈵改挳㥦㐷摦㙢㈹㑣挸摡搵㠶㠱戴㑤攵㝤㈸搴㍦愶愱ㄷ挲挵攰㝥ㅡ㍣㐰〳挶ㅦ㠵捡〷愱っ扦㜴㜲攵昳㈱㔴〳㥦っ㑢摡敤㌸昸㝣ㄸ搹晡ㄱ〸挵㄰㘲㌷扢㌸戴昵㔷攳㤱㘷昲昹ㄳ㘸愳㝦㈴㑤㠰戵㄰晡㔳㈸㙡㈲㐴づ愱㍦㐳挶挸㠴敥捦扡攸㡦晥戹愵㌰愱ㄸ愰戴㜱戰户搶㝡昹ㄷ挸搶扦愴攱㠱敥〶扦愲挱慦㘹挰㜸愶㄰晡ㅢ㈸晢昶㐸㜲㈵昸㌱戸〱挱っ㝢摡ㅤ㜳㄰晣㌸戲昵ㄳ㄰敡㐸㠸㙥㜶搹㐱昰㌴攴㤹〴晦づ摡愸㈷散㜴ㄸぢ扦㑦㐲㔱㐷㐱攴昰晢ㄴ㌲㐶收㜷㈶敢愲㍢晡㘹㑢㘱㐲㌱晥㘹挳㘰㘷㉤㝥㥦㐱戶㝥㤶㠶㌵敥〶扦愷挱ㅦ㘸㜰っ㠴昰晢ㅣ㤴挱㐷㤲换㜹㌴㤷捦搱攷㔱〵㕣搶攱捤敥㠴㠳换ㄷ㤰慤㕦㠴㔰昳㈰扡搹㍤〷㤷ぢ㤰㘷㜲昹㈷㘸愳收戲〹挶挲攵㑢㔰搴昱㄰㌹㕣扥㡣㡣㤱戹㕣挸扡攸㡥晥㉦㑢㘱㐲戵㐰摡㌰搸㔹㡢换㔷㤰慤㕦愵㘱慢扢挱㙢㌴㜸㥤〶㙤㄰挲攵ㅢ㔰〶㍦㐷ぢ捦搲戹㔰昹ㄷ搴〰㤵㑢昱㘶昷挱㐱攵㥢挸搶㙦㐱愸づち㤸敡扦㕡㑡〹ㄲ扥㌵㐸攴㙦㉡ぢ㌶晣愵㙣㈱捡慤㝦㐷㜶㜳ㅣ攱ㄶ慡摣㘴㥡ㅡ户换㘶㌱戶扥愹㜴愹昲㤴收ㅦぢㅡ慣摢〵㔷㘳㈶收ㅤ戹㤲㙡㉣改㐴㙦㝣攳ㄱ〲㉥㕡㥦〸㠶捥㕦戰づ㉦晦摦㤰㍦戱㍤搶㥢㑥㘵㔲搱㉣㑥㝡㈷㌳搵㍣挲㠶戰㐱㙤戳㉦〸㡦慥㙤ㄲ㔸㘹㤲㠷改㌷昲㐸㐷㘰㝤㌲戵㈹㈹扤昱㘵㜸㤲㡦慤改戲㌲㌶ㄳ挰㑢慥挳挱㘲昰㘴㤴戰戲㝥〷㑡㘵㐹昰ㄴ㕡攲ち㝥捥㔶㑥戵ㄵ敥摤㜹昹㑥㠷㌲摡㡤㌴㝤慢ㅥ搵慢㈲捡㈸㉤㉢㔳㔳昳捥㡢ㄵ㙣挰〷て摣昸晤摣㝦晢挶〲昲攸㉡戱㝢㐳㡣戲㌲㈷㠶晥ㅦ攴敢扦㐳〴㠲摣㜶戳㐳晥昷愰㡣㙦㔹搸㠵㠳㈰昶搱㄰捥〲晦㍦㤰㕦㠱㝣〹㌲攰〷てㄹ晦晦㈲㘷㉣㜲ㅣㄱ㐷晦晢挸ㅢ㠷扣摣ㅦ㌵〴扢㤱㉤㔴㘶搸慣㝣㌵㈱㕦㜴散㐱㍥㈸戰㈶敤㠷㤶挲扥㠱ㄴ㡦㠷ㄳ㔷㜹㠱㤲搳〵㤹ㅥ捤㌹挰攱㔶ㅥ攴㜰挸㜳㠷㡣㠳㈹敤㈸慦っ㔹㔴捣㌱㘴敢㙣愵捦㔶㘲㤶愲攲㔰㌸㙣敡愳て昷敥㈵愵㉣搰㈵㜰愰㑢㈱〲㐱敥㥡挵㈹愹搱攴㐱ㄳ扡㈶搶㘰ㄲ㘲〸搹㈱慣㝡㌰㐵〵慡慡つ㈸挴ㅦ㝥戳挳ㄴㄴ㐱㤶㠶㈶挸摥㐵㠳㠵挸摥㐶㙥㈱戲っ㉡㐹㍢攳攰ち㤳㌱㑢㜷戸㠲晤戶戲搱㔶㌶㔹㡡㍡ぢ㡡㈰晢㙦ぢ㤹っ晡〴㌸搰ㄳ㈱〲㐱敥㘱㡢㈲㍢摢㉥㤴㌱㍢っ㙤改㈹ㄴ㤳㔰㔵㥤㡢㐲晣㜹昴㘴愶愰〸戲㉤搰〴搹换慥挸㕥㜲㐵挶㑤慡㜴㘲ち㕣〱搹ㄷ改づ㔷昰〲㕢戹搰㔶㉥戲ㄴ㜵㌱ㄴ㐱昶愲㠵㡣〵晡㜰㌸搰㐷㐰〴㠲㤷㈰愳㈸戲慦搸㠵㠲㙣㍡慢㑥愳㤸㐹㉣㕢㔱㈸摥㡥㘶ち搹㠲散㔲㘸㠲散㐹㔷㘴㑦戸㈲扢っ㤵愴ㄳ㈱戸〲戲换改づ㔷㤰摢㐱㔱戶搹捡㜶㑢㔱㔷㐲ㄱ㘴㡦㔹挸㘴捣敡攰㐰搷㐳〴㠲摦㠰㐱㔱㘴㔷搹㠵㠲慣ㄶ㙤㤸㍦㘶㤸㐷㉣搷愰㄰㝦ㅥ㍤㥦㈹㈸㠲散㕡㘸㠲散ㄱ㔷㘴て戹㈲扢づ㤵愴ㄳ捤㜰〵㘴搷搳ㅤ慥攰㑥㕢戹挱㔶戸ㅢ攳愵㙥㠲㈲挸ㅥ㜴㈲㙢㠱〳摤ちㄱ〸摥っ㠳愲挸㙥戱ぢ〵搹ㅣ㌸㌴㝦㌳戱㡣㔸㙥㐵㈱晥㍣扡㥤㈹㈸㠲散㜶㘸㠲散晢慥挸敥㜴㐵挶扤㤳㜴㘲ㄵ㕣〱搹㜷攸づ㔷㤰㝢㈵㔱敥戰㤵㕤㤶愲扥て㐵㤰摤攱㐴搶〱〷扡ㄳ㈲㄰扣ぢ〶㐵㤱晤挰㉥ㄴ㘴ぢ搰㠶㥥㑦戱㤶㔸㝥㠸㐲晣攱㙣㍤㔳㔰〴搹㍤搰〴搹㡤慥挸㙥㜰㐵挶慤㡣㜴㈲っ㔷㐰㜶ㅦ摤攱ち㜲敢㈲捡晤戶昲㠰愵愸㠷愰〸戲敢㥤挸㝡攱㐰㐷㈰〲㐱㙥㌹㡡㈲㝢挴㉥ㄴ㘴㙤㘸㐳户㔲挴㠹攵愷㈸挴ㅦづ敤㌲〵㐵㤰晤っ㥡㈰摢收㡡散㜲㔷㘴摣㔳㐸㈷捥㠴㉢㈰晢〵摤攱ち晥搲㔶㝥㘵㉢摣㌴昰㔲㡦㐱ㄱ㘴㤷㕡挸㔸愰㌳㜰愰戳㄰㠱攰攳挸㈸㡡㡣㝢〰㈹ㄴ㘴㍣㜰愱㜹㝣㐳㥦㑤㉣戲㡥㘷敡ㅣ愶愰〸戲愷愰〹戲㉦扡㈲摢攲㡡㡣慢㜹㘹攷㝣戸〲戲㘷攸づ㔷昰㔹㕢昹扤慤㜰戹捥㑢㍤て㐵㤰㥤㙢㈱㘳昳晡〲㌸搰ㄷ㐲〴㠲㕣㜹ㄷ㐵昶愲㕤㈸挸㍡㔸㜵㌵挵㔶㘲㜹〹㠵昸昳攸慦㌱〵㐵㤰扤っ㑤㤰愵㕤㤱㙤㜰㐵挶戵戵㜴攲敢㜰〵㘴慦搰ㅤ慥攰慢戶挲㠵戳攴㜰昱捣㑢㜱ㄵ㉣挸㤲㑥㘴摢攱㐰敦㠰〸〴戹㄰㉥㡡㡣ぢ㘴㈹ㄴ㘴愷挲愱昹戳㤶㙢㔱㌵挸昵戲ㄴ㕥㈷摤昱㜱挹㜷㕣摥㝡捣晤㑢搶ㄹ昹㍦㝤㘸挳㑦ㄹ㌶挳㡢愷〴摦㉥㤹摦挹㤴㝡㡦晤㜸扥戸攲攳㔷戲㝣昹㝡㠰晡摦昰〳㐴㡥㌵㈰㍤㝥〶㉦扤ㄳ㕤慤攲㐲搰㠷㤴ㅦ㉦挷昵㜶㤳㤵㌸摥㝣㉦户摥㠳挷㔷㜱搵㈸㌵㑥㔳㔳戶㌵晢㕥㍡㙦攷㍢户ㅦ㌷昵扡㕤㝢慤昷昳㝥㍢戳昲㘵捦搴㍢㜶摦昴昶㠶攵搷㑣ㅥ㘸㔲㝢㔰挳敤㤸挸㘹㠰攵㝡㔲㙡慤㔵㤰㝦㘰㌸挸㜵愲っ搶捤㌲㔸昸㝡搲攳攱㠰愹㔳㔱㠳㉣〹戰㙦ㄱ㔸〹挴扥〱㉢戵㙢ㄴ〳昶㠵㠹㜷㉣晥昳㔹㍢㥡敥㌹昴愲㌷㔷摤昳㘰㤳慡㐰つ㌷㘰㈷ㄵ〳搶㘹ㄵ攴ㅦ〴づ㔶挲㤳〰晢㉥㤴捡ㄲ㌵づ㙦〲㙣戵ㄳ搸㉥攴㔶㑤㠰搸㌷㘰ㄳ敤ㅡ挵㠰㈵㉦摤晣晥戶昵㙦散㝥㜰㐱戸㝢攱㈵㜷㌵愹㐹愸攱〶慣扤ㄸ戰㘵㔶㐱晥〱摦攰㘴㜸ㄲ㘰㜷㐳〱戰㈹㜸ㄳ㘰㈷㌸㠱晤〸戹㔵㠷㐳散ㅢ戰㈳散ㅡ挵㠰㤹㈳㜵挷敥户㔶㔱㝢戸㐹捤㐴つ㌷㘰㙤挵㠰戵㕡〵昹〷㜷㠳㐷挳㤳〰㝢〰ち㠰㠵昰㈶挰ㄶ㍡㠱敤㐶㙥㔵ㅤ挴扥〱慢户㙢ㄴ〳昶挰慢㤵搱㝢㝦㤹㙣摡㜳摢㍢㑦戶昷慣㙣㔲昳㔰挳つ搸晣㘲挰收㔹〵昹〷㜲㠳昳攱㐹㠰㍤ち〵挰㥡昱㈶挰㡥㜵〲晢㌹㜲慢㕡㈰昶つ㔸慢㕤愳ㄸ㌰敢摥摡晤慦㜳捦戸㍦扢晤攲㈶戵っ㌵摣㠰㌵ㄴ〳㔶㙦ㄵ攴ㅦ戴つ戶挳㤳〰晢㉤ㄴ〰㕢㠵㌷〱㌶换〹散㜱攴㔶㜵㐰散ㅢ戰㑥扢挶愸㠱慤㐵つ㌷㘰㐷ㄷ〳㌶搳㉡挸㍦㐰ㅢ㍣つ㥥〴搸搳㔰〰㉣㡣㌷〱㜶㤴ㄳ搸戳挸慤敡㠵搸㌷㘰ㄱ扢㐶㌱㘰〵ㅦ昷㜱搴㜰〳㌶戵ㄸ戰㈳慣㠲晣㠳戱挱〴㍣〹戰ㄷ愰〰搸㤹㜸ㄳ㘰㠷㌹㠱晤〹戹㔵ㄹ㠸㝤〳㤶戵㙢ㄴ〳㔶昰攱㜱㌶㙡戸〱㥢㕣っ搸㈴ㅢ㔸摥㠱搷攰㌹昰㈴挰㕥㠵〲㘰攷攳㑤㠰ㅤ散〴昶㍡㜲慢㉥㠰搸㌷㘰ㄷ摡㌵㡡〱㍢攳㑢ㄷ㜵㕤戲㙤换敥挱て㡦慤愸攱〶㙣扦㘲挰㈶㕡〵昹〷㔹㠳㕦㠳㈷〱昶㔷㈸〰昶㜵扣〹戰昱㑥㘰㝦㐳㙥搵㜶㠸㝤〳戶挳慥㔱っ㔸㝡搷扤㤷搷摦晣慢愶昷愶搶㍣昷㡦㤵㔷㌴愹㙢㔱挳つ㔸㘵㌱㘰ㄵ㔶㐱挱〱搵敢攰㘹愴〳慡㡥㕦晢捡戲㉤捡昰搹㤸愸㤹捤〵ㅤ挲愸戱㜸㕣㈲㤰ㄵ㌸㑦㤶挶敦㙤㤷攱搸㈴㑥㤱攱扦摡戰〲㘷㌸㑥挹攳㌹昶㠹㈵㉤㈹㔶昶㐷㔷愴㜱㠴愹㉣扡㌴㠳攳慥㤱㜲晣㕥㌰㥢挵㝦捦昱㘹㌸㙣㠶㤸㜰㈹〸挲㘵ㅥ㌳㜳つ挷㜶愱㜸㤸㜳㠰㐳㝣搸㍦愳昵昲ㄸ摡挷㍢昹敡㝦て摤戱扦㍣㠸㌸づ㔶㤶慡〰㠶搸㡣戲㙤昱散㤵㍥㝢扣㠸敢挱摥晦㍥〴㝦〷㈷㍢ㅣ㠸㠰晥㈷㜲捣㠳㙣〶㑤㝤㕣㌳攷㠳㘳㠰㝣ㄱ昲㍤㜹㍦㠶ㅤ㌳㠶㠸敤㑢㜱挹捡㔹攴晦㠰㍥散昳㑢戹㝤㉢㜵敤摢㠷愸愰搹户愱㝥敤㘵ㄶ扢㈴挲愳戸攴㘵摦散㑢㝤ㄷ〹㘹㑤㘱愷收㑥挴㐷㝢摣㠸㈸㠱㝤㕥㘳晣捦㜱㥣㡤㜱ㄹ㥡搳ㄸ搷㜶搲㔸ㄹ㉣㡢㐰㝢摦戵㌵晥㉦㐸㜹慤㡤挹㙢㡤㙢挳㥣搶ㅥ戰㕢慢㠴愵㍢戴㜷㕤ㅢ慢㉡㙣㙣㕣㕥㘳扢昳ㅢ攳㈲㐸愰㑤㈸摡搸㕢慥㡤敤㔷搸搸〱㜹㡤㜱つ㤵㠳散户㜶㘳〷ㄵ㙤散㌵搷挶づ㈹㙣㙣㜲㕥㘳㕣搷攴㌴挶挵㠲㈰晢㑣搱挶㕥㜲㙤㙣㑡㘱㘳㠷攷㌵挶戵㐶㑥㘳㉦搸㡤㑤㠵㘵㤱ㄹ昲㥣㙢㙢㥦㉤㙣㙤㝡㕥㙢㝦捡㙦㡤㑦㔵㠱㌶〳㤶敥㌳攴㈹搷挶㡥㉥㙣散㤸扣挶昸㔰捥㠱挶㈷㥤㌴ㄶ㉡摡搸㘳慥㡤搵ㄵ㌶搶㤰搷ㄸㅦ㤴捥挶㝣晣㤸ㅡ昵㘷㈸㌶挶㥥〹㜸摡㔸晦㘳ㄹ㑦㈶捦㠸昳晦㉢㜳㍢攸㥡㝢㄰㝣づ㍡愲昸攱㐷ㅦ扡㤱㈹㈸昲晡㄰戹散㠶㥥换摣扤戶捤戱㑥ㅢ㝥㠸㠸捤㜱捣攵攷㠷昸㤹攷戴攱慤㉦㌶昳㤹换扢㕥㙣ㄶ㌸㙤㜸挷㡡㑤ㄳ㜳㜹戳㡡捤昱㑥ㅢ摥㘸㘲搳捣㕣摥㘳㘲戳搰㘹挳晢㐳㙣㕡㤸换㕢㐳㙣㕡㥤㌶㥣搶㘲搳挶㕣捥㘸戱㔹攴戴攱㘴ㄴ㥢挵捣攵㍣ㄴ㥢㈵㑥ㅢ捥㈱戱㔹捡㕣㑥ㅦ戱㌹挱㘹挳愱ㄷ㥢ㄳ㤹换㔱ㄷ㥢㘵㑥ㅢㄹ〲戲摦㡥㕣晢ち㜲㈸㘴㠱戵ㅣちㄶ㔸㌲〸〵㔶ㅣっ戱㕡㘹㕡挹㌰ㄴ㔸㜱㌸挴㙡戵㘹㈵〳㔱㘰挵〱ㄱ慢㑥搳㑡㠶愲挰㡡㐳㈲㔶㙢㑣㉢ㄹ㡣〲㉢づ㡡㔸㥤㘲㕡挹㜰ㄴ㔸㜱㔸挴敡㔴搳㑡〶愴挰㡡〳㈳㔶㙢㑤㉢ㄹ㤲〲㉢づ㡤㔸㥤㙥㕡挹愰ㄴ㔸㜱㜰挴慡摢戴㤲㘱㈹戰攲昰㠸㔵㡦㔸〵敤㠱㔱ㅣぢ㔹攵㕥㠷ㅢ㥤㘱愸㠵愸㕢慥㍣㡡昴㑢挱戵㜹〵㘴㕣ち晥㈳慦㠰㈴㑢挱㌵㜹〵攴㔵ち慥捥㉢㈰㤵㔲㜰㔵㕥〱搹㤳㠲㙦攴ㄵ㤰㌰㈹戸㌲慦㠰ㅣ㐹挱ㄵ㜹〵愴㐵ち㜶攴ㄵ㤰〹㈹搸㥥㕢㌰收晦〰戶搴㜰㠸</t>
  </si>
  <si>
    <t>㜸〱捤㝤〷㝣ㄵ㔵昶㝦㙥㐸ㅥ戹て〲㑦㡡ち㈸㈶㘸ㄴ〴㌱扤愸ㄸ㐲㐲〹㠴㈲〱㙣㘸㝣㤰ㄷ㠸愴㘰ち㑤㕤搱挵㠲㘲㕤㔱㔱散挲摡搷㕤㐱㐵戱㤷㔵散慥ㄵ扢㠸㕤㔷㕤㕤扢晣扦摦㌳㜳挳扣㈹㈹晢摢晦攷戳挳㝢㠷㝢敦㌹昷㥣晢晤捥㥤㜹敦捤㥣戹㐹㔰〹〹〹㍢戰昱㝦㙥㐹㉣散㔱戹戴戹㈵㔶㍦戲戴戱慥㉥㌶户愵戶戱愱㜹㘴㐹㔳㔳㜴㘹㐵㙤㜳㑢㌷ㄸ㠴慡㙡愱㙦㑥慥㙡慥㕤ㄶ㑢愹㕡ㄴ㙢㙡㠶㔱㜲㐲㐲㑡㡡㑥㠴㝥㠰晤㡥㤸㡡㘶㉦㥤㐴〱慢〴ㅤ愲攸㑥㤱㐲愱㈹挲ㄴ㍤㈸㝡㔲愴㔲昴愲攸㑤ㄱ愱搸㠵愲て㐵㕦㡡㝥ㄴ晤㈹㜶愵搸㡤㘲㜷ち挶搷〳㈹〶㐱昴摣〳㘲㐶改㤸愹㜳㡥〷㥡捡㤶挶愶搸㠸戴㔹搶㤸㐷㘵㘵㡤捣ㅡ㤹㕢㤰㤵㍦㌲㜳㐴㕡㘹㙢㕤㑢㙢㔳㙣㔴㐳慣戵愵㈹㕡㌷㈲㙤㕡敢㥣扡摡戹㤳㘲㑢㘷㌴㉥㠸㌵㡣㡡捤挹捣㤹ㄳ捤㉤捣捡捤换慢㈹㉡㉡散戹㈷㍣㑦㈹ㅤ㌳慤㈹㔶搳晣摦昲㌹㤸㍥愷㤶㡥ㄹ㌹㈵搶昲摦昲戹ㄷ㝣挲㘵㔹㘳㝤戴戶攱扦攴㌴㤹晢㌴慦㉣㌶户㤶㍢㍦ㄶ㙢慡㙤㤸㌷ㄲ挳㡥㈳ㅡ戵㠲㤱㈵捤捤慤昵ぢ㌹㡦㑡㘳㜵㜵搳㘳㌵戲搳敢换㥡㕢愶㐵㥢敡㥢㝢搶㤳扦㔸㔳慣㘱㙥慣戹㔷晤搸㈵㜳㘳㜵戶㘱㜳㑡晤慣㘸搳㤴㘸㝤㉣㠹㠵摥昵搶㍥㉣慦㡥㌵戴搴戶㉣㑤慤㥦搹ㅣ㥢ㅥ㙤㤸ㄷ愳㐹㜲晤昸搶摡㙡㤵㤴㠴㔷㐲户晤晣㐶㈶㍢ち攳愹㉦㥤ㅦ㙤㙡㤱ㅡ㜷㘱㤶㥦慤㘳扡〸㡡戸㜱㜱㑡愵戹㝡㜱㥦㔵搶搶㑦㡡㌵㌵挴敡ㄸ㠴㝢㜲戸换㐸〸戲昶㐳ㅢ㔳〶づ昷㤲敡㘱ㅦ㝣挴挲㈸愱㌴㠸搱㔳ㅡ㥢敡㌱㈱㈷挷愲つ愳づ挸ㅣ㤹㤹㤹㥤㤳㕦㤰㤹㠳㠹㥢㤵㕦㔴㤸㤹㔷㤸㍦愲戲愵扡㉣戶㘸ㄴ㤵㕥慤㑥㠷ㄷ㍤㠴晥昶㠶攸㔳㌱㌶㉤㈳慤戱㈶慤㌲㕡ㄷ㙢㑥㝢攴敥戴ㅣ扤て㉤㌲㈰㔴搲㔶㥣ㄱ㥣攳攰㔱㤹㔸ㄵ㑤慣㥡㤳㔸㌵㌷戱慡㍡戱㉡㤶㔸㔵㤳㔸㌵㉦戱㙡㝥㘲㔵㙤㘲搵昱㠹㔵ぢ㘰㘳戶㤴敥摤ㄳ敤敤搱昵㌷㍥㤷㜵昰挹㈵攷摤㕤㌱晦㡥攵〷㤶㈹㥥〴攴ㅣ戲ㅦち㠷扡㜱攵ㄴ攵攴ㄶㄵㄶ攴㘵㘶ㄷㄶ攵㘶ㄷ攵㘵㍢㘱戹㤴戹㠵㝡㈸㝣攸㘱㄰愱晤㈱搲换㙤㔴㌳ㅡ㕢愲㜵㘹攳㙡ㅢ愲つ㜳㌱㉢戱愳收戴㔸㈰㠷戳挳〸〸愵晥〱㤰〴摡昳扢搳㍥㌸㝣昲捤愳㌷㘷散ㄸ㔸㌰敡捥㐷ㄵ捦㔰㌲挲㤱㈸㡣㜲㡥㄰摣㘶㘵ㄵㄴ㠰昵愲摣晣扣晣散散愲捣㕣攷〰㍤㑡㝤㈰攳㘵㐲㠴戲㈰㔲愷㌹㘹搷搹㔴收㐰㈸昵㡣㍤㤸挵搳㠶㍥摢戸戴㝦昹㝤捦㥥扤昷攸戳敢晦愰㜸愶㤴挱攴愱㜰㠸㜳㌰㤸〶〵昹㌹㔹㌹㔹昹㤹戹戹㠵㌹㤹㌹㌹昹㌹㡥挱戸㜴㜹㠵㍡㥦攱ち㈰㐲㠵㄰㝤愶㍢挷㐲㜶戲㜴ㄱ㉤づ㠲㔰敡㜱㝢㐰扢㠶摦晥晣㠵慦㡦㉡㕢戹收挹扥㤹㜳㥥晣㕥昱慣㉤〳㍡〴㠵㠳㥤〳捡ㅣ㤹㥤㔹㤸㤵敦搸ちㅣ攳昱攸昴㈸㐶㍢ㄴ㈲㔴っ戱换㡣攸㤲戴改搱㤶㔸摡搰㥣㘱搶捥ㅡ㑤㠳ㄲ〸愵ㅥ戰㠷戳㌴扣㘹㙡挳㤹攱昲捤㤱戲㉢㕦㑡㕦㔹愹㜸㉡㤱攱㤴愲昰㝦㥤㑥㘵っ㌸ㄶ㈲㌴づ愲挳改㤴愵挷戳挳〴〸愵敥戶㐷㌸攵㠷㌵㌵ㄷ㥣㌹㜴攲戹摤愶晣㜹攴搸搷㝥㔷晣㜰㤳ㄱ㑥㐴挱㍤㥤戲ぢ戳昳㜲戳ぢち㜲ち㡢㡡㌰改㜳㥣㝢㄰挷㠰㑢愹㈷㌱㕥〵㐴㘸㌲㐴慦愹㔳㑡ㅣ㠷戱㥥㐲敤㔴〸愵敥戰㐷㌳收昶㌵ㄳ昷㥥㤳㍦攱扡挴㐵㜷㝤ㄶ晡㘶㤱攲愷慣㡣收㌰ㄴ摣愳挹挴㝣捥㉤㈸捡捣㉥挸捤㈹挸挹㡥㍦愷戸㜴㤹㐵㝡㍡攳㔵㐲㠴㘶㐰愴㤶捤㜰づ㘶㈶㤵戳㈰㤴扡挹ㅥ捣㙤慢昴㤴㤵㙦㝣㌳晥㤲摤㌶晣㉤㘳搷挹㈷㉡㥥㔷㘴㌰㐷愰㌰㘰㘶㐳㙤つ㑥㜳㈳㈶搷㌶昰㉣㤶㍤㘲㜲㜴〹ち㔹搹晡㐸晡㍡ち㈲㜴㌴㐴㝡㜹戹ㄵ愸㌴摡㍣㍦㉤摡㔰㥤㌶昶㠴搶摡㐵㌸㤳㌵戴搸攷戲搹散㜰っ㠴㔲搷搹挱户昶晣攸挳挴㝤㜷ㅤ扢攲攳戲㈱㤵㕢㑥㌹㐲昱㕢㠶〴慦㐲攱㐰攷㐴敥昸〴㥢愵㡦㐳㈷ㅤ㠵〸捤㠱昰㥥㑦戳昴㕣㕡㔴㐳㈸㜵㠵㍤㠶㍦㝤昷捥㍢户㕣㔸㔴扡慡攵搳ㄷ捥慣扢晦㘳挵㉦㌹㌲㠶ㅡㄴ㡡㥤㘳攰㘹㍣愷㈰慦㌰扢愸戰愸㈰㉦扦㈸㌷㉢㌳㉢敥㘴攸搵敡㜹㡣㌸ㅦ㈲㔴ぢ搱㘷晣㔴挷晥戰㡥愸攳㘹挱㌳戵㔲ㄷ摢㘳敡扥晥搴㕥扢敦昷攲攴㍢㝥ㅢ晢㝤挹㥥て㝣愹昸㥤㑢挶㔴㡦挲㠰戸㌱㌹づ攷㉣摤㐰㕦㡤㄰愱㠵㄰扢㤵㑣挰〹㜷㐹慣㕡づ摦㥤㥦㉤晡〴㥡㌵㐱㈸㜵慥ㅤ㜲扦ぢ敥摤㝢敡㍥㝦㉤㕢㍢慣㍡㙢捣㤴挵て㉡㝥挳㤳㤰㉤㈸戸捥㈹㔹㔹㌹㜹〵㌹㐵㜹㐵㤹㠵㜹搹〵㔹搹㜹捥㐱戸㜴戹扡㤵搱ㄶ㐱㠴ㄶ㐳愴㤶㑣㜷㔰愰㤷㔰戹ㄴ㐲愹㌳散愱扣㤳昵昲㠰攷㝢㡣愹戸晢愶愴つ㍦㍣㜸搱〲挵敦㤹㌲㤴ㄳ㔱㜰㥦㙦㌳㌱㠲扣捣摣㠲㥣摣晣摣慣愲㠲戸攳挳愵捡㉣搰㈷㌱摣挹㄰愱㍦㐰昴ㄹ敦㍣㔶慤昳敤㈹戴㔸づ愱搴㈹昶㠰㘶㤵つ㙡㍤㜹㕣攲㠴㔳挷昵㠹㕥㍡散戵扤ㄵ扦昳捡㠰㑥㐳挱挵㑤㘶㉥捥慡搹〵昸捣捣捡㉣捡挵㤰攲㐶ㄴ慦捣搶㝦㠴〳扤〲㈲㜴㍡㐴㙡㔹ㅣ㌷㘷㔰㜹㈶㠴㔲㑢散愱㑣㥢㜳㘸晥扢㙦ㄷ㤵㍦昰捡㉤ㄳ㑥扣㌳户扢攲㌷㙦ㄹ捡㑡ㄴ㍣戳㌵㍦㈷㌳㡦㠳挰挹〳㠳捡㠹㘷㈷搳慤㉤搴㘷㌳攲㌹㄰愱㔵㄰愹㔳攲㠶㜳㉥㤵攷㐱㈸㜵㠲㍤㥣搸㥢ㄵ㐳㤶㝦扤㘹敡晡㡡慦ㅥ扡㙤换愵改㡡扦〱㘴㌸ㄷ愰攰㍡㝢㘴㘵㤹戳㐷愱扥㤰扥㉥㠲〸晤〹愲㔷挵昸㔲攷愴戸㤸摡搵㄰㑡ㅤ㙦㐷ㅡ昹搵㉦戳敥昹挳㡣愹慢㡥㌸慣晥搶戴慢㌷㉡晥搰㤰㐸㤷愲攰㍥㘹㘶攵ㄷㄴ收㘷㘵收㘷攷〳㜹㈱㘶㠶㘳㠲㘶扡㤵㌹晡㌲挶㕢〳ㄱ扡ㅣ㘲㘰㘹摣愷昰搰散㘱㜲㐲㥢㔶㌱㜳扣扥㠲㤶㙢㈱㤴㥡㙢㡦慣㘹㝣昹ㄷ㙦扤㝤㜳搹摡㙦捥晦攲搴㠵㝢摥愲晡㐳㉤㈳扢ち〵昷挸戲昱㤹㤲㔵㤴㥤挳㜳㐸㝥㈶㑡捥㤱㜹㤴晡㙡挶扢〶㈲㜴㉤㐴慦愹ㄵ捥〹慢慦愳昶㝡〸愵㘶㥢〹㔲摡㜳晤愹晢㍥㌲昹㥡㜹㈳摥㥦昲攲捤㑢ㄵ㝦㠶挹㘸搶愱攰㥥慢昹㌹〵搹戹㠵㤹㠵〵搹㤹戹㌹搹㜱㘳㠹㔷㘱ㅡ敢昵㡣昶㘷㠸搰㡤㄰扤㑡愶㡤㜱敥戳㥢愸扤ㄹ㐲愹㤹昶㔸㕥敤戱敦㐱攷㑦ㄹ㌱㜵挳戴㑤户㕦戰捦㝥㥦㈸晥ㅡ㤴戱摣㡡㐲摣㘴㤵搳㝢㘱㘶㔱㔶㔱㔱㝥㙥㘶ㄱ㡥攳㥣㥣挲戸昱㘴扡戵晡㌶㐶扣ㅤ㈲昴ㄷ㠸㍥㤳㥤㔳挸㍡戵摥㐱㡢扦㐲㈸㌵挵ㅥ搳搹晢慦扢㙡挴昲昱愳捦㍡攵㤵㠷㐶搵㝥㜲慣摡ㅤ㙡ㄹ搳㥤㈸㜸扥慣挴㥦㐱昲ち㡢㥣扢换愳搴ㅢㄸ㜰㈳㐴攸㉥〸敦改㈵㐷摦㑤㡢㝢㈰㤴ㅡ㙦て㈹㝣捦摣扢㑥㑡㜹㘷昴挵〳换㔳て晢㙤晢㜰㌵〰㙡ㄹ搲扤㈸戸㈷㔰㘶㔶㐱㑥㑥㘶㔶㘱㘱㜶㜶ㅥ㠸㡡ㅦ㤱㐷愹敦㘳扣捤㄰愱晢㈱晡㤶㤶摢㥦〸㡥㑦㠳〷㘸昲㈰㠴㔲愳敤㈱つ扡昷搰搴㙢㌷敥㍥晥㥡敤摦㡣戹昰㠵㈵扤搴㐰愸㘵㐸て愳㌰捣昵慤㈰㉦㍢㌷慢㈰㍦户〸ㅦ㠸搹㐵㌹搹㌸换搸摦ㄲ㜲昵㈳昴晤㈸㐴攸㌱㠸搴ㄲ攷㤱愵ㅦ愷昲〹〸愵㡡散挰㌹㍤㤶愵㡥晤㈹㝦攲㥦晥㌵攸搴㐳〶敤昸㤳ㅡ〴戵〴㝥ㄲ㠵㠱捥挰〷㘴㡦捣㉣戲㈳攵㘶敢愷攸㙣ぢ㐴攸㘹㠸㝥㘵㌳㉡慣搹挹慦戰戱㈵ぢ㘳つ捤㌱晤っ㙤㥥㠵㔰㉡摢づ㌸㙣搵攴㌳㔵㝤㜸昲收㠶㜷扥㥤戶攱愶㝦昶㝣ㅥ敡挳散摦㝢㘵㑤搱挵昸慤戲昳挷㌹㐲昲㕦挷㔷㈵㜰㔱愲㈶慦愶愰㈶㉢慢㍡㉦㌳㥡ㄳ㑤㑥㠷摢捥晥晣攵攷㕤捦㥡挳㙢ㅢ慡ㅢㄷ换敦攱㍤挶㐴㥢㘳㍢㝦ㅥて户㜵㘳ㅡ㕢ㅢ慡㥢〷昹㉢㉢㕢昰扤㝤愰㕢户搳㠹愷㕢㈵慥ㄶ挴㥡㈵摥㘰㜷户㔹搱扡搶㔸挹㤲㕡㑢扤愷㑢㡤㙢〵㡤㜳㠲戵攳㥡㘲㈷戴㘹㍤㈳㉡挱挵慣㐵攲摢㠳搲㔲㔹攳㑡㉢㥤摦搸ㅣ㙢㤰攱つ慦㥦㔶㍢㜷㐱慣愹㌲挶㑢㘱戱㙡㠱摡㥦㉡晢㠲挵昰愹つ〰㡡㑢㄰搵㐳㥣慤㌵㘳㤷戴挴ㅡ慡㘳搵ㄸ敦挲㔸㔳换搲ㄹ搱㌹㜵戱㕤攳㑣慣㤸㔰っ㠸㙢ㅥ搷㌸户戵戹戴戱愱愵愹戱㉥㕥㔳㔲扤〸扦㘸㘳搵㤳ㅢ慢㘳戸挶㤱挴㉤㐱㈵㜴敢愶㔴挲晥㝥ㄷㅡ攸户㜹愴散〸挷㉥摥ㄳ晢㝣昷昸㘹㌷㜲㍡搰〱㐵㕤㡣㜳㌲㜱㥦づ㥣㠹㕦扡ㄹㄶ㙣攸挰挴敢㠶戴ㅥㅡ㙣㉤㘳㙣摢㜳晦㝦㡤ㄳㄳ晢摡攸挷㉥挲㙦㠶〹昸〹㔱ㄷ㙢㙡昷慡愷攲㠸昴ぢ㄰挹〷攲㘸づ㘴㉦〹ㄶ㙡㠹㕡㥡扣戸戶扡㘵㝥㘸㝥慣㜶摥㝣㝥愹挵㤵搱㤴ㄴ㔲敢搹昴㑢㘸搲晦愰㜸ㄹ㈲ㅣ㑥〸扤㐲愳㔰㔸扦㙡搵㤳㠷攰晦慥㕦愲㑡㐴㉦㉤㤷挴㜰晤戲㌹戹㝥㕣㘳㔳㜳户㙥㝥㈸㈷攰㜷㔴ぢ愷㘷晢㑡晡㝢㡤攲㜵㠸攴㝤㈰㍡扣〲搶ㅢ㐶㐹扣搰㤷㕡㕦ㄶ慢㠹攲昲慡ㅣ摤㉡㥡㕣㙦㕤戱㉢㡢㌵捦搵扣戴㔷㡥㘳㘵㐹〸㈵ㅣ晣㍤敢㌹晢㘳㑢㕡捡愲㉤搱敥昵戸㐸㠸扤愴㘱㌴㕣㝡㔹㈵昶㑣㤵㌶搳㍢㙣搷攰㈱㈲㐵㠷㤷ㅥ搲㘰㜹挲㠱㠳攳㈵愱㥢㉤摢〷㠱戱て〶㠸㤰㝢愲挷㕦散挳㌵挸敡昱戱㠶ㄹ㑢ㄷ挶㥡㘹㥥ㄲ㙡㤷㑡昷攱㐵㘷㔳攷捥㤹搹㔲㕢搷㍣ㄲ㈳ㅤ摦搴搸扡昰扦改㠷扥昴ㅢ㄰㘶㑢摥ㄷ戳戸昳㤸㐰㔷㐲㜷晣挲㙥㡤㔵㔵㈵愴搰ㅢ㕢昴摥ㄴ㥣慤㜰戶〳晦挹愶摦挶㝦攱昶㜴挹ㄹ戰攸捡㠵搱㘴搸昷慣〷㐳㌳㥡㘲㜲愹㌷㐵㉡㘰㍢戵晥昰挶愶〵㜳ㅡㅢㄷ㜰㍥昵㤲㕡昳晣㔸慣㠵㤷㑦㝢搸㤷㡢攵戲戰㔲摤扡挵㕤搳㜴㕣㘷摤ぢ晥㐳敦㐳愴㤶搴搵愵ㄹ㡦捤愱て搰搴つㄷ㜲㐳摢㔰㈸挸挴㑦㍦搹㌳㔹㔵㤵搶㙤㤱挲慣慡搲昹戱㠶㜹㑢㙢㡦㘸慤㥡㕣㌲扤ち㥦づ昳㘲搹㘹㡢㌳㜲愲㑤戵捤ぢ㐶㉥愹㙢㕥愲昶〰㌹扣搰戸㘷㜴㜵搹戵㕦扣㍤昵攲摤ㅡ㝦慡㝦昳捡㈴㌵挸㔶㜸慥㤱づ㐵戸㜴扣昵㐷㄰㙡〰捣㜸搲㐱㌹㝥搳㥦愰慥㍦愵昸っ〲愷づ搹ㄹ㌸㜳㝣㘱㔵搵㌰晣捦戳㠷晥㤲攲㉢〸㌵ㅣ㠲挷慥晥㈷㠴搹㔴〴晥㌹㈵㘴户敥㡦㘶敦㙥晤ㄷ㕡挳扡ㅤ㥤ㅡ〱ぢ敥㕡㑤㉡㌵挹搳㈴㑥㠵攰搸㤷㠰㘴㕢攱戹〴㝢㈰扡〹〱扦戲㝦㌷㤸昹ㄳ昰㍢㘳㤰ㄸ捤〹改㈰㈰搱慡慡㑣攸㠴㠰㙥㘸搰扣扢愵戲搱㈴〴㈴愳㘶㌶昵昳敦づ〲戲搰散㈵㐰搳愷㙥㐷愷㜲搰捦㡦㠰慦攱摣㤷㠰㝦摡ち捦㘵摦㝣㜸㑡攷㈸晡㜰挸㕦挲捣㥦㠰㝥㔰敢晥ㄴ扢㐲㌸〸搸摤慡慡〲㌸ㄱ〲〶搰㘸㈰㠴㉡㐲㤳㄰㌰〸㌵戳愹て㥤〴ㄴ愲搹㑢挰㕥昴愹摢搱愹㠳搰捦㡦㠰慤㐱〴扣㘱㉢㍣㤷㤹㐷挱㔳㍡㐷㌱㤴㐳㝥㉤㤰㠰晤愱搶挳㈹㐶㐰㌸〸ㄸ㘹㔵搵愱㜰㈲〴ㅣ㐸愳㑣〸㌵ㅡ㑤㐲㐰ㄶ㙡㘶㔳捦㌹〹㈸㐶戳㤷㠰㍣晡搴敤攸㔴〹晡昹ㄱ昰㔸㄰〱㡦摡ち捦㠵敤㌲㜸㑡攷㈸づ㐵㔰昵㜰㈰〱愳愱搶㈵ㄴ㘳㈰ㅣ〴㤴㔹㔵㌵ㄶ㑥㠴㠰戱㌴ㅡ〷愱㜸搹㕡〸ㄸ㡦㥡搹搴㍤㑥〲挶愱搹㑢挰㈴晡搴敤攸搴〴昴昳㈳攰昶㈰〲㙥戳ㄵ㥥敢收㤳攰㈹㥤愳㤸挱㈱摦ㄲ㐸挰㉣愸昵攱ㄴ㐷㐰㌸〸㌸捡慡慡ち㌸ㄱ〲㡥愶搱㙣〸㌵〵㑤㐲挰㌱愸㤹㑤㕤攷㈴㘰㌲㥡扤〴㐴改㔳户愳㔳㔳搱捦㡦㠰换㠲〸戸搴㔶㜸㉥搵㑦㠷愷㜴㡥攲㜸づ㜹㜵㈰〱㜵㔰敢㝡㡡〶〸〷〱ぢ慤慡慡㠴ㄳ㈱攰〴ㅡ㌵㐱愸㤹㘸ㄲ〲㥡㔱㌳㥢㕡攵㈴㘰〶㥡扤〴㉣愶㑦摤㡥㑥捤㐲㍦㍦〲㑥ぢ㈲攰㔴㕢攱戹㍤㜰㈴㍣愵㜳ㄴ换㌹攴㔳〲〹㌸つ㙡晤㐷㡡ㄵ㄰づ〲捥戰慡敡㈸㌸ㄱ〲捥愴搱㔹㄰㙡㌶㥡㠴㠰㤵愸㤹㑤㉤㜲ㄲ㜰㌴㥡扤〴㥣㑢㥦扡ㅤ㥤㍡〶晤晣〸愸ぢ㈲㘰㠱慤昰摣愲㌸づ㥥搲㌹㡡㑢㌸攴摡㐰〲㉥㠳㕡慦愱戸ㅣ挲㐱挰㕡慢慡愲㜰㈲〴㕣㐹愳慢㈰搴㕣㌴〹〱㔷愳㘶㌶㜵㥣㤳㠰㌹㘸昶ㄲ㜰㍤散挳扡ㅤ㥤慡㐶㍦㍦〲㘶〵ㄱ㌰搳㔶㜸敥㡦昰㡥㐶㍡㐷㜱㉢㠷㕣ㄹ㐸挰敤㔰敢扦㔰摣〱攱㈰攰㙦㔶㔵捤㠷ㄳ㈱攰㑥ㅡ㙤㠰㔰挷愳㐹〸搸㠸㥡搹搴㐴㈷〱戵㘸昶ㄲ戰㠹㍥㜵㍢㍡戵〰晤晣〸ㄸㅤ㐴㐰戱慤昰摣㡣㘹㠰愷㜴㡥攲ㄱづ㜹㔴㈰〱㡦㐱慤ㅦ愷㜸〲挲㐱挰㤳㔶㔵㌵挲㠹㄰昰ㄴ㡤戶㐰愸ㄳ搰㈴〴㍣㡤㥡搹㔴慥㤳㠰㠵㘸昶ㄲ昰㍣㝤敡㜶㜴慡〹晤晣〸搸㍦㠸㠰㘱戶挲㜳㙢愸ㄵ㥥搲㌹㡡搷㌹攴晤〲〹搸ち戵㝥㤳攲㉤〸〷〱敦㔸㔵戵〸㑥㠴㠰㜷㘹昴ㅥ㠴㕡㠲㈶㈱攰㝤搴捣愶〶㍢〹㔸㡣㘶㉦〱摢改㔳户愳㔳㑢搱捦㡦㠰㝥㐱〴昴戵ㄵ㥥ㅢ㔲㈷挱㔳㍡㐷昱ㄵ㠷扣㑢㈰〱㕦㐳慤扦愱昸ㄶ挲㐱挰㜷㔶㔵㥤っ㈷㐲挰昷㌴晡㌷㠴㍡〵㑤㐲挰て愸㤹㑤愵㌸〹昸〳㥡扤〴晣㐲㥦扡ㅤ㥤㕡㡥㝥㝥〴晣晥㕢挰㔷攱摦㙣㠵攷〶搸ㅦ攱㈹㥤愳㐸㑡挴㤰㝦㠱㤹晦㔷攱㄰搴扡㍢㐵ち㠴㠳㠰戰㔵㔵㉢攰㘴〸ㅤ昵愰㔱㑦〸㜵〶慡㐲㐰㉡㙡㘶㔳摦㈲㐶摢㡦愱搳搱散㈵㘰ㄷ搸㠷㜵㍢㍡挵㝢㘹㝥〴㝣ㄲ㐴挰挷戶挲㜳摢敤㙣㜸ㄲ〲〶㜲挸摢〳〹搸〳㙡扤㈷挵㘰㡥㙥攷慦挱㌴慢慡捥㠱愳㈱㠴㤳㑥愳㈱㄰敡㕣㔴㠵㠰扤㔱㌳㥢㝡换㐹挰㉡㌴㝢〹搸て昶㘱摤㡥㑥㥤㠷㝥㝥〴扣ㄴ㐴挰㡢戶挲㜳愳敦㐲㜸ㄲ〲㌲㌹攴攷〳〹挸㠶㕡攷㔰攴㜲㜴㍢〹挸户慡敡㈲㌸ㅡ㐲㌸〵㌴㉡㠴㔰ㄷ愳㉡〴ㄴ愱㘶㌶昵㠴㤳㠰㍦愱搹㑢挰㈸搸㠷㜵㍢㍡戵ㅡ晤晣〸搸ㅣ㐴挰㝤戶挲㜳晦昱㌲㜸ㄲ〲挶㜱挸㥢〲〹㤸〰戵㉥愷㤸挸搱敤㈴愰挲慡慡㌵㜰㌴㠴㜰㈶搳㘸ち㠴扡〲㔵㈱㘰㉡㙡㘶㔳㜷㌸〹戸ㅣ捤㕥〲㉡㘱ㅦ搶敤攸搴㕡昴昳㈳㘰㝤㄰〱敢㙣㠵攷㌶攷搵昰㈴〴捣收㤰慦て㈴攰㔸愸㜵ㄵ挵㜱ㅣ摤㑥〲收㔸㔵㜵つㅣつ挱㕢捦愵㔱㌵㠴扡づ㔵㈱㈰㠶㥡搹搴攵㑥〲慥㐵戳㤷㠰㕡搸㠷㜵㍢㍡㜵㍤晡昹ㄱ㜰㐱㄰〱攷摢㡡㘹敥㍢慢敢攱㐹〸㘸攲㤰捦つ㈴愰〵㙡摤㑡戱㠸愳摢㐹挰ㄲ慢慡㜸㑦㜵〸攱㉣愵搱㌲〸㜵ㄳ慡㐲挰㠹愸㤹㑤慤㜰ㄲ㜰㈳㥡扤〴㥣〲晢戰㙥㐷愷㙥㐶㍦㍦〲㤶〵ㄱ戰搴㔶㜸㙥攷摥〶㑦㐲挰㔹ㅣ昲攲㐰〲捥㠶㕡㥦㐳戱㡡愳摢㐹挰㜹㔶㔵摤づ㐷㐳〸攷㝣ㅡ㕤〰愱敥㐰㔵〸戸㄰㌵戳愹〶㈷〱㝦㐱戳㤷㠰搵戰て敢㜶㜴敡慦攸攷㐷㐰㜵㄰〱㜳㙤㠵攷摥昱〶㜸ㄲ〲慥攲㤰愳㠱〴㕣〳戵扥㤶攲㍡㡥㙥㈷〱㌷㔸㔵戵ㄱ㡥㠶㄰捥㍡ㅡ慤㠷㔰㜷愳㉡〴晣ㄹ㌵戳愹㈳㥣〴摣㠵㘶㉦〱户挰㍥慣摢搱愹㝢搰捦㡦㠰㈹㐱〴㑣戶ㄵ㥥㍢搵昷挱㤳㄰戰㠱㐳㥥ㄴ㐸挰㕤㔰敢扢㈹敥攱攸㜶ㄲ㜰慦㔵㔵㥢攱㘸〸攱摣㐷愳捤㄰敡〱㔴㠵㠰晢㔱㌳㥢ㅡ攳㈴攰㝥㌴㝢〹㜸ㄸ昶㘱摤㡥㑥㍤㠸㝥㝥〴ㄴ〶ㄱ㔰㘰㉢㍣昷挵ㅦ㠱㈷㈱㘰ぢ㠷㥣ㄷ㐸挰㌳㔰敢㘷㈹㥥㠳㜰㄰昰㠲㔵㔵㡦挲搱㄰挲㜹㤱㐶㉦㐱愸挷㔱ㄵ〲晥㠱㥡搹搴〸㈷〱㡦愱搹㑢挰㙢戰て敢㜶㜴敡〹昴昳㈳㘰㐸㄰〱改戶挲㜳㝦晥㈹㜸ㄲ〲摥攳㤰昷ち㈴攰〳愸昵㌶㡡て㌹扡㥤㌳攰㈳慢慡戶挰搱㄰挲昹㤸㐶㥦㐰愸㘷㔰ㄵ〲㍥㐵捤㙣㙡㔷㈷〱㑦愳搹㑢挰㤷戰て敢㜶㜴敡㔹昴昳㈳愰㘷㄰〱㍤㙣㠵㍢㕦㈰昹〵㜸敡挲㝤摥ㅥㅣ㜰捤慣摡搸㘲摥㤸敡㔵㠳㘴昹搲搶收㤶㐶戹㡢㤶㕡㔳搶㌸愵戱愵慣戶㜹㘱㕤㜴㘹摦ㅡ扢㜰㌸敥㘷攰㉥㐶ㄳ㙥㜵扢摡ㅡㄷ㉥㡣㔵敢㥡捡挶搶愶戹戱昲戲晦㠵㝢攰挰㠷㕤㈷户扦ㄳㄵ戶晦散戶㙥〲㝡㘲㤶㘰㑢㐸㝥〹づ摤㜷攷㈴㘵摦㜱㈷㕤㡡ㄱㄸ昶摥挹攸㡣摡㤶扡㔸㡦ㅡ戹㡢㉤攵㤴ㅡ戰㠸挴㠱敡敥㌵㌳收攳慥㔵㔹㙡捤昸愶摡敡扡摡㠶ㄸ㜷㐶㍦换戴㈲㌶て㐹〲搳ㅡ㥢㙢昹㜴㐴㙡捤㡣愶㘸㐳昳㐲摥敦㥣扢戴㑦㕣㑤㙥㡣㈶搷㡣愹㙤㘸㐶ㄸ搹㡢㉣昷慥愹㥣摦戸ㄸて敡戴搶㌷㡣㡦㉥㙣晥㥦搸㉢㡡扢㐵㌶搹㌵㉡㔱㈵㈶慡㤴挴㤴晦㜴晦㠴晥㡤㘳慣慦㤵㠹㥡㠶㜹摡搲㔴㍢愷㤵㠴㐹㡣㙣挸㈴ち搹㠷〹挹晦㐰挹㝤㘷搳戱ぢ㕤㘹〹ㅣ㙢摣〳㈸扥㜷挸摢㥥㝥摡ㄳ收晡〷っ愷攷㡦㄰ㄳ挷捦㉣摦㤹戰昳㝦㝡㤴㈸昹㘵㜸敥㜴㝥㐴㝦ㄸ昷戲愶㄰㜳㈶㌸愳㜰㘴㘲㈶戰收㥥㤶攱ㅡ戱攱っ敤戵戳㌸づ户搸㝢搶㔴㐴攷挴敡㤰ㄹ㔰ㅦ㙤改㘵㔵㤸愲㠱㐷㑤㥡㙤㕤㘹㘳㝤㝤㤴㔳㡥て捣㔴捥㐵㤲㜵㑡㑤㐹㙢㑢㈳㤲戴㜵つ㠴捣㑢扢㈹扡〴㑤搱㈵搶㍤晣㥡改捣ㄸ㤲㌲㝤㌵捥挳ㅤ搱㤶昹昵戵㜳㔳㔸㘱㔶捦晦挴㕣挵昹㈳〹㘴㥡捤㥣㑢摣㐹〱搶慤㜹散敥㤱挸愳㈱㜵摣晤㤸搱㠹㉡㠴㝦敡㍦㑣㈸挱㤹㐷㍥㔰昴捦昰㤶㡣户㥣㡡㘴㉣㕦换慤㔸ㄴ扦㍥〵㔳㔴㑥㑥敡㔵ㅡ攰慤㝦㠱㈹ぢ㝣㈷扤〶搱㙥戶㐱㜷ㄸ㠴㉢ㅡ愳搵攳愲㜳昱昰㕢㜷晢搱户ㄴ散㕡㥥㙡㥡㈲捣晦㈸㐵㑡ㄱ㔲㤵ㄶ搵㔶挷㥡㔲搸㔰㠹㐷晢㤲㤸㌹ㄲ戲昶㈱敥㠴㜷㑢㐸㑥敥㤱攲ㄷ慢摣昸摡挷扥慢敥㝣㜴戰摣攳晦㡢挳ち㜹ㄳつ戰扡㐱敡㕦〱㐷晦㐶㑣慦愳㑡㍣㉥㠳摦㘹戰〳㈲昹つ㈸摤晢㈶㍥ㄵ〳〹ㅢㅡ㐶㐹昲搰ㄸ㤳㐴㔲㤰㔰㈱搹㈵挹〲愴㠷㈳㉢㈴㘴㈵㠴愴㤸㈷搱㐲㤵㤸攵戱敡戰㜵㝥㘵昶〹㍥ㄹㄲㄲㄳ㤳戰慢㐳敥㡣㍡㑦㔸㌸慢慦㡣㐹扡㠸ㅡ㡣㈱㠴㤸㑣㌸㤰〷ぢ晣㔷昹㍣㜱昵ち㡣㜰㙢㝢〷晥㤳㉤ㅣ搶㠹㈴㈴慣摥㠶㌴㍣㄰㑤㌸捣㥤愸戱〷㜰ㄹっ㐲㝤㠴㉡扦つ㌸㍥扢搴㈷愸昲昳㉢㈱挴㐷昳㍡㝢扥㔴㥦愲〷捦㤹㍡㐴挷㥦愱挴㔳㔱摢搴㑣㐱㙢挷㔳昳ぢ昶挰㕢昳㐹㑦㌳㌵搵㤷㘸㌱㌰㔰㌴晢㥢㝢㕤昷愰攱㔷晥〶㍤㘹㤰㑡㠳㝦挲㠰晢㍣搴ぢ戵㘱㠶换㡥㥦昳昲愱㌶〲て愰昶㕦㡥㤰づ㙡㜷㘱挸㍥っ昹㉢っ摣搴晥㡥㌶㡢摡扥㌰改㌴戵摣戳㐲㙤㍦㍡㈶㉦㜱搴敥㡡搶㡥愹㑤㐴㌷愱㜶㌷㜱㘲㔵ㄴ昳ㄹ㝣愸摤ㅤ㌶㝡〰つ㤹敢攰㘳㌰㤰〶㠳㘸挰昴〷愱㜶て搴晡ㅢ㙡攳㥦㔰昳愱㜱㌰慣㐱㈳㤳㈱㡣㝢〷㡤㝢搱㝤ㅡ摤㌳㜱挱㑤㈳戳ㄵ㉣ㅡ搳㘱搲㘹ㅡ㤹摦㈰㌴づ愱㘳㈶㍡挴搱戸て㕡㍢愶㤱〹ㄱ㜸攱ㄱ㐷㍡㐱㐱摥捣㡡㌰㌰搰㘶㘶攸扥戰搱晢搱㤰ㄹㄳ㍥〶㐳㘹㌰㡣〶㑣愲㄰ㅡ昷㐷慤敤㘸昷㜹戸捥㠷换ㄱ攸〲㉥昷㜲挴㜰㜰㜹〰㘳㡣㘴っ收㐰戸戹㘴攲㠳挵攵㠱㌰改㌴㤷㑣㤵㄰㉥㌳改㤸㌹ㄳ㜱㕣㘶愳戵㘳㉥㤹㕢㠱ㄷ㉥戶搲〹ち昲㘶㠲㠵て㔵戹戰搱㜹㌴㘴昲㠵㡦㐱㍥つち㘸挰㝣っ攱戲㄰戵〱㘶㑡㝡ㅦっ昴愱昲㈰昴〰㤵捣搰㌰㈱ㅣ㔴ㅥ捣㄰㠷㌰〴戳㈹摣㔴㡥㐶㥢㐵攵㈸㤸㜴㥡捡ㄲ㜴ㄳ㉡て愵攳㌱愸挵㔱㌹ㅡ慤ㅤ㔳挹㉣つ扣㤰挲㐱㈷㠶㑡愶㙡ㄸㄸ㘸㌳搳㜲っ㙣㜴㈹つ㤹挶攱㘳㔰㐶㠳戱㌴㘰㘶㠷㔰㌹づ戵㑥㥦㌸戳㍣扦㙦昱㤹㌴〱ㅥ㐰㉤㜳㍦㑣㐸〷戵攵っ㌹㤱㈱㤹愷攱愶㤶挹ㄹㄶ戵㤳㘰搲㘹㙡㤹捥㈱搴㔶搰㌱昳㍡攲愸㥤㠲搶㡥愹㘵晥〷㕥㜸㈴㤲㑥㔰㤰㌷㤳㐰っっ戴ㄹ㙡愷挱㐶ㅦ㐶㐳㈶㠸昸ㄸ㑣愷㐱㈵つ㤸㌳㈲搴捥㐰㙤㔷㌳㑢㕤捦㘲晡㑣搱㔹㌰〷㡦㔱㠷㝦〷㡦㠷搳晦ㄱ昴捦㜴て㌷㡦捣昱戰㜸㍣ㄲ㈶㥤收㤱㔹㈱挲攳㔱㜴捣昴㤰㌸ㅥ㘷愳戵㘳ㅥ㤹㐶㠲ㄷㅥ愸愴ㄳㄴ攴捤㕣ㄲㅦ㥡㡥㠵㡤慥愲㈱昳㑣㝣っ㡥愳㐱㤴〶㑣㍤ㄱㅥ攷愰搶昶〱ㄴ晦ㄴ愹て㡤搵戰〶㡤㑣㐴㌱敥ㅤ㌴挶攸扥㠶敥㤷挳挰㑤攳㘹㘸戳㘸㥣〷㤳㝥昶㈳ㅥㅤ晥愶㔴㑣㉥ㄱㅥ攷搳㌳戳㑣攲㜸㍣ㅥ慤ㅤ昳挸㙣ㄴ扣昰〰㈶㥤ㄸㅥ㤹㤲㘲㜰愰捤捣挷㍡搸攸㝡ㅡ㌲㕤挵挷愰㠱〶㡤㌴㘰〶㡢昰戸㄰戵㥤㠷㝡㠷て挹晡㜰摢〴て攰㤶㌹㉥㈶愴㠳摢㘶㠶攴〲㈰㡡昹㈸㙥㙥㤹㠴㘲㜱摢ち㤳㑥㑦㔱愶慤〸戵㡢攸㤸昹㉢㜱搴㉥㐱㙢挷搴㌲捦〵㉦摣搵愰ㄳㄴ攴捤㘴ㄷ〳〳㙤㠶摡㘵戰搱㈷搲㤰㠹㌰㍥〶㈷搱攰㘴ㅡ㕣つ〳愱昶て愸戵㝤戸㝢扥捡晢㥥㌶㤷愳ぢ戸㘴扡㡣㠹攱攰昲㔴挶㌸㡤㌱㤸摡攲收㤲昹㉣ㄶ㤷㝦㠴㐹愷戹㘴〶㡣㜰戹㠲㡥㤹ちㄳ挷攵ㄹ㘸敤㤸㑢愶捣攰㠵愷㐱改〴〵㜹㌳㙦挶挰㐰㥢攱昲㉣搸攸㤵㌴㘴㑥㡤㡦挱搹㌴㌸㠷〶㑣戳ㄱ㉥㔷愱搶挶愵捦㐳捡㍥昳昲㍣㜴〱㤷捣扣㌱㌱ㅣ㕣㥥捦ㄸㄷ㌰〶戳㘴摣㕣㌲㌵挶攲昲㐲㤸㜴㥡㑢㈶搳〸㤷ㄷ搱㌱戳㙡攲戸扣ㄸ慤ㅤ㜳挹散ㅢ扣昰㠰㈹㥤愰㈰㙦愶攰ㄸㄸ㘸㌳㕣㕥〲ㅢ㝤㈹つ㤹㥥攳㘳㜰ㄹつ搶搰㠰ㄹ㍢挲攵攵愸敤㘵㍥㠲㠲ㅥ挱昶㈱㜴㉤晡㠱㔰㘶昲㤸㐰づ㐲慦㘴愰慢ㄸ㠸㔹㌷㙥㐲㤹㙡㘳ㄱ㝡㌵㑣㍡㑤㈸㤳㜳㠴搰㙢攸㤸㔹㍡㜱㠴㕥㠷搶㡥〹㘵㌶て㕥㜸ㄲ㤵㑥㔰㤰昷扢㤰〶〶摡っ愱㌷挰㐶慦愳攱㝢晥〶敢㘹昰㘷ㅡ扣て〳㈱昴㐶搴摡㍥㡢攲ㅦㅦ昷愱昱㘶㔸㠳㐶收〳㤹昸づㅡ㙦愱晢㕢改㥥戹㍢㙥ㅡ㤹戰㘳搱㜸ㅢ㑣㍡㑤㈳㔳㝣㠴挶摢改㤸戹㍥㜱㌴摥㠱搶㡥㘹㘴㑥㄰㕥㜸㘰㤵㑥㔰㤰㌷ㄳ㠳っっ戴ㄹㅡ晦〶ㅢ㝤㈷つ㤹㌴攴㘳戰㠱〶ㅢ㘹挰㍣㈲愱昱㉥搴㜶ㅥ攳㈵㘹㍢ㅦ〱戵㥥㝣昷攱昲ㅥ㜴〱㤷㑣㉤㌲㌱ㅣ㕣㙥㘲㡣㝢ㄹ㈳〹搷㠱摣㕣㌲昷挷攲昲㍥㤸㜴㥡㑢㘶ぢ〹㤷㥢改㤸㘹㐳㜱㕣㍥㠰搶㡥戹㘴㝡ㄱ挶㡣挷㕡改〴〵㜹㌳挷挸挰㐰㥢攱昲㈱搸攸㠷㘹挸晣㈳ㅦ㠳㐷㘸昰㈸つ㤸㤲㈴㕣㍥㠶㕡摢㤴㉣㡢㝢㑣摥㠷挶㈷㘰つㅡ㤹愰㘴摣㍢㘸晣㍢摤㍦㐹昷㑣㈶㜲搳挸っ㈲㡢挶愷㘰搲㘹ㅡ㤹㜳㈴㌴㙥愱㘳㈶ㅦ挵搱昸っ㕡㍢愶㤱㐹㑡㐲攳戳㜴㘲㘸㑣㐷慢㠱攱愰昱㌹搸攸攷㘹挸㉣㈶ㅦ㠳ㄷ㘸昰㈲つ㤸搸㈴㌴扥㠴㕡ㅢ㡤昱慢つ昸搰昸㌲慣㐱㈳搳㥣㡣㝢〷㡤慦搰晤慢㜴捦㤴㈴㌷㡤捣㐳戲㘸㝣つ㈶㥤晦㤶挹搴㈵攱昱㜵㝡㘶づ㔳ㅣ㡦㕢搱摡㌱㡦捣㜵ㄲㅥ摦愴ㄳ挳㈳ㄳ㥥っづ〷㡦㙦挱㐶扦㑤挳㐲㝦㠳㜷㘸昰㉥つ㤸ㅦ㈵㍣扥㠷㕡摢慦ㅥ搷㘲ち㍥㐴㝥〰㜳㄰挹㜴㈹㌳〰〷㤱摢攸晦㐳晡㘷㙡㤳㥢㐸收㌳㔹㐴㙥㠷㐹愷攷㈳㌳愰㠴挷㡦攸㤸愹㔰㜱㍣㝥㠲搶㡥㜹㘴捡㤴昰昸㈹㥤ㄸㅥ㤹㌷㘵㘰㌸㜸晣っ㌶晡㜳ㅡ㌲愷捡挷攰ぢㅡ㝣㐹〳愶㔹〹㡦㕦愱㌶挴㝣㜴㤷㍡ㅦ㔶㑦㡢㕢〶挲㠷搳慦搱ㄵ㥣㌲〳换挴㜲㜰晡つ㘳㝤换㔸捣㤶㜲㜳捡ㄴ㈹㡢搳㝦挱愴搳㥣㌲愹㑡㌸晤㡥㡥㡦㐳㉤㡥搳㝦愳戵㘳㑥㤹㠵㈵㥣晥㐰㈷㠶㔳愶㘲ㄹㄸづ㑥㝦㠴㡤晥㠹㠶搵晥〶㍦搳攰ㄷㅡ挴㘰㈰㥣晥㡡㕡摢摣㜴㉤㘰攱挳攳敦㌰〷㡦㑣攴㌲〳㜰昰戸㠳晥ㄳ㜰㜷㐸㌱改捡捤㈳㌳慤㉣ㅥ㜹〳愹搳㍣㌲㌷㑢㜸挴㑤㠵〴挵㈴慤㌸ㅥ昱㍣㜷㈷㜸㕣㠲㙥挲㘳㌲㥤ㄸㅥ㤹搱㘵㘰㌸㜸っ挱㐶㜷愷㈱戳扤㝣っ㔲㘸挰挵ㄹㄵㄳ挰㠴挷㌰㙡㙤㍣扡ㄶ摦昰攱戱㈷捣挱㈳昳挱㡣㝦〷㡦愹昴摦㡢晥㤹扢攵收㤱〹㕢ㄶ㡦扤㘱搲㘹ㅥ㤹攲㈵㍣㐶攸㤸戹㕥㜱㍣昶㐱㙢挷昳㤱㌹㘱挲㘳㕦㍡㌱㍣㌲㌱捣挰㜰昰搸て㌶扡㍦つ㤹㌴收㘳戰㉢つ㜶愳〱昳挸㠴挷摤㔱㙢晢ㅡ㌴搹扢㘸㠸て㤷〳搱〵㕣㌲戵捣挴㜰㜰㌹㠸㌱昶㘰っ愶㠱戹戹扣〶㙤ㄶ㤷㝢挲愴搳㕣㕥㡢㙥挲攵㘰㍡㘶摡㔸ㅣ㤷㘹㘸敤㤸㑢愶㤷〹㤷改㜴㘲戸㕣㠷㔶〳挳挱攵㄰搸攸扤㘹挸晣㌳ㅦ㠳㝤㘸㤰㐱〳愶愴〹㤷晢愲搶挶攵㜸昷㔷捡ㅣ扦㉢㤷㐳搱〵㕣㌲㑢捤挴㜰㜰㌹㡣㌱昶㘷っ㘶㤴戹戹㘴ㅡ㤹挵攵㜰㤸㜴㥡㑢㈶㥥〹㤷㈳攸昸ㅥ搴攲戸ㅣ㠹搶㡥戹㘴愶㥡㜰㜹㈰㥤ㄸ㉥㤹慥㘶㘰㌸戸捣㠴㡤捥愲㈱㔳搹㝣っ戲㘹㤰㐳〳㘶户〹㤷戹愸つ㙡晢散昱㔹愷挵㘷㘲收愳て挸㝣搸ㄱ挴㐱㘶〱㠳ㄴ㌲〸戳搳摣㘴㌲㈵捤㈲戳〸㈶㥤晦㐶挴㉣㌶㘱昳㈰㝡㘶㍡㕢ㅣ㥢㠷愰戵㘳㌶㤹昶㈶㙣㡥愲ㄳ挳㈶㜳摦㝣挸㍡ㄴ㌶扡㤸㠶捣㡢昳㌱ㄸ㑤㠳ㄲㅡ㌰㔵㑥搸ㅣ㠳㕡摢㌷换昸㘵㘷㝣㜸㉣㠳㌵㜸㘴攲㥣㜱敦攰㜱㉣摤㡦愳晢昷㘰攰收㤱㤹㙤ㄶ㡦攳㘱搲㜹ㅥ㤹っ㈷㍣㑥愰㘷㘶挵挵昱㌸ㄱ慤ㅤ昳挸散㌹攱㜱ㄲ㥤ㄸㅥ㤹㐲㘷㜰愰捤晣搰愹㠰㡤㥥㑣㐳愶搷昹ㄸ㑣愱挱㔴ㅡ㌰攳㑥㜸㥣㠶摡ㅥ㘶㔶晡㉥慡攳㐳攷㜴㜴〲㥤㑣挳㌳㔱ㅣ㜴㔶㌲捡っ㐶㘱搲㡥㡣㝥㈶㙢攸挳捦晥㘴㈶㕥戸昳〹㍣戹ㅥㄲ愱㠶㔹ㅦ㤵㉤㑢敢㤰㘹挳㈲昳ぢ慣ㄲ㌳㈵挲搲㠶慣㠷挶㈶摣㜸㑤㜲慦て搲搶昷㜹〴敤搱捦戵昶㡡㜴愳㠶㐹㈵挹㌷晦攲㕤㕦愴慤㍦〷扥㜳㈱〶昶攱ㄶ㍡ㅣ㐳散㌷戹㜶㙥㔳㘳㜳㘳㑤ぢ㔶㜵㙤㘸㑥攳㕡㌶㌵〹〹㤹㈵挹㌷挲愳㙦㑣〲㑢㙡攰搲戹㡢戸戶㐳㜸㐱㐳攳攲〶ㄹ㑤㜲㌳㤷昴ㄱ扥扡㜷㘷㤸㌰攳㜰摢ㅢ攴㐵㤸㠰挲捥晡㐸挸搴㙥ㄱ㘶㜰㜰㡢㌰㡢㐳ち㑣搹㤰〲搳㌶戸㈵㈷㠲昰捥收㔰搰户㥡愳收慡㙡ㄵ㑢敡摥㕤㘵戸ㄶ㡥昱攴㕥戴慤扣ㄱち㌱昵㈲㜹㍤㈰㜷慥㔳㍣愳散捣㠹愱㡦挶㄰昴㙣㠸㜰愴ㅢㅡ㌸愰搰㌱㤰㝤㑡挷㔴㘱㐵〸戳㐶〴㘷㐱攸㔸戴昷㐴扢攴㤷㘰㜹攳收㔰ㄵ㕡㝡愱挵㤱㙣ㄶ㍡づ㙤扢愰㉤㝥〹攳㐸㤲敤㕤㙦㘳搸㈱ㄴ改ㄴ搵㌰㔷㈱㈸㘵㈷挴㔸㐳㌳敡戸㔰〱挹㠹慢㉥〷㑡㑥ㄷ㌴攲ㄱ㘸㤸㜰㜷慢换搰挲㕤ㅥ扦换㌴㍡搱㐲搷㐲㘲㤷㠵改ち㕢愴㠷㈹昴㌴㠵㔴扢愰㈲㈸㜰户愹㑢攰㡥㤴㔲愱ㄷ挰㠱慥㠳〸㐷㜶㐱㠳㌸㈵㌵㥡㍣㘸㐲搷挴ㅡ改㘳㤴摢搸㙢ㄸ挵㔰㡡ㄶ㈸㔵㍦㈸〵㔹㉢㙢㘸㐶ㅤ昷昶㈱〵搹搹〸收㐵㜶ㄶ㕡扤挸㜶㐳㈷㌸挱挵㝦㐸㈰摢㥤慥戰㐵〶㤸挲㐰㔳ㄸ㘴ㄷ搴㘰ㄴ〴搹ㄹ㑥㘴㈷挲㠱㍥〹㈲ㅣ搹ぢ〶攲搴て㔹㥡㔱㙥㐳ㄸ㔹摥搷㕡攸㜷〵㝡愸㈱㔰ち戲搳㔹㠳〱敡〹㙡ㅦ㐸㐱戶捣ㄷ搹ㄲ㕦㘴ㄹ攸㈴㠳㔸〹〹㘴晢搲ㄵ戶挸㝥愶㌰搴ㄴ㠶搹〵㌵〲〵㐱戶挸㠹散ㅣ㌸搰慢㈰挲㤱〳㘰㈰㑥晤㤰㡤㌴捡㙤〸㈳㡢〵㕢换〶㕦㡣ㅥ㉡ㄳ㑡㐱戶㥡㌵ㄸ愰㡥昵㌴㈰〵搹昱扥挸收晢㈲换㐱㈷ㄹ挴ㅡ㐸㈰换愵㉢㙣㤱㍣㔳挸㌷㠵〲扢愰づ㐲㐱㤰搵㌸㤱㕤〱〷㝡㉤㐴㌸㜲㌰っ挴愹ㅦ戲㐳㡣㜲ㅢ挲挸戲挳搶〲挴㌷愰㠷㍡ㄴ㑡㐱戶㡥㌵ㄸ愰㥥愰㐶㐳ち戲愳㝣㤱ㅤ攱㡢慣〴㥤㘴㄰㌷㐱〲搹ㄸ扡挲ㄶ㈹㌵㠵㌲㔳ㄸ㙢ㄷ搴〴ㄴ〴搹㉣㈷戲㕢攰㐰摦ちㄱ㡥㤴挳㐰㥣晡㈱㥢㘸㤴摢㄰㐶㤶㉦搶㘵㉣㙤㐰て㔵〱愵㈰摢挸ㅡ㥡㔱挷㔵ち㐸㐱㌶搱㠱㉣㜴㌷㑣〲㍦㐵搴〴㕦戸扣户㡥㙥〹㝡ㄳ㈴攰㑥愳㝦㙣㤱挳㑣㘱扡㈹㔴摡〵㌵ぢ〵㠱㍢捥〹昷㍥㌸搰㥢㈱挲㤱挳㘱㐰愷愱晢㈱晤捥戸て愰㍤晥㡣晢㈰㕡摣㘷摣㠷搰收㜳挶㍤挲昶㙥㥤㜱㉢㄰挷㕡㔷昹㌱㤸慢愳愰ㄴ扥ㅥ㘷つ㍡搴㜱㈱〵㔲昸㍡挸挱㤷㈶㕦㜲挶㉤昴愵㠶户换㘹愱㥦㠲〴㌵挷搲ㄵ戶㐸㤵㈹ㅣ㘷ち㔱扢愰慡㔱㄰㙡昲㥤搴㍣つ〷晡ㄹ㠸㜰㈴〶〳㜱㑡㙡㌴㜹搰㠴慥㠹㌵㔲㘳㤴摢㄰㐶㔶㘶戶搶㘸㝥ㄹ㑡㌵ㅦ㑡㐱昶ち㙢㌰㐰ㅤ挹〶㤰㠲㙣㝦㈷戲戶捦㤲愱扥挸ㄶ愰ㄳ㥣㘰㐹㈹㐸㈰慢愳㉢㙣㤱㝡㔳㘸㌰〵摥愱收愶㥡㔰㄰㘴晢摡挸㘴㉣㙦挲㠱㝥ぢ㈲ㅣ㘹㠶㠱㌸昵㥢攳㉤㐶戹つ扥㘴㈹㘸㙢㔱攸て搱㐳㉤㠲㔲扣㙤㘷つ〶愸攳改㙥㐸㐱㌶搰ㄷ搹敥扥挸㤶愲㤳っ攲㔳㐸㈰㕢㐶㔷搸㈲㈷㥡挲㐹愶挰ㅢ挴摣搴㜲ㄴ〴搹慥㌶㌲㉡昴攷㜰愰扦㠰〸㐷㑥㐵㠳㌸昵㐳㜶㥡㔱㙥㘳慦㈸挵㜱ㄴ摦愱㠷㕡〱愵㈰晢㥥㌵㌴愳㡥愷㤶㈱〵㔹搸ㄷ㔹㡡㉦㌲摥捤㤵㐱晣〴〹㘴㘷搱ㄵ戶挸㑡㔳㌸摢ㄴ捥戱ぢ敡㍣ㄴ〴㔹挸㠹散ㄷ㌸搰扦㐲㠴㈳扣昳㉡㑥晤㤰㕤㘰㤴摢㄰㐶搶愵戶㔶愸㑥㑡〶㠶㡢愰ㄴ㘴挹慣挱〰㜵㍣㡤ぢ㈹挸㝥晥搹昱昹摦㜶㥣晤㠸搶ㅢ㌱㤴昸㙦㌶扣户㉡㠳攰摦ㄶ〱戲㑢攸ち㕢攴㔲㔳戸捣ㄴ搶搸〵戵ㄶ〵㐱昶㙦戸㕣て㤷㔴攸ㅥ㜰愰㝢㐲㠴㈳扣〵㉡㑥晤㡥戳慢㡣㜲ㅢ㝢㌵㔲昰㔹〴摤㡦㔸慥㠱㔲㤰昵㘷つ捤愸攳慡ち愴㈰晢捣㠹慣敤㌸晢挴ㄷ搹昵攸㈴㠳ㄸ〰㔷㐰㜶〳㕤㘱㡢慣㌳㠵昵愶挰扢㤸摣搴捤㈸〸戲㡦㥣挸〶挱㠱摥〳㈲ㅣ戹〵〶㠱晢散㔶愳摣〶㕦戲㤰戶戵愴昶㍥挴㜲㍢㤴㠲㉣㠳㌵ㄸ愰㡥㌴〳㐸㐱戶搵ㄷ搹敢扥挸晥㡡㑥㌲㠸㘱㜰〵㘴㝦愳㉢㙣㤱㍢㑤㘱㠳㈹昰挶㈲㌷㜵てち㠲散㔵㈷戲攱㜰愰㐷㐰㠴㈳㥢㘰㄰㠸散㕥愳摣〶㕦戲㉣户戵㐰㜷㉥戱㙣㠶㔲㤰攵戱〶〳搴昱㔴㈰愴㈰摢攲㐴搶㌶ㅢ㥦昴㐵昶㈰㍡挹㈰㡡攰ち挸ㅥ愲㉢㙣㤱㠷㑤攱ㄱ㔳㜸搴㉥愸㈷㔰㄰㘴㑦㌸㤱ㅤっ〷晡㄰㠸㜰㠴户敤挴愹摦㙣㝣搲㈸户㈱㡣㉣昰慤晦挸㔲ㄹ戱㙣㠱㔲㤰㡤㘵つ捤愸攳㘹㌷㐸㐱㜶慦㉦戲㝢㝣㤱㍤㡢㑥㌲㠸㜲戸〲戲攷攸ち㕢㠴㌷攲愴昰㠲㈹扣㘸ㄷ搴换㈸〸戲扢㥣挸㈶挱㠱慥㠰〸㐷㜸㈷㉤㄰搹慢㐶戹つ敥㘵慤㜰㙢搵昰ㄹ挴昲㍡㤴㠲㙣㈶㙢㌰㐰㍤㐱㙤㠵ㄴ㘴㌷晢㈲扢搱ㄷ搹㥢攸㈴㠳㌸ㄲ慥㠰散㉤扡挲ㄶ攱慤㌱㈹扣㘳ち敦摡〵昵〱ち㠲㙣扤㡤㑣挶㜲㌴ㅣ攸搹㄰攱挸㌶ㄸ〴㈲晢搰㈸户挱扤㉣㑥㙥㉤㔳㕥㑤㉣ㅦ㐱㈹摥㘲慣挱〰㜵㕣㐷㠱ㄴ㘴㤷㍢㤱戵㥤㐱㉥昳㐵昶㈹㍡挹㈰㙡攱ち挸㍥愳㉢㙣㤱捦㑤攱ぢ㔳昸搲㉥愸慦㔱㄰㘴㤷搸挸愸搰ぢ攰㐰搷㐱㠴㈳摦愰㐱㥣晡㥤昵扦㌵捡㙤散戵㠶㠲换ㄷ攸ㄶ㘲昹づ㑡㐱搶捡ㅡ㥡㔱㐷㕡〱愴㈰㍢摢㠹慣敤㌸㍢换ㄷ搹て攸㈴㠳㔸ち㔷㐰昶㈳㕤㘱㡢晣㘴ち㍦㥢挲㉦㜶㐱晤㡥㠲㈰㍢挳㠹散㐴㌸搰㈷㐱㠴㈳晣ㄸ〸摣㘷搴㠸㜲ㅢ挲攸㙢㈸慥愶㔸㐱㉣㜲㍢㠷戵搳㔹㐳㠱㌱昹㠷㠸㉣㘴换㝣㤱㉤昱㐵㤶㙣攲慣㠴㉢㈰攳つㅣ㙥ㄱ摥挴㤱〲敦搸㐸㐱摢〵搵ㄳ〵㐱戶挸㠹散ㅣ㌸搰慢㈰挲ㄱ摥㠴愱戱昶㍢㠳昰收㡣㈸〵ㄹ㤷〸戰ㄶ㘰扦㤸㔸攴〶ぢ㥢㔶戳㠶㠲㈰攳つㄶ搹㘷挷㍢㤱戵捤挶昹扥挸㜸㥢㐵攲慣㠱㉢㈰敢挷ち戶㐸㝦㔳攰㍤ㄴ㘹搹捤㉥㈸摥てㄱ㘴㌵㑥㘴㔷挰㠱㕥ぢㄱ㡥っ㠲〱㡤戵摦㙣摣挳㈸〵ㄹ㥦晤户㤶㜲扦㠱㔸〶㐳㈹戳㜱ㅤ㙢搰〹戲㌴戴ち戲愳㝣㤱ㅤ攱㡢㡣㌷㍤昰㑡搰㌷挱ㄵ㤰昱〶〷户〸㙦㜲㐸㘱ㅦ㔳挸戰ぢ㡡㜷㈷〴搹㉣㈷戲㕢攰㐰摦ちㄱ㡥っ㠳〱㡤㝤㤱昱挶㠵㈸〵搹㐶㥡㙤㄰㐱㉣㈳愰ㄱ㘴ㅢ㔹㐳戳㈰攳捤〷㐱㌶搱㠹慣敤㌸㥢攰㡢㡣户㈰㈴捥㈶戸〲㌲摥㙥攰ㄶ攱㉤〷㈹昰晥㠲ㄴ㜸㡦㠱㥢攲慤〲㐱㌶捥㠹散㍥㌸搰㥢㈱挲㤱〲ㄸ搰搸㜷㌶昲㉥㠲㈸〵ㄹ㥦搶户㔶㤶㝦㡣㔸攴㐶〰㥢ㅥ㘷つ〵㐱㜶〸散〵搹㐱扥挸ち㝤㤱㡤㌲㜱㥥㠲㉢㈰㍢㤴㐱戱㐵㡡㑤㘱戴㈹昰㝡㍦㌷㔵㠶㠲㈰换户㤱〹换㑦挳㠱㝥〶㈲ㅣㄹぢ〳ㅡ晢㈲攳㜵㝤㔱ち戲㐷㘹昶〸挵换挴㈲㤷收㔹㝢㠵㌵ㄴ〴ㄹ㉦捤ぢ戲晤㝤㤱つ昵㐵㌶挹挴㜹〳慥㠰慣㠲㐱戱㐵㜸㐱㕥ち扣晡㉥〵㕥㠱攷愶㜸ㅤ㕤㤰敤敢㐴昶㈶ㅣ攸户㈰挲ㄱ㕥㑡愷戱㉦戲ㄹ㐶㈹挸戶搰散㈹㡡て搱㌵㌲搳㈸户换㜰㤲㡦㐴晤㘰搷ㄵ㕤晦㈷㜴㠷扢㔷㔱ㅦ㡢㔵搱㜹㥦㍢愱ㅢㅥ㑤戴ㅥ攸㑢㑡㍣攸㍦昳挵㙢挶㝣㥥㤷敦攴㠱㐰晤㝦昰挳晤戵昳扡㍣㍤敥㠵户晥ㄸ㠰㝢ㅦつ戸昸ㅦ捦〳挶㙤㕦ㄷ摢搵搱搶晦㈹昶晦㤱搱扤㘷㥢ㅥ挷愸昴㡢㑡㤲摦㍢攵敡㙦㙥㍥㌸攳捡扦散戰晦㍦攵㠵ぢ慥攸㥦㔲㍤昷挱攵ㅢㅥ㥦搹ㅣ㍡戰㔸㔵愳㐷〶晣攸昷㈹㍥愰攰㥥㔰晤〱㙢㉢ㅥ㌱昴慣㍤摣捦㔶戸搷ㅥ㡥挴攰〹㉦㘴慢挸捥㔲戵愸㜰㠷愹㍥攸㐱㤶〴搸㍦〹㙣〱㥡扢〶慣捥昴〸〲昶挱挶㍢㌷摣㥣㜱挳㠳㔳㡥ㅤ戶晦㤰挱ぢ㡢㔵ぢ㝡昸〱㑢戵挷敦〱搶搳㔶戸搷ㄴ㡥戴挲ㄳ㕥〹晡㝢ぢ搸㔲㔴〴㔸搸〹散〷〲㍢ㄱ慡慥〱㍢挹昴〸〲㜶㑦㜲昶敥㐷散㜹㔶昱㥦㤲㠶扥㜷敢挴捡㘲戵〲㍤晣㠰㈵〷〱㑢戲ㄵ敥戵㠲㈳愷挳ㄳ㕥㜸㠴搶〲戶ㄲㄵ〱㤶攸〴戶㠳挰捥㠱慡㙢挰㔶㤹ㅥ㐱挰ㅡ捥㕢晡攳㐵ぢ㍥㜹昰㠱㐳愳挷㡤㔹㜹㘷戱扡ㄸ㍤晣㠰晤昶㔳挰㔴晣搵㔶戸搷〰㡥慣㠶㈷扣昰㌷㐳㜱攸愴㜶㔳㙢㔰ㄱ㘰㍦愳㐷摢㔴散づ㘵敦㉢愰敡ㅡ戰戵愶㐷㄰戰愶扦㙣扡㈰㜷摤㤶攲敦㌳㐶㙥晤昷戴搵挵敡〶昴昰〳昶㝤㄰戰敦㙣㠵㝢㙤摦挸㍡㜸挲ぢ捦戸㕡挰㙥㐲㐵㠰㝤敢〴搶㥢挰㙥㠱慡㙢挰㙥㌵㍤㠲㠰㜹㡥戱つ攸攱〷散换㈰㘰㕦搸ち昷㥡扤㤱㡤昰㠴ㄷ昲㘴㉣㘰㥢㔰ㄱ㘰㥦㌹㠱敤㐶㘰昷㐱搵㌵㘰㥢㑤㡦㈰㘰搷㕣搷搴㝡挷㔷㙢㡢㤷㝦㜲摥て㐷㘶捣㉢㔶㡦愱㠷ㅦ戰敤㐱挰㍥戴ㄵ敥戵㜸㈳㡦挳ㄳ㕥㔸㕦捦〲昶ㄴ㉡〲散〳㈷戰扤〸散㘹愸扡〶散ㄹ搳㈳〸搸搶〷ㄷ攴昴㍤攳戴攲㘳搶扣晢昹㘱搷㑦㉥㔶㉦愳㠷ㅦ戰户㠳㠰扤㘵㉢摣㙢散㐶㕥㠱㈷扣㤰㙣㘳〱㝢〳ㄵ〱戶搵〹㙣㍦〲㝢ㄳ慡慥〱㝢换昴〸〲㜶㘲扦摢挷扦扦散攲攲㝢〶㥦晥昹㘱昷㍣㔰慣㍥㐴て㍦㘰慦〴〱㝢搹㔶戸搷捥㡤㙣㠷㈷扣ㄲ昴〱ㄶ戰㑦㔱ㄱ㘰㉦㌹㠱ㅤ㐸㘰㥦㐳搵㌵㘰㕦㤸ㅥ㐱挰捣〷昴慦㌷㝤昳搲攴㌹搳㡡搵㜷攸攱〷散搹㈰㘰捦搸ち昷㥡戸㤱敦攱〹㉦㍣㔳㙢〱晢〹ㄵ〱戶挵〹慣㠰挰㝥㠱慡㙢挰㝥㌵㍤㠲㠰㍤戰㍤戵㘶搳㔳つ挵㤷慤㌸㘱㜰昴摡挲㘲㤵㠴〰㝥挰ㅥて〲昶㤸慤㜰慦㜵ㅢ㐹㠶㈷〱㌶捡〲愶㔱ㄷ㘰㡦㌸㠱ㄵㄳ㔸て愸昰敡挲㔷慡㥥愶㐷㄰㌰㜸㤳捤㥡㤲㉢㡡㔵㍦昴挸㐰㤳晢㉢搵晤㐱挰㌶摢ち昷ㅡ戶㤱晥昰㈴挰挶㕡挰〶愰㉥挰敥㜵〲ㅢ㑦㘰㠳愰挲慢ぢ挰昶㌰㍤㠲㠰㙤㝡晥摢搷㐶昶扤扦昸攷愶敦摦㍤㘷捣㤹挵㙡ㅦ昴挸昰〱戶㌱〸搸〶㕢攱㕥㥢㌶㤲〱㑦〲㙣戲〵㙣ㄸ敡〲散㙦㑥㘰㔳〹㙣㌸㔴㜸㜵〱搸〸搳㈳〸㔸昶扥て㡦搸㈳昱㤶〷ㅦ㌹㙣摥晤攵㔷戴ㄶ慢㕣昴挸昰〱㜶㕢㄰戰㕢㙤㠵㝢捤搹㐸ㅥ㍣〹戰㤹ㄶ戰㈲搴〵搸捤㑥㘰㠷ㄳ搸挱㔰攱搵〵㘰㠷㤸ㅥ㐱挰敥㉢㜹攳愰昷捥㔹㔷晣搴扣昱㜳敥㍣攴㠴㘲㔵㠶ㅥㄹ㍥挰搶〵〱扢挱㔶戸搷㤲㡤㡣㠵㈷〱㜶㡣〵慣ㅣ㜵〱㜶㥤ㄳ㔸ㄵ㠱㑤㠲ち慦㉥〰慢㌰㍤㠲㠰㝤搲敢搱㕦挷扣扣戴昸换ㅥ㙢㌳㥦扦愹慣㔸捤㐰㡦っㅦ㘰㔷〶〱㕢㙢㉢摣㙢挴㐶㘶挲㤳〰㡢㔹挰㡥㐴㕤㠰㕤敥〴㌶㡦挰㡥㠶ち慦㉥〰㥢㙤㝡〴〱ㅢ㌶晢晣㐷扥ㅦ扡戹㌸晣摡昵ぢ㐷㠵晦㡥摦㘳攸㤱攱〳㙣㜵㄰戰㡢㙤㠵㝢敤搷㐸っ㥥〴㔸扤〵慣ㄶ㜵〱㜶㤱ㄳ㔸㈳㠱㉤㠰ち慦㉥〰慢㌳㍤㠲㠰㝤昰搱㥤愷ㅦ㤷㜹㘱㜱晥愱㘷㌴㕥扥晣㘸晣ㅥ㐳㡦っㅦ㘰攷〶〱㕢㘵㉢摣㙢扡㐶㕡攱㐹㠰戵㕡挰㤶愲㉥挰捥㜶〲㕢㑣㘰㈷㐲㠵㔷ㄷ㠰㥤㘴㝡〴〱扢昳昵晥慢敥扥攵慡攲搹户㤵㕤㕦戵㜲㍥㝥㡦愱㐷㠶て戰搳㠳㠰慤戰ㄵ敥戵㕡㈳愷挳㤳〰㍢搹〲戶ㄲ㜵〱㜶㥡ㄳ搸㈹〴㜶づ㔴㜸㜵〱搸㉡搳㈳〸搸㑤㥦挵摥㉦㥢㜶㐷㜱敢㘲晤㝣昷㠱换昰㝢っ㍤㌲㝣㠰㥤ㅣ〴散㈴㕢攱㕥㠳㌵戲ㅡ㥥〴搸改ㄶ戰㌵愸ぢ戰㘵㑥㘰㘷ㄲ搸ㄵ㔰攱搵〵㘰㙢㑤㡦㈰㘰挷㥦㜱㝡搵捡㡢㤶㍦㔸ㅡ㍥㘴㐷慦ㄵㄳ昱㝢っ㍤㌲㝣㠰戵〶〱㙢戱ㄵ敥戵㔵㈳敢攰㐹㠰㥤㙢〱扢〹㜵〱搶攴〴㜶㍥㠱摤〲ㄵ㕥㕤〰㜶慢改ㄱ〴㉣搳晥ㅣ㝢挸㝣㡥㙤㐰㡦っㅦ㘰昵㐱挰敡㙣㠵㝢捤搴挸㐶㜸ㄲ㘰慢㉤㘰㥢㔰ㄷ㘰挷㍢㠱㕤㑡㘰昷㐱㠵㔷ㄷ㠰㙤㌶㍤㠲㠰つ㥦㜰捤㤶攷慡㘷ㄷ慦っ㑤㝥愵挷摤晢攲昷ㄸ㝡㘴昸〰㡢〵〱慢戶ㄵ敥戵㔰㈳㡦挳㤳〰扢搲〲昶ㄴ敡〲㙣㡥ㄳ搸搵〴昶㌴㔴㜸㜵〱搸㌳愶㐷㄰戰㍢捡ㄷ㉤㌹改搵㥢㡢扦㌸㡣㍦㕣ㅥ挶敦㌱昴挸昰〱㜶㑣㄰戰搹戶挲扤挶㘹攴ㄵ㜸ㄲ㘰敢㉣㘰㙦愰㉥挰㡥㜲〲晢㌳㠱扤〹ㄵ㕥㕤〰昶㤶改ㄱ〴捣晡ㅤ㤶昰搰晢换昸挳㙣㉢㝥㡦愱㐷㠶て戰㤹㐱挰㘶搸ち捦摡愵摢攱愹愳戵㑢ㅤ㝦ㄶ戴㌷㠲㈶搷㌰扤戶㐷㡤搵捣换戵㐸戳慥慤慢㤳っ攵㥥㔸㙡戰〹㝦㤸戳〲㉢㙡㘲㠱挱捡㕡晢㡦扤㤵㘳愵㑤慥摣㘶ㄶ戳搳㔲㘳攷㔰捤搴㈶慣㙥搷扤愶扣ㄹ㉢愱㔶愷攰てぢ戶戴挴㥡ㅡ晥ㄷ搶㈱㐴捥㌸㥦㙢挶㘶慤㐰攸㥢慥捤㍣散㜶㤶㠸摣挹㠷昹㝢㥢㠹㕣愱昰㍦㕢ㄴ㌵㜴ㅢ愶㤸㜹敡愵摡戱收㘶㤲㥡㡥㕤㙣㘵攱㉣㑦搸㈱㘳㑥㐸挴㕦㕦㠱㝤攸づ〸晥挱㍣戹㝦〱ㄱ搶㝦㐵㡢戵挶㈱㜳昷ㄳ㤲㜹㐵摣つ㡥〹昴㝣晣㌳挱昵㔷㌳㝢昴㈰㘲戳㈹㕥㤰收㉣ち摤ㄹ㌸戴ち摦愱㙤攴ㄸ㌸戴㥤挳扡㍢㝥㔸㡡搷戳㌹㌴戳愹敦㑤戰㑤㠱挱挶昹〶扢捦ㅢ散㝥㔷㌰㕥㘳㡥ぢ挶ぢ户㠲散挱挰㘰愳㝤㠳㍤散つ昶愸㉢ㄸ慦晢挶〵㑢㠶㠱〴㝢㍣㌰搸㐱扥挱晥敥つ昶㤴㉢㔸㜷搴攳㠲愵愲㐱㠲㍤㡤㠲晦㜴捡昵つ昶㉣㍤挷敦戳攷搹挴㔹㈴㈲㐱昵㐶㍤㉥㔸㝦㌴㐸戰ㄷ㔱昰て㌶搲㌷搸㍦㘰ㅦ㝡ㄹ㈲㝥敥扥㠲ㄶ㘷挰摤㔰㡦ぢ戸㈷ㅡ㈴攰㙢㈸昸〷ㅣ敡ㅢ昰つ㝡㘶挰㥤㌳昲㑤㌶㌹搰敤㠵㝡㕣戰っ㌴㐸戰户㔱㘸㝢昴㈷晥搰ㅣ攲ㅢ敤㕤扡㡥攷昲㝤㌶㌹愲敤㠷㝡㕣戴〳搰㈰搱戶愱攰て㙤て摦㘰摢改㌹㍥搸挷㙣㜲〴㍢㄰昵戸㘰㜹㘸㤰㘰㥦愲攰ㅦ㙣㔷摦㘰㥦搳㜳㝣戰㉦搹攴〸㔶㠰㝡㕣戰㔱㘸㤰㘰晦㐴挱㍦㔸挴㌷搸㌷昴ㅣ扦搳晥挵㈶㐷戰㘲搴攳㠲㡤㐵㠳〴晢ㅥ〵晦㘰㘱摦㘰㍦搰㜳㍣戲㥦搸攴〸㌶ㅥ昵戸㘰㤳搱㈰挱㝥㐱挱㍦㔸㤲㙦戰摦攸㌹㍥搸づ㌶㌹㠲㑤㐵㍤㉥搸㑣㌴㐸㌰㠵愵㐹晤㠳晤晥愳摦〷㐵㌷搸扢㘸㑣㘶㤳㈳搸攱敥㘰挷㤸㘰摤〳㠳晤攸ㅢ㑣㝢㠳昵㜰〵慢㜲〷㡢㤹㘰愹戰っ㌸搰扥昵㡤搶摢ㅢ㙤ㄷ㔷戴㜹敥㘸昵㈶㕡㕦㔸晡昳昸㠵㙦戰晥昴ㅣ扦搳㜶㜳〵㙢㜴〷㙢㌵挱〶〴〶晢挸㌷搸㈰㝡㡥㥦晢㝢扡㠲㉤㜶〷㍢搹〴摢㉢㌰搸㝢扥挱搲扤挱昶㜶〵㍢挵ㅤ散㜴ㄳ㉣㈳㌰搸㔶摦㘰晢搱㜳㍣㡤挳㕣挱捥㜴〷㍢搷〴ㅢㅥㄸ散㘵摦㘰〷㜸㠳ㅤ攸ち㜶扥㍢搸㙡ㄳ㉣㉢㌰搸㜳扥挱㜲攸㌹㝥㥦攵戹㠲㕤敡づ㜶愵〹㔶〰换㠰戹晦愴㙦戴㈲㙦戴㠳㕤搱慥㜶㐷㕢㘷愲㡤ち㡥昶㠸㙦戴㘲㙦戴ㄲ㔷戴㍦扢愲㈵晦〵つ㥤晥晡捣㠴㡥扥昸愱㔱㘷晤愵攷㌱㔸慦㝣㜸ㅤ扥〶㜷㘲㜹昸㔲っ㐴昱㝢㉦㝤攸㌲搶散て㝡戵ㄱ慤ㅣ㠶ㅥ换搶扢㡤捤㌸愷つ扦㐰㡡捤㜸戶摥㙦㙣㈶㌸㙤昸扤㑦㙣捡搹捡慦㝣ㄲ㙢愲搳收敦挶㘶ㄲ㕢昹㑤㑤㙣㉡㥣㌶捦ㅡ㥢挹㙣㝤摥搸㑣㜱摡昰换㤱挴㥡捡搶㔷㡣捤㌴愷つ扦捦㠸捤㘱㙣攵㔷ㄹ㠹㌵摤㘹昳慥戱愹㘴㉢扦㠰㠸捤っ愷捤㜶㘳㌳㤳慤ㅦㅢ㥢㔹㑥ㅢ㝥收㑢慣挳搹晡愵戱㌹挲㘹挳㡦㙡戱㌹㤲慤晣㤴㤶㔸㐷㌹㙤㝥㌰㌶㐷戳㤵ㅦ慥㘲㌳摢㘹昳㥢戱㌹㠶慤㍢㡣捤戱㑥ㅢ㝥㥥㐹慣㉡戶昲愳㑣晣ㅣ攷戴攱挷㤰搸㐴搹捡㑦㈰戱㤹攳戴攱㠷㠷搸捣㘵㉢㍦㌷挴愶摡㘹挳㜳扥搸挴搸捡搳扤搸搴㌸㙤㜸慡ㄶ㥢㜹㙣攵㔹㕡㙣收㍢㙤㜸㠶ㄵ㥢㕡戶昲攴㉡㌶挷㍢㙤㜸㘲ㄴ㥢〵㙣攵㌹㔱㙣敡㥣㌶㍣㥦㠹㑤㍤㕢㜹㉡ㄳ㥢〶愷つ㑦㐳㘲搳挸㔶㥥㠱挴㘶愱搳㠶㈷て戱㌹㠱慤㍣㙦㠸㑤㤳搳㠶㠷扣搸㌴戳㤵㐷扢搸戴㌸㙤攴搰攳㔱搷㡡㔶戳㐵㜸〸捡㌵㤵㐵㈸㈰㡦㐴づ㍥㡦ㄵて㐲戱㕡㘲㔹挹攱攷戱攲㘱㈸㔶换㉣㉢㌹〰㍤㔶㍣㄰挵敡㈴换㑡づ㐱㡦ㄵて㐵戱晡㠳㘵㈵〷愱挷㡡〷愳㔸㉤户慣攴㌰愴搵愹愸㥢㉤挲挳㔱慣㑥戳慣攴㐰昴㔸昱㠰ㄴ慢ㄵ㤶㤵ㅣ㡡戴㡡攳㡢㠷愴㔸㥤㘱㔹捤挴㝦挲㜵㥣ㄵて㑡戱㍡换戲㤲挳搱攳㡢㠷愵㔸㥤㙤㔹挹〱改ㄹㄷて㑣戱㕡㘵㔹挹㈱改昱挵㐳㔳慣捥戳慣攴愰昴㔸昱攰ㄴ慢ぢ㉣㉢㌹㉣㍤ㄱ㜹㜸㡡搵㐵㤶㤵ㅣ㤸ㅥ㉢ㅥ愰㘲㜵戱㘵㈵㠷愶挷㡡㠷愸㔸㕤㘲㔹挹挱改ㄹㄷて㔲戱扡捣戲㤲挳搳攳㡢㠷愹㔸㕤㙥㔹挹〱敡戱攲㠱㉡㔶㙢㉤㉢㌹㐴㍤ㄱ㜹愸㡡搵㔵㤶㤵ㅣ愴ㅥ㉢ㅥ慣㘲㜵㡤㘵㈵㠷愹㈷㈲て㔷戱扡捥戲㤲〳搵㘳挵〳㔶慣㙥戰慣攴㔰昵㔸昱㤰ㄵ慢昵㘲ㄵ㌱搳㑡昱昸㤴㡢㥤㐷攲㐳㥦〹㕥㘳搰㌷〵ぢ攷昳㤰ㄴ挵ㄱ㉥〵㡦㐲㔱ㅣ敥㔲昰挰ㄳ挵㉣㤷㠲挷㥡㈸㘶扡ㄴ㍣扣㐴㌱㈳㕥ㄱ㌱挷㤹攲愱㈵ㄶ㤵昱ㄶ㡡㐷㤳㈸愶扢ㄴ㍣㠰㐴㜱㤸㑢挱㘳㐶ㄴ搳㕣ちㅥ㈶愲㤸敡㔲昰挸㄰挵ㄴ㤷㠲〷㠳㈸㈶扢ㄴ㥣晦愲愸㜰㈹㌸攵㐵㌱挹愵攰㉣ㄷ挵㐴㤷㠲ㄳ㕢ㄴ攵㉥〵攷戲㈸㈶戸ㄴ㥣扥愲ㄸ敦㔲㜰挶㡡㘲㥣㑢挱㐹㉡㡡戱㉥〵攷愵㈸捡㕣ち㑥㐵㔱㤴扡ㄴ㥣㝤愲ㄸ攳㔲㜰挲㠹愲㈴㕥搱攳晦〱㘴攵捥〷</t>
  </si>
  <si>
    <t>28609387-c191-4292-82cf-dd8e26e1a58c</t>
  </si>
  <si>
    <t>㜸〱敤㕣㕢㙣ㅣ㔷ㄹ摥ㄹ敦慥㜷搶㜶散挶戹㌴改捤㙤㝡㜷戴㡤搳愴ㄷ㑡㐸㝤挹戵戹㌸戱㤳㔲㤵戲ㅤ敦㥥戱㈷搹㤹㜵㘶㘶㥤戸〴㐸愱戴ㄴ愸㔰换〳戴戴㔰㔵愸〲〹㈱㤵㠷搲㐲㜹㐰㐲愲㐲㉤攲愱㐲攲〱愹㔴〸ㅥ戸㈸ㄲ㉦㝤愸㔴扥敦捣捣敥散慥㜷散㙣㕡㜰㤰㈷搹㍦㘷捥晤㥣晦㝡晥晦㑣ㄲ㑡㈲㤱昸㄰て晦攵㤳㘴攲捡㠹㜹搷ㄳ㔶㙥戴㕣㉡㠹㠲㘷㤶㙤㌷㌷散㌸晡晣〱搳昵㍡㔰㈱㥤㌷㔱敥愶昲慥昹㠸挸攴攷㠴攳愲㔲㉡㤱挸㘴㌴ㄵ攵散㠴扦扥昰㐵㘳慢敥㈴挰攴攸挸攱愹ㄳ攸㜵挲㉢㍢㘲昳挰㜱扦敤㡥愱愱摣㔰㙥摢㥤㐳㜷攴戶㙣ㅥㄸ慤㤴扣㡡㈳㜶搸愲攲㌹㝡㘹昳挰㜸㘵慡㘴ㄶ敥ㄳ昳㤳攵㤳挲摥㈱愶戶摣㍥愵㙦扢㙢㘸摢昶敤挶摤㜷摦搵㡤愱ㄳ㠷㐶㐷挶ㅤ㘱戸ㅦ㔱㥦㈹㑥㜹摢㤸㈸㤸㕣㥢㄰㡥㘹㑦攷㐶㐷昰㌷㌲㝦扣摤㤹㥢㤸ㄱ挲攳搰挲ㄱ㜶㐱戸ㅡㅡ㜶㔹挳慥㕢戱㘶戹㜹㥡戵ㅢ㑢㉤攸慥㤷戲㐶㐵愹愴㔹㘱慦ㄹ敢㌰昶慥愴捦㜷㕢ㄳ挲㜶㑤捦㥣㌳扤昹戴㌵㠹㡥㡡㍤搶㌱㔷ㅣ搵敤㘹㜱㐸户㐴捡摡㔳㌱㡢㐹晦㐹㜴摣ㄴ㜶ㄱ㥤㤸㕣㝥㙥搸戵㐶㘷㜴㐷捥挸攵挶挴搴摤敤ㄴ敡敢㙥㙡摤㉦愷㉥㐷㘰㥦㌷戴慥㠷㤲攳扡㔳慤㌹搸扡㘶戰昸晡ㄹ摣搶扡㝥㘴㡦敡摢摣搲扡㡤摣捡晡摡㑡㔷㐰摦㜲㐷戱ㄸ㉤㑤搰㐹㤰㈱㈰〲戵㉣㐱ㄷ㐱㌷㠰㤲晣㌷戸㈴摡㤰㐵㙡㕥㔷昳㔳㙡扥愰收㡢㙡㕥愸㜹㐳捤㑦慢昹ㄹ㌵㙦慡昹ㄳ㙡晥㈴敡㠴㑦愶戳㔳つ㥥ㄷ㡥晣昸搴㜳て㕣扢晦摣㍦㥦㝡昳戱挱㑤㍦敢㕥㠵㑡㐷㠲㐹㡤㌹晡㘹㤰㕡㡤㡡户收戶昰捦攲㕣〱愶㌰戶ㅢ㜷ㅡ㐳㐳挵敤㕢昴摢昵ㄴ㤷ㄵ㠳晣㍡㐲改㐳摤㙥攳㝥搳㉥㤶㑦㑢摣㕤㌹愲扢愲戶㜱㠳㐱搹㐸戹㘲ㄷ摤㉢ㄶ㉥㥣昰㜴㑦㙣㙣㉣慢㜵搲搴㙣〲㙣㈵㕣㌹摥搵㡤捤㡥敢愵㡡ㄸ㍥㘳晡挵㔷㌵ㄴ㕢攳㑥㜹慡㜵改㙥㐷㥣慡㤶㌶捤㘸ㄸ㐲㙤㑥昶摤戴㑡扦挸㥦搷挰攸㑣搹ㄵ戶㥣摥愰㌵㙥ㄶ㑥ち㘷㐲㔰㈴㡡愲㕣敡㕡ㄶ〵㕣㍦㜸搸挶㐲挱慤挵敢愲戹挶慥㌳ㅥ㤸㔹ㄴ㌱摦㔹攱㜸昳㤳晡㔴㐹慣慢慢攲㡦㠹㠲つ㜵搹扢换㠵㡡㍢㕡戶㍤愷㕣慡㉦ㄹ㉥捥改㤰㌴挵㠳攵愲㐸㈶ㄳ㔲㈸㐰攰㜶㜴㈸㑡攲搶搶扣㈰ㄱㄱ㐱㌱ㄹ昹昲㝡戲换ㅤ挵敡戰㡡㤲㈰㑤慡搷㉦搲ㄹ攷㉢㘵㑣っ〷㐶搶㐴晤挱㐱㙦㕥愴摢㉡收㍥摥捡慡摡ㅦ慣㝥搷㥣戰扤扤扡㕤㉣〹㈷㔶晢㈹㥣㤱搶ぢ㤰㍡て㠱搰㜲昷愸敡㤴㌳捡㝣敡戴㔹昴㘶搲㌳挲㥣㥥昱㤰〷つ㤹挹㜰㙢㥢ㅥ敤㌲㘴㘹慢〹晡〱戲搹㐴㝡つ㉢愵戳㜸ㄲ㈹㑡愷ㄸ㕥慥ㄳ攴㙣㔷挷换摤挶㙥戳攴〹㕦㈸昷ㅡ挰㠸慦搵㈴晡㝡㐸愲㡥㕥昰ㄵ挶ㅡ㘳ㄴ㔴慡㥢戶㌷㕦攳摢㈶㉥昱㠹㘸㐵ㄶ㉣㍢㔹㐰㔱㔰㉦て㘲㜸つ㐴搳㈰つ攲㉢㐷㠸㠸㙣㄰愳搹搱㜳㍤㤱戱㝥㡣㡣㐰晤㈸ㄱ戲昶㤶搶㌲㠲挴摥㑣愴㙣搴㤲ㅦ㔷愴搹㐲戶扣㉦捤搶㘲攳戴㜵〴敢〹㉥㈷搸〰愰晣ㄵㄲ㡥㔲づ改晡㐷扢〲敦摡㤵〴㔷〱㐰㍥㘹㤴㌹㠱愸愲つ戵ㄴ㍢㤲昵㝡㘰㈷㑢愳搸ㄷ㐵戴㡣慢㜶㘶㡦㈵ㄱㅤ㔸㥤换㐳搷㈶愵㡥扤戱㌵㙤㐶㤷㐳㡡㡣愹ㅡ㕤敢㈲㔵愳ㅢ挱慡㙤敡慤㙢搰㔴ㅢ㈰戸ㄶ挰㔷㉣㌴㜶㤷㘶捤搳㥣扣㈴㑣㈲摦㄰㙡㔳戹〷㐴㑣昳㍦㐶挰㌵ㅤ㕤㔶散㘷㥡㠲㠳挶㈵㙦㍦㙦㙥捤摢〱搲ㅢ㜴收㡡捥愱慦攸〲㉤攸敢挰㕥捡㥦㕡敡㤷敢㔱慣摤㐰㜰㈳㐰㠳㝥攱挹晢㐲扤〴搲㈴戶㈲㤸㕢㑤㡦㡢戴㜰㈷攷㘷㠵搴㍥摤挶愴敥㑣ぢて摥㡢㝤㘳戰㠳换㡥㈳㑡㌸搰ㄶ㘵〶捦㉥敢敢㌳摤摤㑥搹㘲晥㡡㝤散㕥ㄲ㡡㈱㤹㔴㍢ㄲつ昶㜱㡣㥤ㄹ昱㌷㐵㈸㠷晡昷昶搶㐲㈲搲愸㥥扣搸㉥晥㙣戹㈲㐹摡㤰㈴㌷㘳㕢戵㕢〰㈰㈵㤴㍦戴㤴㈸㠳慣戶㔹㔶慢户㔶改摤㡢㌹㤹㌴昸て㥢攴㐸㤷敦慣ㅤ㠱敦挰敤戱㈶㑣慢㉡㉣扡慣㜱攱ㄴ攰㔷㌰㑢㈲敢扢㘴㈹㙡㔶㘴挵㈵㈲㉢㍡㍡㥡捥搲㌱扥㌵㐹㈷つ㔲㈲㤶摢㘳ぢ㘳捥攱㌵愲愲ぢ㤲㐲㈵挶㉤㔴㤵㐰愴㍣搶㕤ㄱ㌱㙤㠸㤸ㅣ㌶㑥扢㡤㘰ぢ挱㄰㐰敡㜷㤰㌴㑢摤㜸㠶挲㍡攷攸捥捥攷ㄳㄹ愲㐱扡〷摦㙥㈹慣戶㜱㤸敤〴㜷〰㌴㤸㍦㜴㍥挶㄰愲㐴㜹㠴㄰㘹㉤㘹挶㜱㔳㥣㈶つ慣㌲㄰㔴ㅡ慤戸㕥搹㘲㔴愹挷ㄸ㉢ㅦ㉡㝢㘳愶㍢㡢㈸㔴扦ㄱ㈴敥㥦ㄱ㌶愸换㠱敤搳㤰㔷㥥㥤ㄵ㐵捤㤸㈸㔷㈰摡昶㡤㉤㠷㐳㌹搶〷㕢㔲㥥换㔵〵㑦㝢㘷㘳㜴愱挸ㄳ㌱㝣慤昴挴㉥挹昳捤㐳㕦㙦㙤㐷㈷㑤慦㈴扡っ㥦改㤸捥ㄸ搸㐵㐴つ㡡㥤挶攴㡣㈳挴㔸㡦戱挷㌱㡢㈵搳ㄶ㐴〶㙣㑣〶敡づ㠸㘹㐴〸挶换㡣晦㤵敤ㅥ㘳搲搱㙤㜷㔶㘷㌰㜱㝥㜵摤㥢っ㠹愴㡣ㄱ搳㜶㌱㡣挴㈲搳扤挶挴㑣昹㌴愲戵ㄵ换摥愳捦扡换〲㉢㈴㝡晦㤱愸㔱㔴㐵㔵㤵㡣㥡㘹ㄷ㍦㍣㤰㈷ㄲ㕢昱㑢ㄲ㐸㕣㈵㔲昴㤷挷㘸㙦摡昵㐱㝣㠶㜶㍡攷搴㡤挸㔱㌵戳㈳㔶ち㤳㔳戵扢搸收㙥㠰晤㝢㡥敤慢㐵攵㉥㉡㕥㥤愲㠷㍦㐶挶㑢戲愸〶㐱攸㥦㕢攵㤳ち昳㐸㌹攰㐰㘰㥣㙦㡤攴㤷㌵㘴ㅤ㔲摦慡㕡㜲㌷愲㐸摤挶〱㝤㑡㤴㄰㡢戶㜴㙦㤵晦㐲㌳搶搲㑢㙥㔰㌶㕡戶㉣㥤愴㐵戲㥣㈸攸愴攰攱㡡㔷㍥㘸摡㥡〱㈰改㉦挸搲捦㈰㑢㍦㈳戳扡㡤愳っぢ捡㌴晢㉡㑦敢㡥改捤㔸㘶㈱挳ㄷ㠶敥㤶〵㑤㠲挹㈹㜹挳㈷㤴ㄹ〳つ搶晣㌱㤸㙣㙥づ攸捥㐱㡥㜲敢㠸㝥㔰慥慡愴昱㐷㘹搳戱〴〱㈳扤愴摡㍤攸㉤㈵㙦㐶㐰攴挸攷㝣㜸晦攲晣ㄷ㤱攳晢攵㠸昵ㄸㄲ㠱㐷㌰㈲攴改摥㑥ㅢ挷㙣搳〳昶㠸戱摤愶㌷收〲攵〰㐸捡攳敤㐶㠹搵㐸愳挱慡㔶戸愶戹愸㑥㑤㕣摤㕣ㅥ搵ㅢ搷㉦㔰散㙢㤴㠸㈲㔹慣㤲搴㉣ぢ捣㜱㌹愹ㅡ㐵㉡敥㔰摢㈸㜱㙥搳摡扥㔳㡡㕣㠴㘲㤲㌴㤳搰㜶㐸㐲㐱㤰㤷搴〱ㅤ㐵㝦㝤㍣㜹㐴愲㌵戴〱戲搴㔳㝥㕥㑦㄰づ摣㠷㉢㈷㐵㤱つ摥挰摦慢㠲攴攱㡡㔷㔷愲㥦改て㑡㠶㑢愵挳㌶慣㠴㠲敥ㄴ㤷〹㑢㘳㙤扥㠶㤱摣搹慥昶昷户㌷挲㠸〱ㅢ㌲㈴ㄲ攳〷〶ㅢ㠲戹㈲搱㔴㕡㘷㍤摣敡㙡㜶㠶㙦〷㠵㙥㑢っ㑣㜸挵㌱㌱㈷捤戰㥡㈵摦㉦ㅢ㔴㑦㡢㔲㡥㙡挶昰㤴ぢ㤵敥㔱㡥〷㈹挹攰㥡㜱㤴㙥㈹㕣㘰㠰搸つ㔲攳〵て㘱摤㙡〷㍣ㄹ㉣ㅦ散㘰㐷晣戰〹慤㌳㑡搰㜴っ攱搶㉦㠲扣搳㈶㐶㈱㐸つ昹晣㙢愷昲摣戳㝣㝥戴㌳ㄱ㈶〲㈶㘲愸㉢挶㝡〰㜲愳㔱㐹㜲㔱㝦ㄸ㉣昷㈵㥢ㄴ㕡摤㘱ㅥ㑤㡣ㅥ㥡㝣㡥㠷ㅢ㍣㡣㘳昵㤲㙤㑡戸攳收㤹搰愶愵昹㔵挶㍥扢㔰慡ㄴ㠵㔴挵愱慣㤶ㅡ㜹㔹攰㑢㕥晦昳戹㈹㘶㕦㠲㑤搹㠷愳ㄴ㤷㑣㈴戵㙦㜷㙢㥦㐲㜳㈹攴搰㠷㉦摢ㄸ㝣㡣㜱换挹㘰㔸搳ㅤ〵摡㠷慢㙢㤷ㄷ攴挵㌹㠸戴愶㉣捡戲〳戸㡢㔷㡤㈰㑢㙥㡢㔴㍢㔰㍥㔰愶捤ㅥ挹摡㙢晡㔹换〲㐷㔸愷㉦昰搲㘹ㄸ㈳㙤㜲〷㍢㐹㥣て㈲扢攷扦㈸㕦ㄳ攷㜷〶挶㠷挲昸㉥㑦㐱〹散㉡ㄸ㠹〶户㕡戳扡ㄵ㐶㝥㘹㜹㙢昷〲㈸っ〱搳愰㐵㑤摦挰ㄹ㐱㝡㜱〳㠷挱挸㤸攸㘸㌴㤰捡ㄸ㘵㍦ㅣ昶㐰ㅡ戸㠹〷改挹㌲㤴㤰户㐶㕥ちぢ敦㈵づ㕡㌸〲㤵㥤㜵つ㤹攳扡㠷慢㉦昶㠶㠶散攱㘲㤱收㉥晣㜳换〲慢戸戶攱㥢愳㙢ㅡ㉥㘴挹㌵搱扥摢搴㔰㄰㕣ㄴ摣㍡㤶摢慢㝢㠵㤹〹㙦摥扦戴搵㉥㐹愴㝥〹㝦挴㠲愳搳㘶㑥摡扣㠴㍡挷扤捦㥥戴换愷㙤㌹慦㤴换ㅢ㝦戴㘲戵捥㑥㑥㌲㥢昸㄰㝦攴愳㈶㔲㙦愰挷愵㑣㥢ㅤ搴ㅣ㈴散㐷㍥扥㌴ㄸ㐰㍡㠶㑥㘰扢㔷㙦っ㤰㑥搶㌴搰㠹ㄴ〴㉢㠴㘲㑦㝦㘴㠴愲晣〲㘸㈵戱昸㐷㜲散昹换㘰㝤攵攷挸㈱挲昱ㅥ㠸㤱搴戵㐸挵愰㑥ち昲攰㝡〷㉦㠳晣晦㘰㈹攴收〵搹改扦挰捣捡敢㡤㈸扡㥡㈸㝡慤ㄹ㐵っ挴㕥㔰挸㥢戳㕦㌹㙡㝥散搷㝡晦㠷㐷捤晤挰㌰ㅦ㘹㡤㈱愸挶㘰㝣搵ㄸ攸㘸㌲〶㙥㐰戱㌴〶敥㘳ㅢ挶敢㝤㘳㈰昰㜶ㅣ㐴挶攲挶〰愳㜸㌱㈶㕦㈴愸ㅡ㜱㘰昰慣戵捥愲㈷㙣㉦慥搷ちㄷ㤱㝢愸㈷㜷ㄴ扥愷昵捤搹攳扡愳㕢ㅢ㘴晥ㅥ㐷㐰㙤㌹㤳戸慦㉤㥢戰挵挶〵㑢㘴愳〵扣ㄲ愱㍦㝤挵㜳戲戴㕢敡挰㤴晦昸㡥㝡㈵愳愴㉦挲㈷愲昰㠴㤰昸摣㥡㥦散昹昳㈳㡦敤攴扤戴㠰㔶㔳っ〴户ㄳ㥣愷攵㠰昰㙤攴㑡挸㕡㝥㝥㜳㄰ㅦ㈲㤹戳㈵㌱愲㍢搲摥㜱㌵㉢㑣晡㠴ㄷ㈱㑣㥦昸㤶㠳㌱㠹ㅢづ扥㌱㤹㙢㜰㙣捡捦㤷愴㌳㌰ㄷ㤹戸昴摥㠵〱㐲愵愵捡㙡搳慥㑣晤ㄴ㑡攷〲㈷㔲㙦て昲㝣挹㐷㔱㕥㘹搴㙡摢愹搵愴㤹愸っ愲㐶㈸愵㄰㘹㈰㠵㐴㡦㉣っ晤㑢㈹㌵㡥㐴㉡〷㄰ㄳ㐳㙢っ收昲攴扦㈲〴㐴昵㝡㕦㥢㥦慡㘰ㄷ㠱挵搰敢摥敥搹㤵㔶㘷愸㥡ㄸ㤴㤵愷㡦㈳㐸挸㘳ち㌳ㄸ愵㤵戹㐷㤱〸㥦搴㄰㔲㑢㜶㍣㜱㤰ㅥ换て戱昹㡣㥤戲攸㔵换㕡扢散ち敥㜸㐰捦愴愵挲戰㔷㌳ㅢ㐷㑦ㄹ㡤昳慢㘶晤㉣挲㕥㍦㔹㙤搴ㄵㄴ㐱㘷搹ㅢ㜰晥㐴㤸㡦摦〳戱㝣戰搶昵摡挶ㄲ敡㌸扢ㄳぢ攴て昶搷搵㌱㡣㡤㔱挹㌱㤰戰㑢慡㤵昱㉦㠱㑦愰㠹戴攷ㄵ慤㤶攴㔸㡡挲㘸㜴挸㔹ㅤ㙡㤳晥㘷㥣㕡㜲搶㈴㙢㌳㘰㕤愷晦㡦㈳㘳㔱晤慦㌰捡㈶㔱㜶㝦㤰攰㑢㡡㤱㤲㐵㠳㌳摣ㄱ昸戰ㄱ愶㤱㐷㘰㑤㈶ㄹ摣昶㔳ㄳ昸㐴搵㉦㤶ㄲㅣㅥ慥㘴攳㈵㠸㙡㕢摡戶㕤㉤〵㈰愳㐰愹ㅦ㐲〴戵㙣捦㐹㌷㥦㘳搳て㈰㝢捤㐱戳攰㤴摤戲攱つ㑣㈰扣㍢挰㉦捣っ搸㍣挳捡换㡤㐲㙤ㄳ㜶愲晢㐱戴㌹㜴ㄸ〲晢㤰昰㍥慡愸㈳㘳〸㑢㡢㔹昰㙢愳扥㐸㈰㠹摡挱扤捣㌸㔲搱㑢昸㐰昵㌰扣㥡ㅥ戳㤶㠵戲昳㝤换㡤㜷㌱戸㜵戸㡤㜵ㅦ㍣㍦愲㤴㐳ㄸ㑣㉥攱挱㠷戸慦㡤㝢㔰㕦㌷㔸㥢换㥡敤㜹搷戲愹ㅦ〰愷㑢ㅢ愵㥥㘴㌸㈶扦㍢捥㙡てㄱ㈲捥㐳敦攸搲㕤戱散慤ㅦ㜴ㅥ㝣戶㑤㤷搷㘰〹㡥戲㈵挴戹㍦㡢愶捡扤〴昸㘹昹㈰挱ㄷ㠵晥扣㝢㤸㜸ㄱ换㈲〳㈰㥤㐸敢〰慤愹晡㝢ぢ㔱戵挲愳〵愹㌰慢扣㠰㜲敥㤲扦摡㈲昳㜰搴㤰㐷〸愴戵愸攴㔶㜸㠴㤰攳㍦㠷〶搵昱愷㤱摢㝡晣敦㉣㌸㍥㤵扦㕣㕦戴晦扥㔰㜹㘸㈷㌸昴㐹㠲ㄲ㠱〵搰ㄷ搶散愵㔸愴慣㐹晢㐱㠴搷㜷㈲㡤攷昷挱扦敦敥㝣晢㉤㍥晦搸愹㐸㐱㠸愲晡㔵㔰㄰捡㔵㍣ㅤ㕤挵㉣㜲㕢慦攲㥢ぢ慤愲㡦㌲㤲㌳搱ㅣ㠰㥥づ㠵戴㈲㔷攵㈲挱つ攵㑦㤱〸㐵愲㙥ㄶ㝤㐴慣㙣㕢㐱〲㙤戹昳戲敤ㅣㄲ㘱摢ㄴ㌷㈲收ㄳㅥ㘹ㅦ昱捡㈳扤㌶㘹摦敤㥡昶戵㘲挶ち晣慤换㐲㌶㘰㐹晣㈶戶愵㐸㑦户ㄹ换㔷㥥っㄱ戳㜷㙦昸㝤㤴ㅡ㐴㤷㐰ㄸ扥㐵㑡㐲攲㐶㉡㕦つ㉢扦昲㙡捤㌹㡡〲㍣愰ㅥ扦㌲〹㑥㔶㝥㈲慣扣ㄵ摦㕥挹㍡〹摥ㄵ攰昳㙥㔸㤹㠴㈹㉢㍦ㅥ㔶晥晢搶つ搵捡㈱ㅤ晡㍤愷㐸㈴㌱戶慥戴晥㈳摦㘱昳㔰㥤㌲愸㍦扢っ㍦㥢㤲㔳〶㠹㑢㔲㠳㜶攳摡㠷㠳㉦愱て攰ㄶㄳ㉥㝢㐰挸晡晦㈱挲㍥摣㙥ㅡ搳㍤ㅤㅦ㍡捦㈱慣散㘸昲㡤㡤搳挶㘱〷ㄹ㥤挶㍥ㄷ㘷慡攲戲㈲ㄱ㤸〳㐹㝦㝦ㄷ㜱扦挷㤸㡥戵晤〸挳㘱㉡㙦㡢戴愷㍣㘴〸㈵愹㍣ㄶ㘲㌶㜱慥㐶㌳摡攷㠱ㅣ㠸㐹㐰㈶戴㉦〰晡㈱㤷㌵捣攸㈳晦㑢收㍥㠷㠴昶㈸挱㤷〰戲ち㤹㥤㜴㤰晥㌲㐰㙦昸摦㔱っ捣㐹㝦㠹慡㥣つ〷㡢㤲㤱昶ㄵ㌶㜸ㅣ愰〳㡥㕡㈵㈰挲慣昶〴㜲愲㠳㔲㜰挸㐱㥦㘴挱搷〸扥づ㤰㑤㜱戲㑢摥㌵慥愹㑤捤昵つ㌴㔵戸ㄵ㔲㡥㍤ㄵ㈴昸㤲㍡〷㜰㑦㙢㕢㤹㐷攱昰昳㝤〴㌵敢扥搳摦㠵敦敥攷戹攸づ晣户㈳㈹㘹搸㈷搵㑦戴搷ㄷ㤹㠰㌶戹晣㌹搸散㡢攸㠷敢慡搹㤸散昱㤳昸㘵搴戴昲㈸晥㍤㠷㥦㜲ち㈳㜰ㄴ㙡摡っ摣㉣愴〱㔹㌰ㅢㄴ㔰㘵㘹㑦〳㈸挴㌱昱愴㍤挳㌷愲㤶晤㙢摦ちㄲ㝣㔱㠸搷㜳㑣㤴㠲收攱㠰挴戵㉣㌸搹㌰㈰昱㉦ぢ㑥㐴〷晣㌶㜲ㄵ㠹㉣㈴敡戵ㄲ㤱㤶㘴敥戳〰㍤ㅤ扤㥣ㅢ戵㥣㝡㐶㈹㍣㕣㝣昸攱昷㝢㤳〳ㅢ㤳㥦扥户晢搹㜷㝦晢摥㌳敦㝣㘶挷摦㍥㜸晥昹㜷晥昲捣㕢ㅦ扣㌱戵攳㌷㉦扤昴敢晤摦㝦敢扤搵挶㡢敡慢敦ㅦ㜸昱散搰挹戳愷㡣㘳户敥㌹晢挰㠹㈳㐳攳㤷つ㜶㜴㜴㜶摥搴晦收攵㌷昷㥤㍢昵㥡昲慢㍦慥户ㄵ戹㕣づ㜸ㄴ㈰㝣晡戸㙣㌹㡤敦㈲㠱㘹㜰挶ㅦ敢㌴戸摣㜳昸㈹挵㘰愳㐶昰㤲㠱㑦㠳ㄳ㤰〵㠵晡㠲慥晦〰ㅣ㕦戲て</t>
  </si>
  <si>
    <t>Cell: E14</t>
  </si>
  <si>
    <t>Assumption: Multiples · Weight</t>
  </si>
  <si>
    <t>Assumption: Full Proforma DCF · Weight</t>
  </si>
  <si>
    <t>Worksheet: [0504Group1_Section81_ChengyiXu_MAR_Stage2 w%3arisk.xlsx]Valuation Conclusion Risks</t>
  </si>
  <si>
    <t>Worksheet: [0504Group1_Section81_ChengyiXu_MAR_Stage2 w%3arisk.xlsx]Simple Proforma Risks Crystal</t>
  </si>
  <si>
    <t>Worksheet: [0504Group1_Section81_ChengyiXu_MAR_Stage2 w%3arisk.xlsx]Multiples Valuation Crystal</t>
  </si>
  <si>
    <t>Worksheet: [0504Group1_Section81_ChengyiXu_MAR_Stage2 w%3arisk.xlsx]FULL Proforma_Revised&amp;DCF RISKS</t>
  </si>
  <si>
    <t>Cell: D17</t>
  </si>
  <si>
    <t>Forecast: Neutral Price (cont'd)</t>
  </si>
  <si>
    <t>After 3,000 trials, the std. error of the mean is 0.14</t>
  </si>
  <si>
    <t>Base case is 182.68</t>
  </si>
  <si>
    <t>Entire range is from 159.86 to 212.34</t>
  </si>
  <si>
    <t>Forecast: Neutral Price</t>
  </si>
  <si>
    <t>After 3,000 trials, the std. error of the mean is 1.33</t>
  </si>
  <si>
    <t>Base case is 274.25</t>
  </si>
  <si>
    <t>Entire range is from 153.04 to 882.41</t>
  </si>
  <si>
    <t>Certainty level is 56.63%</t>
  </si>
  <si>
    <t>After 3,000 trials, the std. error of the mean is 0.98</t>
  </si>
  <si>
    <t>Entire range is from 23.81 to 341.95</t>
  </si>
  <si>
    <t>Certainty range is from 147.96 to 173.44</t>
  </si>
  <si>
    <t>Certainty level is 18.77%</t>
  </si>
  <si>
    <t>After 3,000 trials, the std. error of the mean is 2.27</t>
  </si>
  <si>
    <t>Base case is 174.19</t>
  </si>
  <si>
    <t>Entire range is from  (291.27) to 935.26</t>
  </si>
  <si>
    <t>Certainty level is 16.89%</t>
  </si>
  <si>
    <t>Simulation stopped on 5/6/2023 at 12:15 AM</t>
  </si>
  <si>
    <t>Simulation started on 5/6/2023 at 12:06 AM</t>
  </si>
  <si>
    <t>Cell: C17</t>
  </si>
  <si>
    <t>Forecast: Optimistic Price (cont'd)</t>
  </si>
  <si>
    <t>After 3,000 trials, the std. error of the mean is 0.17</t>
  </si>
  <si>
    <t>Base case is 209.78</t>
  </si>
  <si>
    <t>Entire range is from 176.75 to 241.20</t>
  </si>
  <si>
    <t>Forecast: Optimistic Price</t>
  </si>
  <si>
    <t>After 3,000 trials, the std. error of the mean is 1.62</t>
  </si>
  <si>
    <t>Entire range is from 152.02 to 2480.34</t>
  </si>
  <si>
    <t>Certainty level is 55.38%</t>
  </si>
  <si>
    <t>After 3,000 trials, the std. error of the mean is 0.97</t>
  </si>
  <si>
    <t>Entire range is from 10.35 to 330.98</t>
  </si>
  <si>
    <t>After 3,000 trials, the std. error of the mean is 2.25</t>
  </si>
  <si>
    <t>Entire range is from  (219.81) to 802.29</t>
  </si>
  <si>
    <t>Certainty level is 17.65%</t>
  </si>
  <si>
    <t>Simulation stopped on 5/6/2023 at 12:43 AM</t>
  </si>
  <si>
    <t>Simulation started on 5/6/2023 at 12:35 AM</t>
  </si>
  <si>
    <t>Cell: B17</t>
  </si>
  <si>
    <t>Forecast: Pessimistic Price (cont'd)</t>
  </si>
  <si>
    <t>After 3,000 trials, the std. error of the mean is 0.11</t>
  </si>
  <si>
    <t>Base case is 158.69</t>
  </si>
  <si>
    <t>Entire range is from 137.71 to 179.43</t>
  </si>
  <si>
    <t>Certainty range is from 148.91 to ∞</t>
  </si>
  <si>
    <t>Certainty level is 94.94%</t>
  </si>
  <si>
    <t>Forecast: Pessimistic Price</t>
  </si>
  <si>
    <t>After 3,000 trials, the std. error of the mean is 1.35</t>
  </si>
  <si>
    <t>Entire range is from 155.15 to 809.02</t>
  </si>
  <si>
    <t>Certainty level is 56.66%</t>
  </si>
  <si>
    <t>Entire range is from 16.87 to 316.76</t>
  </si>
  <si>
    <t>Entire range is from  (182.88) to 1,179.05</t>
  </si>
  <si>
    <t>Certainty level is 16.27%</t>
  </si>
  <si>
    <t>Simulation stopped on 5/6/2023 at 12:56 AM</t>
  </si>
  <si>
    <t>Simulation started on 5/6/2023 at 12:47 AM</t>
  </si>
  <si>
    <t>㜸〱捤㕡つ㜰ㅣ挵㤵㥥㕥㘹㔷㍢㉢挹㤶㡤㝦㌰戶昱ㅡ〴㜱㤰㔹㈴㘴昹て㝣㐸㕡㔹戲挰晡〱〹㡣〱㘷㌳搲昶㑡㘳敤敥㠸㤹㤵㙣㌹挴㜶㠸挹㘱㠷㄰〸㘰捥〷㈱㠶搸㈶㤰〰ㄷ㕣㠱㠴㕣摤〱戹慡扢ち〴㔷戸ぢ昹㠱㤰㈲㌹っ㥣㠱㄰挳搵〵㤲㤸㝢摦㥢㤱㜶㜶㜷戴ㄸ挷愹㘲敤改改㝥敦昵㝢㙦扥改㝥晤扡㌵㡡㔰ㄴ攵㐳晡攱㡥㕦㈹㉡昳㝡挶慣㡣㑣㐵愲㐶㌲㈹晢㌳扡㤱戶㈲㑤愶愹㡤慤搵慤㑣〹〹〴㘲㍡昱㉤㝦捣搲户挸㘰㙣㔴㥡ㄶ〹昹ㄵ㈵ㄸ㔴㝤挴㔷㥤慢㙡愲㠱㕥㙡㈹ち㤲㔲搴〰㡡㌲ㄴ㐱ㄴ㉣ㅦ㐲慤㥣㡡㡡ち㉡㝡愳捤㕤㝤ㅢ挹㝡㑦挶㌰攵攲昰ㄵ戶㡤㔵㜵㜵㤱扡挸㤲㘵㜵㑢㈳戵㡢挳搱㤱㘴㘶挴㤴慢搲㜲㈴㘳㙡挹挵攱敥㤱扥愴摥㝦㠹ㅣ敢㌵㠶㘴㝡㤵散慢慤敦搳㤶㉣慦㕢搲搰㤰㔸戱㘲㜹㐵㈵㘹敥㡥㌶慦㤱挹㘱搲㜷戲戴㑥㈱慤㥤搱收㙥㔳㈶㑥㤶㑥㍦〰慢㙢㤱晤㍡㤰㤵搲搴搳〳㤱㘸㌳晤㜷愱㐲慤㘵㤱慥㥥ㅥ㤹戶昴㡣㍥慡㘷挶ㄸ摣㔴㔷㝦摦ㄵ㕡㜲㐴〶㔲散㔲㌰㜵㠵㘶㜶㙡㈹㔹㤹扡摣㤲㤷㘹改〱㠹㤶㍦搵㌶愲挷㑢改㡤㤷㝣摡换㤰〳㔲愴㉢摡ㅣㅤ搴捣っ慢〴㠰攷㜹㐹戳愵㠸换ㄵ敥挳㔴挰㈳捡㥤㌱〵㥢㜸扦敡㔴ㄴ㔵㔴〴愶㔱㜱㡡慢㘷㤸扢㠶㤷㠸搲户㘹㘴扡㍢㘲㜴昸㘲㥡㉦搶攷㡢昵晢㘲㜱㕦㑣晡㘲〹㕦㙣挰ㄷㅢ昴挵㜴㕦㙣愳㉦㌶㐴㌲攳扦㘰㔹㤹捦昹㝤敢挰昰ㅤ昳㥥㙤扢昸〷㠷户㍣晤㤹昷慡㍦㄰ㄸ㡣㍣㉡㑦愱㡡㍡㠳㡡挰㑣㉡㍣ㅣ㔹㈱挴晦㤰㈳㜰收愱昴㕤晦㜱㝤晤㤱收㐷摦㥡㜵㔷㙡捦攱㡤〲㠰戳㤶搹搰㜲㉡戴捣昱搶戲㕣㠸挳㡥㤶㍦晤昹昷扤㐷㕥扤戰昵㠱戵㌷㙣㔴户ㅣ晤㠶挰㜴㘰㉤㜳愱㘵ㅥ戴捣昷搶㔲㈷挴㙦ㅤ㉤㉢晥㜸㜴㙥昲愶㔳㕢昷扤㜰昰戵搱㠵㍦㥦㉥㌰㥦㔸换〲㘸〹㔳ㄱ㔸㐸㠵挷ㄳ搵ぢ昱戲愳挵摦搲戱敢搸㤲㥢摡扥扢慤攲挰摣晡ㄵ㉦〸㑣㐸搶㜲㈶㔵搴㙡㘸㌹换㕢换㌲㈱㝥攵㘸㔱搶ㅣ㍡愷㘴㘹愰攳㕢敦㕦扣昵捤㠶㝤搷ぢ捣㘸搶昲㈹㘸㔹〴㉤㥦昶搶㜲扥㄰㉦㌸㕡扥㜰攵㡡ㅢ㥦㜸㕣㙦晡晥ㅦ攲㜷换㈷〷昶ぢ㠴〴搶㔲〳㉤㡢愱攵㕣㙦㉤㑢㠵㜸摥搱㔲㍤戳攷㤲昵㍤户㌵摤㝦捦搱晦扤扣㜳㑥慤挰愸㘱㉤攷㐱㑢㉤戴搴㜹㙢㘹㄰攲㌹㐷换户晦攸晢昱扢㡦㍤搸晥挸㥣㠷敥㥡戱慡扥扤愲㥥扡㜴搲㕣㠸㜴捡捣㐹ちㅣ㝥捣㠱攳㥦㝢㤸㌶晥㤴㍤㜵㕢愴搵慦㘲㕥户愷攳㜲㜳㠰㙡㌴摦㉢㔲㔱㈳㥤㤱㥢㌳㉤㕡㐶㉢㑢㜵㙢愶㑣㘷㔴ㄲ慡攱㕥㜶つ㍤㉢㤹㌶摥㍢攴戴㐸㐳ㄵ㔷㕤㕡捡㤹㘰㙢ㄲ戴㌶㤴㤴摡㘵㌰攰戵㐸慣搱慣挱㡣搶㤷㤴搵㜹㈱〲戸㔱㔴扡㍣愳㈷慤〸愹㙣㌳㡤㤱㘱㈰㝡戲昴㈰㉥愹〸㈴㠱〶㉡㜸㐹挳㥤っ㌴慡㑢改ㄶ㘲愶ち㈶扤攰て挱挹昲㉡㔶㔲㠳㕣㙣㌱㔲㥡㥥㍥㐹㉦户攲〲㔲㝡愹ㄳ昵㕡㑣㙤ㄳ㐵昰慣敡昳㈳戵昸昷搱㑢ㄸ慤㘰㠹㠶挴戲㐴㕤㕤扣愱㔶慢搷晣〸㤹ㅦ㌷〲㈳扡㔵愴搶改改戸戱㠹㐳昲昴ㄴ挵㕢づ戳扤㘳挳㤲㐹ㄵ㠹㕥捤ㅣ㤰ㄴ收捤昶㤶ㄹ㠹愸㘱㥡㌲愹㘵㘴㥣〹㔸昹㘷攷ㄲ慤㔶搳㐸㠱㍥慦㔹戳㘴㌶摣搷㈴㙣㐳捤挶㐸㍡㙥捤昵㘶昶㘴㐸昵㘹昹扣慣㤲㠲㙥㍤戴〴㑡㡢㍤㍤㍤扦ㅢて晥愶捤扡捤㥥㥦挷愶㐵搰攸㥢㥣摢㙡捡㙢㈷戸〵ㅥ㌵㔱晡㌳㉡挱㉦㜸㑡㥢㘵晢㐵㑢㤶㘱挹㌴扢㔷㤳敡搶晢㠷愴搹㈳㤱㍣挹㌸㍦敡㑣戰㈴捤挷㝥㘹搵㜴〱㝡㕡㠵攳㘷戸愹㠹搵㥢㌳㤲㘶㜳㥣晣愵散㈴㌳搶㡢㤹㌴㉢㐷挴戶㐹㡣㌹㌹攴㔶愳㝦挴挲慣㌵㡤㘴㉥愷㈹㍥慡㤱捤㜸㠷ㄱ㤷愵愵扥ㄲ愵㔴㈹挵㑦愱㔵扦㠴愶㜲㙤摥㐴攵ㄴ〳扡㉤昷㕡敥ㅡ㌹㔸捣敢㡦慢㔳敥昰㐲㍦慦㤰㌱㤱㔷㡡㔳㜳攷㑡攴㌲㐲㡦㔰㑡㑡㑣㈴㕦㝥㐴㜱㌹㥡ㅤ㌵㌰攲ㄹ㑦敤㈷㜲㘱㠶㜱ぢ改㐵㤳㍦ち慢㥤ㄸㄹ㝦㕢㘱㥦敦ㄴ攷改㔷㡦㔲捣㕥愳愵攳㐹㘹ㄶ挷ぢㅥ愹ㄷ愲㔸㠵攲敦愸〸㈹晥愷㈸扡㑤㡡㈴㜲ㅥ戱㔹㡣昹㌷改昱捣㘰㘰㔰敡〳㠳ㄹ愲㔱摥ㅥっ〲收扤攳ㄷ㈵敥搷㜱昲摥㐸ㄴ戵㠹㡡㔰㈸愴㜰晣っ㠴搴㈸户ㄵ㠱搴㠹昳㌸㘴㑥㠵挱戵ㄵ㘲㙡ㄱ㥥㐰㘰㐲㐰㔳㉦㐶㜱〹㡡戵㔴㠴ㄴ㜱㤰㥥〳捦㜲㤰ㄶ㥤づ㈲ㅤ㈵㙦ㄲ散㔱㈷愴扡㈰攵昲攸㔲㙥㉢〲㘹ㄸ㝢㠴㉣慣搰愳㕥㠸愹㐵㜸〲㈹ㅣ㝢㜴㈵ㄴ慣㐷㜱ㄵ㍡㈹㘲扦攳搱㑥昲㘲ㄷ㤱㕥愷扢挵ㅥ㕤〳愹つ㤰㜲㜹ㄴ攳戶㈲㤰搲戱㐷挸攸ち㍤敡㠳㤸㕡㠴㈷㤰づ戲㐷〹㈸ㄸ㐰㌱㠸㑥㡡戸搳昱攸㐵扡㝦㠵㜰ち㔱ㅥ昹ㄳ捥㜴㌶㐲ち㤹戰摢愳ㄴ戵〳㘹ㄴ昶㝣づ〹㠱㑣㤱㥤㕢㐸㤵㐲攷慥㈵㙡㐸㉤挲ㄳ㘱㤲㘰攷㐶愸愲㡥愲搸㐴〵㌹㜷愳攳㕣㡣ㅣ摢㑥愴扤〴㤵㍤愴挶㈰戵〵㔲㉥戸慥〳ㄱ捥㤱㔷㘷搲㡤扤㐲攲㔹攸搵㜶㐸愹㐵㜸〲㔹㉢㝢戵〳ち㙥㐰昱㈵㜴㔲挴㤸攳ㄵ昶㔷昷㄰改挷攴摤ㅢ㜴㈹敡㡤㈸㜶㐲捡攵搵㤷戹慤〸㘴戱散ㄱ㤲搸㐲㡦㙥㠶㤸㕡㠴㈷㤰〱戳㐷㕦㠳㠲摢㔰摣㡥㑥㡡ㄸ㜲㍣摡㐰㕥扣㐶愴㔳晣攳㌸敤㠶搴㥤㤰㜲㜹戴㠷摢㡡愸愱㍢㝢㠴㠴戸搰愳扢㈱愶ㄶ攱〹㘴搳散搱㕥㈸戸ㄷ挵㝤㔴㤰㐷ㅢㅣ㡦戶㔳ㄳ㔷昶捤敤愳㤶扡㥦ち户㐷昷㜳㕢ㄱ攷搱㥤㍤㐲㜲㕤攸搱㠳㄰㔳㡢昰㐴㉤㐹戰㐷て㐳挱㈳㈸晥〹㥤ㄴ搱攵㜸㌴慤㔴㔱㉥㈴㔲搶愳㐷㈱㜵㄰㔲㉥㡣扥挷㙤愵ㄴ㠹㥦㔷っ㥤㐸㔳换㈰戸搶搰攲慤㕡㍦ㅤ㌳㤴㌹㠷っ挱愸㤱ㅡ愶攴搹慣㠲㘴㤴㤶㑥㕡㤲㐷昵戸㌴㠳㈰昴搰愱㐷㈹㥤㌱㔸〱㑥㍣㉣捡㡡㑢ㄴ扦扦㍣攸㘵慢㝤㕣㔷戵ㄳ攰摤㠷㉡敤〵晡摦扣㜴昹㐵㠸㈹愱㄰捦攳挷愸慡㍥㑥㠵ㅦ㡦晤戱ㄷ㙢扣㡥㔹愹㥥㐱㘳搳ㅡ㡡昴搲戲昷昰㔶搴搴㌳戳ぢ挹㤴攵㙢愹㌹㑣㙦㌳㈵攵㘷㘶㉦愵㈹晣㡣攸㜱㥡㈷㠷㍢㥤挶㙢愵㉢㑢愸㐹㕣愱换㑤挸㉤ㄷㄴ戲攸㄰㈲㍡㘲㘵っ摥㤴㥣㕥挸㙦㌱㍡㡤㑣㡢㙥つ㈷戵戱㙡て戶捤㔹㌷㈸搳㤴㕡㤹㤴㘱㝤㤴㤰㌱㍣㉣攳ㅥ㍥昶ㄸ㈳㘶扦㙣㙦昹㈴㈴㘷昴愶散㥦攰扣㑣〴㐵挰㈷攸㜷㘲㜹㠱挰ㄲ愷㝣㙥挶挳㙤慦㙣搹㜱㔱ㄹ㘵㝢㠲㈶〸㑤ㄱ㍦㜲㠵ㄳ挹摦㔴敡㔷㤹戳㙢㤸㠹搳愴づ㍡㠱搳㠷㤳戲㔹㌳㘹㘰ㅢ愶愵愶挶慢昶挰㜳㥤敢搸戳攵㤳〰㌶㈵挱㜶晡ㅢ㤹㍣晤㜳㌹捥㘳㄰㠳㜹ち㠱㈰㘶攴攵愹晣摣㐸㥥㑥昰㕤昹搷㔰㜴晢㤸㡥㘰挵㉡ㅢ挵㥥㍦ㄶ㔳㠲㜰ぢ㍦攱㙦㈳㔵㥥晥㔱攰㔴㑡搳㌸昵攳㕥愱愱戴戱㈹捤㥥晢㉤㙣挵㜸〹㉣㉢挳㘳㠴愰ち扦㠶昱㘱愳昸㤱㕣搶㜸㘱㘵㙦㤹㈷㡥㈵摢攳㤴扤㍡攷㤰ㄵ㌸㠷散㌵㈵ㅦ㌶〶戹㐱㄰㔶愶搶ㄹ收㔰㥦㘱っ攱㈰㘳ち户慣㐱㈹㌳㌸ㄸ㉣㑦搹愷㥢愸搳搸㉦㈹挹㌹晣㜳㜰〷ㄳㅢ㜶㕥㘲〲㍦愴㕡㐹慢搹捦㉤ㄱ愵攷挷㌹摤搶㙦捥㌹搴㜵攰戳搱敦扣㜴㉣昱晢搵㕡户㘸㜶ㄸ敢㠷㘷㍦㜳敤㉢戱昶ㅦ愶ㄷ慤晣扦㑣晤㜶㝦㈳昵㍦慥扤〵㔶愶愹㠹㠹搸搵慢㘷㤲戲㍣㘱てつ搴㠳〹㡡㐶戴敦㡢㤷㈵㝡〷改愹㕢㉡ㄳ㙤愶ㅥ㑦敡㘹㠹愱㐳㍢㙡ㅣ愲慥㤵〳戴挷敢㌶㜰㘰㙢愴㉢ㄳ扤愶㤶戶戰搶愴晢挷愶攷戴㜸戶昸ㄳ捤㝡摡㈲㌳ㅣ㉦㔱㥦㥡㐰㌸愷㌷㌷㤲㑡户㘹挳搶㈷㘱㍡搱㌸ㄹ晦搹挱换㈷㝣㍥ㄱ昴〵㑦㜰㐶㈸㠱㝦㈵㝤㤵慥ㄹ戸㌲㑣㕢㐰ㅦ㐷㌵摦昹戰㘵〷戳㈶慡ㅤ晦㝥て㕥㔶昰㤱戸戳ㄱ㉦昱㕡戰㈷㌶愴㤸㔵敡㤳㔴㠸㈸ち戴㥥㜲㉡㘸〸散㙥㤰㘱攴㉤搹㑦ㄳ㐹晤ㄱ〴㉥愶〲换昶愴挱㔸㘰挳㠳㠰㉣㉥愴攱㠹㌰㐰㜵㐵㠸ぢ愸㠶㤹散㌱ㄳ〵戶㐷㤸㡤昶攸晦㜷慡㘵㐷晦㌲敡㠳搱晦昷户㝤㜶搱慤㑦㝤慤昹晡㐳扦扥昹散㔷昶摦㈴㤶㍡㡣㝦㕢昷㤵攷㘶㍤㌱㍦晡捦收挱㙤昵扢㉥㍡㈲㍡愹㝦㈳㕤㑡攰ㄹ㉡㑥捦㐱扣㕢㕡㤶㥥愲㝤戲摥ㅦ敥㌶昵㝥改昵ち㐴ㄷ昵㙢愲㑢㝤㤶ち㠱㙤ㄸ㈳昵ㄳ愷挲㐸㘱搷攵㠱搴㜳㐴㔶て㐱㄰㝢慤攲㐸㘱㈳挶㐸搵搲愳㘴㤱㍡㡦㕡㤳㈱㠵㙤摢〴㔲㉡㤰戲㘳㐴㡤〳㐶〱㑡攷㌸㡣㡤㈵㉢摦ㄹ扡攳ㅦ㍢昶㐷攷㍦晢㕣昵㤲㥦㡡㙢愸㙦㈳㕤㑡攰攷㔴捣捦㐱愹㙢㌸昳搱㈰㙤愰㙥っ搲㉦愸㈲戰㌳㘴㤰㝥改㔴ㄸ愴㍥㙡㜸㠰昴㉢㈲慢㉦㐲㄰摢扦㐲㤰〲愴㡡搶㜶昵㈵攲搲晡㉥〶攸捥㐰㥤㤹〳搴ㄹ㐵㠰挲㙥㌲ぢㄴ〲慡つ搴改づㅥ昳戵㍢㕡敥㝤昳搷㕤户捦㌶摥㑦扤昸昵㔲㌱摦㘱㔸㍦摤晢敤㍦㥤搵搵㜶㑢攷〷慦晥㈸㜱昵㜶戱㤱晡㌶搲愵〴晥㥢㡡〵㌹㐰昵㔰昸㤳㘱㕥㝤挲㥤㠶㤹搲㤲㥥攳㘹㠸㍡㌲㔴慦㔲㐵㘰换捡㔰ㅤ㜶㉡っㄵ戶愵ㅥ㔰扤㐶㘴昵㜵〸㘲㌳㕡〸㔵搰㠶ち㘹㤰ㄸ㈵〹㠶㘹㜶づ㑣戳㡡挰㠴㝤慤ㄷ㑣搳ㅤ㌴㥥㥦㜵昶搴攷户㠵㔷敦㝢㈸㜴挶ㅢ挷捥扥㑡㑣㜳ㄸ扦㕢㌴搴戹攷挵㕢㕡ㅥ㔹摥戶晢㥣摤摦㕦㈷挶㐸㔳㈳㕤㑡攰ㅤ㉡㙡㍣㘰攲昹ㄶㅥ㑦慥挲㔸ぢ㌴㉣ㄸ㥥㤰㘱㉢捤㤰晤㠱㉡攲㍡ㄴ㜴愹㐷㥤ち㐳戶㥤ㅡㅥ㤰扤ぢ挱昷㈰戸㠳㡡㐲挸㥣搱挵㤰摤㐰ㄲっ㔹㜹づ㘴愱㈲㤰㘱搳㥤㠵㉣㍢〵〳づ㌲〵㔳搰敦㌰搲㥢户捥晤捣戳㕦㕤昳㉦㍦㌸戲攸搰㤶晦㕣㉦戰㍢㙦愴㑢〹晣㤹㡡㡦㕥ㅡ〴㜶昲っ捡㕦愸㈲扥㡣㠲㉥昵㤸㔳㘱㔰㙥愶㠶〷㈸㠸挲㉡挴〵㌶敢㠵愰戸搲㘹㠱㥤㍣㠳昲攱㌱㜷㕣㍡㐶慤挹攲ㄲ昶晤㔹㔰戲搳敤〳敡㠳攸㍤慦晤摣慢攵戹㕦㙣㝦攰㤷挱㡥㤷户扦昳㌳昱扥挳㜸晤㌷㤱敦晥慣慢扥㙤攷㡡晦㥡㝥挷㍤户扥㉤㜶㤳愶㐶扡㤴㐰㤰扣㕤㤸㌳㡥扡愵ㄹ戶㜸捡㜱㈲ㄱ㝥晡昱㌰㉤㥣㠵㙢愸挰〱㐳ㄳ㕤慡㡡㈷摥㐳㌵扡㉢㙡〸㉤愷㈱敥愶㡡〷㔰攵㈴愰㔶㐰㜰㉦〹ㄴ〷敡㕥㤲㘰愰摥捤〱敡㘸ㄱ愰敥愳㉥㕥㐰扤敤攰㔱㤰攴扤攵㌰扡慦㌹挷㜸扦晣㤹慥晤慦扥㤹㡣扥㍤敤㝥戱㡦㌴㌵搲愵〴㘶㤰户挷㌱㝡㜰挶搱㐴㤷㍡ㄳ㑦㜷㍦搵攸慥愸戳搰㜲ㅡ攲㐱慡㜸㠰㌲㥢〴搴㔳㈱昸㌰〹ㄴ〷攵ㄱ㤲㘰㔰㕥换〱攵㜰ㄱ㔰㜰㈲攲〵捡㙦㈷〳攵ㄵ㠷戱攳慤㡡㙦㉣㍥戲愷攳㍢晥㤷㍦㝦㘰攷挲〳攲㔱搲搴㐸㤷ㄲ〸㤳户挷〱ち㡥㔹㥡攸㔲ㄷ攲改㜰挸㐲㜷㐵㍤〳㉤愷㔱昵ㄸ㔵㝣㜴〵捥㈴搲戴㘸㜳捣㑥攸挷昷〵㠱㙡㈲㑦㈱戲敢㈸扥ち攷ㅢ攸愳㥥㐵㑣晥㈴㐰㍣㐹㑤攸㔴㍦㠵搲昹㔵㍤㐵㤵㔲扡搴㐵㐴慤㉣愹㝡㥡敡摣ㄱ挶㔴愸慥㐲攲挵愴ㅡ㤰㘶㔰㑢㜰㘲㠲㕥攷ㄲ㘹晣㔷㠵〴㠵㜵㐵㠸㑡扡㤰㡣攴改㐲㙡挲愴㍡攸挲挱戰攰昵㥢㉡戹扡戰㡥戳慥㈵戶㉥慣搹㜹扡戰㠲㌳㘹ㄹ㜴捤愳㤶㜸〹〵㕤㌹捦㈸㜸搹换愷㔶㘱昹㘳ぢ㉢㙤ぢ㔸敡昲㉣㘰攱㘳搲㉡㔸〸㔳㑢昰㝡㐰㤵ㅣぢ㔵㔸ㄷ㔸㔷愳慤ぢ㙢㐰㥥㉥慣〸㑣㡡㐲㔷㌵戵〴㠷㔱慡攴㍥㌹挲㈹敢㙡戵㜵㈱㜴收改挲㌳㌲愹ㅤ扡ㄶ㐱ㄷ㐷ㅡ攸捡㜹扢㠸㌸慣㙢慤慤ぢ搱㈵㑦ㄷ㘲つ㤳扡愸挲摦〳〸㥥愰〵扡㌰㔱㔹搷㘵㔴愱户㡢㐹㤹愷ぢ㔳㤴㐹㤷㔳㠵扦ち㄰㍣慥ぢ㜴㘱㝣戳慥㉢愹㔲㔹㈲㌰㑡㌱〳〳敢搱㙥㑡㈶挳攳㍢㕡㉢㜰ㄵ㐸㌹ㅦ捣〴慥㈶搲戲摡㠶摡㈵晣㌷敦扡㔸㡦晤㐵搵昲扡㔸㤴㑥戰〶挶昴㉢㐷㘲ㅤ㑤㤷挵㘸昷㌸㈰捦て㙦㍡慢㕥㌳㜵㙢㈸戲㌹㘹㙤ㄶ晢㥣挹㝢昳搴晡摤㙤て敤㡣㝥㙦敢㥣摦散戸㜴挱㝢攲㥢づ㈳晦戳㤶慡㜱㐸晤㤸㈳ㄷ㜸㙤搹ぢ晥ㄶ㔶㤳晦㠷挷搵昴㠷挴㌱㘰㔳㐲愷㥣㝥㕥㍦㑡㝤㉢㑦㑣搷昸戱挹ㄴ㔲攷扦㡦扣晥㉢昴搰ㄳ攵㥤㝡㉣㈰㡡㡡扦㌰〸捣㜷㡥㡢㜸㉢㉡ㄷ㐰㕥摣㌳ㄹ㠲㕦㜷ㄸ昹㥦昴㔴㡤㠷〹㠱挸〰ㄴ挵摤㈴ち搷搹ㅡ㡥㑡〴㈲㠲㤷戵㝦㤸捣摡㥤づ愳攰搳ㅦ㠴っ㌶戲摢㙤㘴〸㐶㄰㉡戲㐶㌰戴㔴㝥愴㕢㈷㌳㜲㡢挳㈸昸㌲〸㔱㠳㡤㝣搵㙤挴㠴ㄱ㐴ぢ㉦㈳扢㈶㌳戲搳㘱ㄴ㝣㌸㠴㜰挲㐶㙥㜴ㅢㄹ㠳ㄱ㠴㤱慣㤱散换搹㌱㤹㤱㉦㍡㡣㠲敦㡡㄰㘷搸挸昵㙥㈳摢㘰〴昱㈵㙢㈴ぢ搷攷㈷㌳㜲㥤挳㈸昸散〸〱㠸㡤㝣捥㙤攴㑢㌰㠲挰攳㘵㘴㜴㌲㈳㈳づ愳攰慢㈴㐴㈶㌶㤲㜱ㅢ挱㥦昱〴㈲㤲㤷ㄱ㘳㌲㈳㘹㠷㤱晦搱㤲㐰挸㘲㈳㈹户㤱摢㠹敡挷慣挹㍦㉡挴㕦㌶㕡㌱昱昳晥㐰㕣㕥㝥〱ㄱㅦ戸攸㡤挶慤㡤扢㥡〴愶〰扡昷散㜹愲昱㉦昵ㅢ㥡〴㠶㙢づ〱㐳ぢ㠴㠹㉥ㄸ〶㌹㠴㙤昹㕤〰㙦㡥〴愰挸㈱挰㙤㌷愱晣晦〱㔵挵挵ぢ</t>
  </si>
  <si>
    <t>㜸〱敤㝤ぢ㝣㕣㔵戵昷散㈴㌳挹㥥㌶捤昴㐵㠱ちㄴ㈸慦戶㠴㑣㘶㈶㤹〰㙤㤳㈶㙤ㅡ改㡢愶戴攵ㄹ收㜱愶ㅤ㥡㤹㈹㌳㤳㍥攴慤㍣㐴〴ㄱ扣㈰㠲㠰㠸㈰㈲㈲㝡㐱㔰昱㠵㠸愸㠰昲㄰昹戸愰㈲㠲㠸て戸㝡㠵㝢㤱昲晤晦敢㥣㌳㌹㌳㜳㈶㑤㝢戹扦慦扦摦㜷㑦㤳㤵扤搷㕥㝢敤扤晥㝢敤㝤捥㝥㥣㔳㡦昲㜸㍣敦攱攲㕦㕥つっ㝣㘰㜰㝢愱㘸㘴㕡㝢㜳挳挳㐶愲㤸捥㘵ぢ慤㍤昹㝣㙣晢戲㜴愱㔸て〱摦㔰ㅡ改〵敦㔰㈱晤㈱愳㘹㘸㡢㤱㉦㐰挸敢昱㌴㌵改㍡愴㌷㕢扦〱㍢愲㤹㑢㌷㤰㐰捡愳㝤㈴㡤㈴㑤㈴㥡挴㑦㌲㠱㘴㈲〹㜵攸㐹㈴㉤㈰ㄳ〳㈰㙢㝡ㄷ慤㡣㥦㠱ㅡつㄶ㜳㜹㘳摥慣戵㘶戹昳㠳挱搶㘰㙢戸㌳搸搱摡㌶㙦㔶敦挸㜰㜱㈴㙦捣捦ㅡ㈳挵㝣㙣㜸摥慣㔵㈳昱攱㜴攲㌸㘳晢㥡摣㈶㈳㍢摦㠸户㠵攲戱㜰㌴ㄸ㡥㐴㔲㕤㕤搱㠹㤳愱㜹㐵敦愲㔵㜹㈳㔵㜸扦㜴㑥愱捥㤵扤㡢㕡㔷ㄸ挵昷㑢攷㔴攸㠴捡扥㕣㈶㤶捥扥㑦㑡扤㙣㤷㔰㥦㤱㐸戳〱つ㈳㥦捥㙥㘸㐵戵换㠰㐶慣戳㜵〹㄰㑦挴ち挵㕥㘳㜸㜸戵㤱㘲摢㑤捣㄰㌳㈳㙦㘴ㄳ㐶㘱㔲㘶昱戶㠴㌱㙣㈵ㄷ㥡㌲㙢㘳昹ㄵ戱㡣搱挰㐰㑢挶㙣户㠱愴㤱㉤愶㡢摢㥢㌳㈷ㄴ㡣搵戱散〶㠳㈲摥㑣晦㐸㍡搹搰愰ㅡㅡ㍣昵㠷戹㔵㐶摡愶㜵㐹㍥搱扢㌱㤶㉦㑡㡣慤ㄶ㜴㤳㜵㜸㠸㔴扣慣㕡昴愲㔹ㄵ戹搸㑣㠳改捣㜱㐶㍥㙢っ戳㄰㌶摥摣ち㈱挱挴㠴扥〴㡥㙤つㅢ㐶㑤戰晡っ㑤㘱㈹㝡ㅡ挹㜴㄰摦㕥㈰晢て愲收挶慣㔵昹㜴挲㤸戵ㅣ㉥㥡摥㍣㙣捣㕡ㅢㅢㅥ㠹戱㝦改ㄹ㤴摥ㅢ㐴㌵扣㡡敥攸搴挶㉥㔱㌷ㄴ慢ㅢ㡡搷つ㈵敡㠶㤲㜵㐳㐶摤㔰慡㙥㘸㐳摤搰挶扡愱㜴摤搰ㄹ㜵㐳㥢㈰㘳㕦㑤㡤㡤㜵搶昵扢挳㌷慤戸敥昹㉢晢敥㡥昶㕦㌳攷㥡晢搷㜹搹〳㈳㙥愶㔵愲搶㔳㈸㡣㘴㌶戳㙡㔶㡢㑡㍦捤昴ㄵ㡡慢㘲昹㑣攱晤㙤㝡㌴晣捥摡扥愷㤰昹㥦㙦㝢ㄴ昲扥戴扤㙦㕦挰㍣㜳㐵㉥㥦挱昸戳摣㠸㘵攷户戵戶捦ㅢ㉣㈶晢㡣㉤〸戶戵敢㤹㄰搰ㅦ〰昱敤〷㌲㜵㥤㤱摥戰戱㠸扥㘷㍡挸㔱㡢㔷つ敡晤㈹㜲〰㠸㔲扦㠱㐷搰㉢㥥㥥晣㥦㍦㤸昷扤散㡡㑢て扥㍣㤷㍢昷扢㘱挵戱㤴㑤敡㍢㄰㈴㜴㐲㌶㥤㐲㤹昳㤶愷戳昳㐳慤搱㘰㕢㝢㈴摡ㄹ敥〸㐶扢摡摢挲搱㜹换㘳摢收户〷㕢摢㈲㥤愱㡥慥㜰㘷㌸搲ㄶつ敢㠳㤰㔱ㅦ㑣ㄵ戳ㄹ㕡扣昶愸挵㡢〶搶昴昵攸㐳ㄸ㍤ㄴ㐴愹攷慣攲て㔸㝥摢扥㕢慦晦挹愲㉦ㅣ晢晡㡣㐳㥦㍣攷㔳㡡愳戸ㄴ㝦㌸〲晢㤵摢ㅢ㡣㌸っづ㐶昴ㄱ搴㌷〷挴㌷ㄷ㘴㐶愵挵慢㡤㉤㐶㜶挴搰昳㈸㜶㈴㠸㔲㑦㕡挵晥攳㈷昱昵〷㌷㕤扡攲戲㌹敢戴敦〷〳慤㡡㘳㡦ㄴ㝢ㄴ〲㘳挲摣㐶㙤㐱㄰㕦㍢㠸〳收㔱㍢㐳ㄴ〹㠳㈸昵㔳慢挰收戹㑢慦戸㘳晡㜳晤㜷扥昶㐴昴昹㝦慤扦㑡搱昷愵挰づ〴昶㜶挲ㅣ㙥敤㌰㜱㙤㙢敤搲㥤㔴ㄵ〵昱㜵㠱㌴愲㡣㈵扤㑢㤶攸愳挹㍥〶㐴愹ㅦ㕡㈵ㄸ扦㝥昱摤〵㝤摦㔹㝡换㝤㍦㡤慥晦昵㌵挷㈹摥〰愵㠴昹〸散〴挹〵搴户㄰挴搷つ㌲㙤ㄴ㐹ㄴ㘸挳搸㐳㤹㐵㈰㑡㍤㘸㤵昹昲搲攴摥㐷㠵㤷㉤晦昴㠳扦扣攴㠵㥦㈷ㅦ㔳扣摦㑡㤹㝤〸㠴㥤㔶ㅤㄹ㙡㡤㐴愳㤱慥捥㡥㘸㝢㝢㔷㕢㌸搴㘱㕡搹搵ㅡづ㐵挲愱昶㜰ㅢ㕣慡㍤ㄴ搴㡢㔹捣ㄲ㄰㕦㍦㐸戳㡣㙥愵㍡㉣㘵攲〰㠸㔲昷㔹㜵㜸㌴晤捡㉦敦て㕦搱晦昹换ㅢ㠷㔳㉦ㅣ㤱㔷ㅣ摢愴づ挷㈱㔰搱㤴㐱愷〳改㘵搴戶ㅣ挴户〲㘴㜲㤹搵〲昳㑡ち慣〲㔱敡㙥慢戸搰㕢㑦ㄵ慥摥㙢晡攲㙢捦㕡㝢攳ぢ㔷敥㜸㑥昱挱㐲㡡㕢㡤挰捣㌲㤳摢㕢摢慤愶散㙣敤っ敡㐱㙡㕢〳攲㍢㠱㈱搳㌲㜶换戵㡣慥〳㔱敡㡢㔶㌱㙦㡣散昷昸㡦㔶㝣㜵昹㤷㤷扣摡㝦㑢摤晦㜹㑡昱搱㐵㡡㌹ㄱ㠱ち慢捡挷㠱㤳愸敤㘴㄰摦㈹㈰攵㔶戱㈳敡㔳㈹㜰ㅡ㠸㔲㥦戳㡡摢户昷㠲昳㑦㝦㜶敡昲换昶捤ㅥ昰㐸换㥣挷ㄴㅦ㤲愴戸搳ㄱ㌸捣㘹㔵戰戵换散昷㜸㐲ち㐵㠲愱慥㘰戴愳扤㉢ㄲ㘹ぢ㠵㜴っ挲㍡づ攲㑢㤰㤸捥愳㤳攴ㅡ㈰㑡㝤挶㉡慦昱㠲愶摢㉦㍢昴㉦㝤㥦㕥戹捦㈹㍦つ㙡扦攲昳㤸㤴户〱㠱づ㘷㜹㙤慤愱昶㘸㕢㈸ㅣ㡣㐶挲㥤㥤敤ㅤ攱㔰愷搹㍤愲慤㤱㡥㘸㈴ㄲつ㜵㠵摡㠳搱㜰㐷愷摥挸㠲搲㈰扥㌳㐰搸㔹挴㕥摥挸昴㌰㠸㔲㔷㕢攵㥦㜸㜳昰㥤昹㝦换慥扣敤ㄳ㔷㥥㌳㘳戵㝦敢挴㉣㤲㡦户㙥户㝤昹搸㔶㡣㥢愳㡦㐳敤慤ㄸ㘰挷昳ㅣ㠸挷挰㔴㈴搵㤹ち〶㤳㤱戶㔸㈸收攵つ㝢扣㑦ㅦ㤴㥤㤸㕡㤷捥㈶㜳㕢攵㜱㘴㘲㙡㐹㝡戸㘸攴㈵搲㤲挲ㅦ昳㤱㑡攲捤愹挵摢昰㉣㥡㌰㥦㕣愶愵㝡㡤㝣ㄱ捦㜰挵敤愳户戴て㉣㡡ㄵ㡣搱攸㕣㑢昷愲摣㐸㌶㔹㤸改㥥㌸㔸㡣ㄵ㡤㝤㉢搳㐶㤵㔴㘵ㅢ挴昳㥤㔱㤰㉡敤㕦㤹㡤㡦㈲㐶捦戶戴㤹扣㕦㐵㌲㥥昴㜲昱摡愹㑢昲挶㤹愵搴慡ㅡ昵㘰ち戱㐵㜴㔷㔹㘹㈶㤹昵㥡搵扢㌱㔷㌰戲㔲扤戹㤹㔵改挴㈶㈳㍦㘸㜰〲㘲㈴挵搴改㑣戲ㅥ㌷攷慥捣挲㔰㍣㐰㈶て㜲㜲〹戴㤱㑤ㅡ㐹搴㜷㌳㔰摥扥㈶ㄶㅦ㌶昶㉡ㄳ㌱换㐴挲㍥㘵散㈵戹挴㐸愱㌷㤷㉤收㜳挳攵㈹㍤挹㉤㌱㍣攲㈶㤷攷㤲㐶㠳㕣ㅥ㤳㉡㑦㝤扤㔲㥥挳摤ㅥ愸愸扢挰愷㐹㠷㤳昰㤹㜵㙣㘱㠷ㄳ㔱搸昵㈹戴愴ㄹ〱㠷㤳㔱晥㠸㌱㙢攲㜴㐲㑡户㡤㈹敤攲愴捣戴㜷㜹挷㙢㕤㡤昶㐱㍢っㅢ散㤵㜵戳㙢慢ㅣ昵换㥤搴搴搱㉡㥣㙦㔲㝡っ搰㐴㙤挹昷晥㘷㠵敢敡愶㕡搶㉦挶搳㑡㜱㘹㉣㥢ㅣ㌶昲㘳捥㤶ㄵ㙢愴㜳㈴㥢㐹捥㈴挹㤳ㄴ㐰扣ㅦ挷ㄸ㔷ㄳ㔱㡥戱㙡㥢摡敥摤㥡㑥ㄶ㌷晡㌶捡㐳㈲㜸㤸㘵㌷㌵ㄱ敥ㅦ攱搷㠷〹㝢㍤㈴户㜲慡慤㐷㐸戶㤰㙣〵昱晢㍤扥㙤昸敢昱昹昵㜶晥昹㄰㤹㠲搸慣㌵摢㌷ㅢ㝥攵攵〴㘵搷愷㔱㔲㤶捣摡㌰慤㉥㜸㌳㤸ㅣㄶ敡敢摤㠰㔸ㅡ㉢㙣㉣戲て㡥㤹㈸ㄳ愶戳㔰ㄵ㝤㌶挸挴㜳㐰㔶㉣㌵㠶搱㠳摦慦ㄹ戹㤷ㄳ慣㜱捤晣昶捡っ㙥捦㈶㌶收㜳㔹慣㙤昴挵㡡戱㥥〴愶户〵ㄵ昳㘵㤶攵㝡㐷㡡扥捣搲㌴晥㑣捣慣㌶㌶ㅢ戱㘲㉦㐶攸㘲㜳㘶ㄹ愶挶㌲㠴づ㈴户㜹㌳收慣戶捦㈸㈴㌴愷扦〳ㄸ㤱戶昹㄰挲㄰㍢㌱挳㌱挶搸㔶愴敡挶っ㘶㔳昰㈴つ愱戹㤲换っ㌱㘷戳昰散摣㝥㉢〶つ〱〹㍡戴㑣㄰㠶愹㐹㙥捣戸㜹搲㈹㉣㕡搹㜹㑥㈸愶㠷ぢ慤ㄶ扣慤㝤㌹㉣㡦ㄸ戲扡㐳搸㝤㍥昸㤶㙦捣挶慡散攳㥣㍦慦㑣挴㑤戵愸㑡㝦㍥㌷戲㤹昳愸昷㑢て㜵㜹昴戹㈰㌷扤昹愵㘳づ昹散摤敦㔹㝦捦㐳敦㤱㑢㜳㡡慤改敡㡣攲㡦㕣晡〲晣昱㡦㤵收攵㡣摢㜵㤰慤㌱搵攷㠴㙢㘲〶搶慥挹ㅢ戲㜶搱㈴ㄱ昴愵收捣扡㕣㝥㔳㍣㤷摢挴挶㥦㈴戱挲㐶挳㈸㜲㐱㘰㠲戵晥挱戰㔲慡扥扥㙣㝥敦㔸㌹攰㔲㠲敦㈲㤰收㥥攱攱㔹戶挶㠲敦㘲戰敡㜱㌳昱㕤㠲㐰㘷㕢愴㉤㉣㈸〷㠷〶捤昵戹㘸㜰愸㜷愳㤱摤戰㍤扤㝥㘴㘸㜹捦敡㈱摣㌰㌷ㄸ敤戳戶ㅥㄲ㡡攵搳㠵㑤慤摢㠶ぢ摢搴㌶㠰挳㜹攴㤳㝢ㅤ摡昲攴㜹戳ㄶ摦㝡㤷晦愰搷㜶ㅣ㝡㤲摡㙡㈵㔴慤ㄷ㜰㥥㍡挶㌳㔱搹慣㥣㥤戸散㤹愸敡㙥㙦摥ち晦昷㤹㘶㡦㝢愶㈹㝦㥥㤹戳㤳㥢㜸挵ㄳ㑤捤晢搷晦㍥ㄱ戸慤㥦㥢㑦〴ㅦ㐳㘷㔱㈳攸㜶㝣〲㐰戸晣搲ㅦ㐷㕣㕦㑥㜲〵〸敥攳㌲戸攱㌶㝥愵ㄹ㔵㕣㍢攲扤㕢㝦㤲攴㉡㄰㉦ㄷ㡣挶扥挳愱扢捡摣㡤换㜸捤㤹㍥㈳ㄵ挳㐲愴摣㤵㔴散晦攵㑤慢〱摢づ㡥㍢搶搸㐶愰敥扣㈱昸㉡㥦㜵换㤷㜱戱戸㥣散㌷戲㝣捡㈹扣㥦昷愲昷昳㥥愶慦㠶ㅤ昶攵ㅤ㠶㈳㡣摦㈶挰攵㘹摣挲〷㡡愱㈱㑦ㄳ㉤㈴㐷敦㐷㔲㜵ㅦ扣ㄶ㕣晦㔸㘹㡡敢㡣扣ㄷ㙡摥㝢㝣㌷㠰搴挳㔹㌴敦㌶㉡㙥摤ㅣ慡敥ㅡ㌱㉢愱㙡㔹昲㈰㘴攳㥤㐳摦捣晣㐳㄰㜳昷昲㕢㈸昳㜹㤲㕢㐱ㅣ㕥㝥㥢ㄹ㔵㕣㤸ㄴ㉦扦㥤㐲㕦〴㔱㠷㠰搰搳昵ㅤ㈰昶愵搶愲っ〲㈸㈰捣〶扢ㅡ㠴扢挰昵敢㌱搲搴愱㤰㈸㠱愰〹㠲〹挰㌲㈸㜶扤㙤ㅥ㘷㈵㔴㉤㡣ㅥ㠱扣〲挰㝤〸愸〱㠸戹〳㜰㍦换㜸㠰攴㥢㈰づ〰扥㙤㐶ㄵㄷ㑣〵㠰〷㈹昴ㅤ㄰㌵て㐴〰昸㉥〲昶愵扡㔱㐶〹〰慥戰㔶〳昰㄰戸㝥㍤㐶㥡㍡ㄲㄲ㙥〰㜴搴〲㈰㘲㈵㔴㉤搱戶㐱㤳〰昰㌳〴㔴愸㈶〰㡦㈳㔹㍦㐱昲㜳㄰〷〰㑦㥡㔱ㄵ挴㕦〱攰㈹ち㍤つ愲㐲㈰〲挰㌳〸搸㤷㥡攳〴愰ㅤ散㙡〰㥥〳搷慦挷㐸㔳㘱㐸戸〱㌰慢ㄶ〰〷㔸〹㔵㑢挶㥤搰㈴〰扣㠴㠰摡て㘲敥ㅥ昰㌲㤲昵敦㐹㕥〱㜱〰昰〷㌳慡愲昸㉢〰扣㐶愱㍦㠲㈸㉥㈸ぢ〰慦㈳㘰㕦㙡ㅡ捡㈸㜹㐰ㄷ搸搵〰晣ㄵ㕣扦ㅥ㈳㑤ㅤ〳〹㌷〰晣㤶㥤㔵㘳㠰戶ㄲ慡㔶戴ㄷ㐰㤳〰昰㌶〲慡戱㈶〰晦㠵㘴晤づ挹㍦㐱ㅣ〰散㌰愳㙡㈱晥ち〰扣㑤㙡づ㜳慡〷㈱〱㠰㜷つ晢㔲㍢㜶㌸〰攸〶扢ㅡ〰㉦攴晤㝡㡣㌴戵〸昹摣〰昸㍢㤴扢㡥〱㝦戳ㄲ慡㤶搷ㄷ㐳㤳〰㌰㠹㔵㝥ㄳ㘲敥ㅥ㄰㐰戲㥥㑣㌲㠵戵ㅢ扤搵㑦㌳愳㙡〹ㄴ〹〰搳㈹戴ㄷ㠸攲搲扡〰㌰〳㌱晢㔲㝦㜰〲搰て㜶㌵〰㌳愹㔳㡦㤱愶〶㤰捦つ㠰ㄷ㙢〱昰㠲㤵㔰戵戶扦っ㥡〴㠰搹慣昲昳㌵〱㌸ㄴ挹晡㌰㤲挳㔹扢㔱〰收㤸㔱戵ㅣ㡡〴㠰戹ㄴ㥡〷愲㔶㠲㈵〰ㅣ㠹㤸㝤愹㈷㥤〰慣〰扢ㅡ㠰㈰㜵敡㌱搲搴㉡攴㜳〳攰挷戵〰㜸挴㑡愸摡㙤ㄸ㠴㈶〱攰㘸㔶昹攱㥡〰ㅣ㡢㘴㍤㥦㘴〱㙢㌷ち㐰户ㄹ㔵㙢愰㐸〰攸愱搰㈲㄰挵㙤〸〱愰ㄷ㌱晢㔲摦㜶〲㜰〲搸搵〰昴㔳愷ㅥ㈳㑤慤㐳㍥㌷〰扥㔶ぢ㠰㝢慣㠴慡㝤㤰㤳愰㐹〰㔸挵㉡摦㕤ㄳ㠰搵㐸搶㠳㈴㙢㔸扢㔱〰搶㥡㔱㜵㌲ㄴ〹〰敢㈸戴ㅥ㐴㥤ち㤶〰㜰㈲㘲昶愵㙥㜳〲㜰ち搸搵〰㥣㑡㥤㝡㡣㌴㜵ㅡ昲戹〱㜰㐳㉤〰慥户ㄲ慡㜶㘶㘲搰㈴〰愴㔸攵敢㙡〲戰ㄱ挹㍡㑤㜲〶㠸〳㠰㘱㌳慡攲㔰㈴〰㘴㈸㤴〵㔱㐹戰〴㠰ㅣ㘲昶愵慥㜴〲挰㡤㥤㙡〰ち搴愹挷㐸㔳〶昲戹〱㜰㜱㉤〰㉥戲ㄲ慡戶㡡戸换㈳〰㥣捤㉡㝦愴㈶〰攷㈲㔹㥦㐷㜲㍥㙢㌷敡〱ㅦ㌶愳㉡つ㐵〲挰㐷㈸㜴㈱㠸摡〴㤶〰㜰ㄱ㘲昶愵㍥攴〴㠰㕢㑢搵〰㕣㑡㥤㝡㡣㌴㌵㡣㝣㙥〰㙣慥〵㐰捥㑡愸摣慢昲收愰愹㜲〱㑥捥㤲㤴㔶昱ㅤ戳改㐹㄰昶愵戰愱㔶㉣㑣㐸昵㡣ㄴ㜳㑢搲㐵㑣㜷㈶愶㐰㄰㤴㉣晢捡昲慤㈳搳摣搴摡戴戱㤵ㄳ㥤〳慡㤳㜰捣愶㜷愴㔰捣挹摡攲晥搵改㝤戹ㄵ戹㘲㕦扡戰㜹㌸戶㝤戶㑢戲㤹戲づ㑢㑢㔸㔰捡㘳㈳㘶㘷㐲戹捤㥢㡤愴㑢ㅤ〷㜳㈳昹㠴㌱搰户㈷散攱㈸㜳㤱搴㠳㜵㌸㍣㐰愸㐳㙡㉦㜷㌸㜰攷㍡㝥ㅤ搶敥搴㙥㙥〱㙣㐳㝥㡦扥㥡慥㡡㌲攱攲晡㔳㜴㐳扦挷扢ㄹ慣戱㕤挴戱㉢㌴〱挲晥ㄴ㥡搵攴㌵㕢摢㡥〳搹㐲㍡㘹昸慤ㄸづ㠰㑣戲㠲㉢㐷㡡㘵㈹戱㙤㔳慤ㄴ㉣㌰慥捣愲改ㄳ戱㝣㜲㑦㘸ㄵㄸ㠶换㙣ㄲ攵挳扦摤〳摡㔴攳昱扣㘱ㅦ㘹㝣攳㍣㜴昶㝦戱戰收昶㡢敢㝡㙦愹㍢㈲攰搸㔴㙢㠱㝣㌳攱㉥戱㥢ㄸ攳㤹ㅥ㘹〵昳㑣捦㈴㤱㌰攰攰㌸摤㌶㙣㑣㉤㡦捡〲㡢㑥昵挴ぢ戹攱㤱愲㌱愹ㄴ㤲㡥慥㔳慢㡤㘱㥣〱摢㘲㑣㉣㠵㔶㈵㡡搸㐲㉥改攳收攷㥥搳㐲㐰愴挱㙡㈵㈵敤攴ㅢ挳㜹换㡤㘰ㅦ摡捤㔶㐵晢愵攴晡换㐲昵㤹敢㜸摤戱搰㘳〷晣扣㍣摥㍣搴㔷慥愰㤴㡦戵捥ㅤ㔰昶愴愹昶挶扣㌹挲挹攰㌵搱收㜱昳戱㌹㈵攳ㅥ㑥ㄸ昰ㄸ㕣ぢ扢捥㌰㑥㥤ㄶ搳㠹搸昰昰昶㐹愹㠱㙣㘲㜸㈴㘹㉣㡢挵㡤㘱㝢捣收戱慦㍤愳扤攴㌰慦搹㔶㘳攰㘲㠱㌲㠰ㄳ扤昶㝥敢㙥て㜳ㅥ㝤つ㕡㑡㙥戹搰攱搷㥦戶晡㕤〱㘰敦昲㜶戳ㅦ㤹愶㡣ㅥ㤶㤰昳愲ㄸ摡慡㔸ㅣ搳戸晦㔶摡戱㤶ㅥ攷㄰㕢㤶㕢㤶挳㘹㠲愴㠳戵㌴㙤戲昶㤸㝥㈵捤攴昳昹㜶昷〶㜳挰㐵慦ㅦ㝦晦戹昱敥慦昴晦昶㐳搳扥㘲㜴〳㍢㕣㙦㉣㐴㉢㐸攷ㄸ㐱慣㜲攷捥搱㌹攴摥㉦㠳㘰〰㠲㉤ㅣ挱捣〷㠷㌵改攲戰㌱㈱㈵改ㄲ㙥㘲㤷㈰㥡㡤愹㌵ㅢ戱ぢ搶搷㥣敡捦愷㤳挳改慣挱㠷㄰㥣㙥攱ㄹ摤㘵挶〶㥣挳㔸㤵㉢愴㜹㠶戴㌹戵㈶ㅦ换ㄶ㌶㜳戳㌳戱㝤㑡㔹㑣ㅡ换㥢㕡㤴捥愲〳㤹㘵㌲摣㤲ㅡ摣㤸摢㡡ㄳ攸㈳㤹㙣㝦㙣㜳㘱㡦㘸㈸㜸戳㜵㤹扤慡㑥搵搵愹愶扡愶摤扤㔷挹摥㈴ㅦ〸㍣㕣㤵慡㈳挱㈳〱挷㌲敥攱㡦搱㘷搹㔲搶㐹ㄸ昶㔹搶慢散㐸慥敢㕥㝣改〸㍦挷㘱晤ㄹ㘴㥡㜸㍤挸〷晢㑦ㄸㄸ㍤㍦昵摦㍡㑢敦摤ち捤㘳摣づ挴㌵㑡㠷㌵昸㍣㍦挹㜴ㄷ昲攸㍤㕡㕡㥤戱㑡ㄷ昴愷㐴㠶摥㠸㍢㈸挵ㄹ㕣㠲扤昴㠹攸晣ㄸ㝥㜱〶〱攳敥㈴㌳挲㐷㍡ㅣ扥㉤㔸㘹扤戹㑣㈶㐶昷愲㙢づ㘲散㌶㥡攴昹ㅡ愳㠹㑥㠱㠸て㕡慣搸㌶戰㘲摢㠴㠵㕢㌲て㘰㐹㤸扡㜲ㅢ戰㥢㕡摣㤸㐹㈷㥡ㄸ攱㈱愹㍤挲㉦攱㐲つ〰搳扥挴㌹昱戰㕡戹㤱㘲㙥搱愳戹㕢㌱㝦㈰㜴㙣㝥㜸㙦㥤摣挷搵㙥㥥㙥㠱晢捡㠰慦㍦ぢ㙤摥㍡㔴〲㐳扦㔹ㄵ挷㐳ㄸ㌸攲搹㙡㍢〵昰慢㙦〴㘵㠰扦つ㘷㠱㡣㜹敡愰ㄱ〲晥㘵戹㔸㜲〹捥搱攵昲㡤搶扢ㅦ㑤㘸㕡づ㉢昹〰㑦㥡昴攲㠴ㄶ㑥㝥㙤挱戳㜰扥㠹㡣㐱㥣攱㘸攰ㄹㄵ㥦搹㠶㝣挰昴㜸扤ㄳ㥡摣捡ㅡ戰㜵捤戶㜶攴㥤敦扦っ㔴改晦搳昱㔱慥㑤挲慣㝡㔰㝤ㄳ散搰㌷搳愶戳ㄱ愵㍤ㄵ〲㥦愳挰㉤㈰摥㜳㤱㔸搹㑢㙡㥥捡愰㜲㙦㠶愷㐵㥡㌲㌴〷㡦ㅣ㍥㥣㈱挱愹ㄳ㐰攲㥢搰㜴づ搲昵攷愱昶戱㥦晤㙣㍥挲ㅥ㜵〱㠸㕤扥挰收㈷搵户戲晣㉦戰晣㡦㈱扡ぢ㥢扣㝣㔲搲愵㔹愶㍣散㡥㑥㉡㥢㔳捥㌹攴搴㤴㌵㤹㜴㑣ㄹ㉢㜸昲㤰㠵㝥扥〷㑤〸㘱ㅦ㘰戳㝢捤敥摥㠱挵敤改攳㝥㡦晡㌸ㄴ昲㡥敢昱摤〶挰愷㥡㐷攳㘷〱㥢㘲㍥ㅤㅦ攱㉤㤱㠹㌲敡㌷㡣㡥晡㡡㍢扥ㅣ昹昵敤挸愵慥㐰㠸〳㉡ㄴ㥢ㅤ散づ㌶摥㑥㍢搸㤵捣㠱㕦晤㈵㉡戱㈲敡㤳〸搸㑥㠱愰敤戵㜷㐲㐰㝦㤹㠲㔷戹ぢ摣㐵㠱慦㠰㜸慦㠶㐰攵㠸㔲扥改㡡改戲㠶㔰㠳扣昷挳㌳㑣㑤㌸づ㈴㠷㥦扣搲晤㈶㌸づ㉤昹捣昳㑡㑤挸㠳㔰愶攰㤳ㄷ㘴㤲㝥搳戳攸敥ㅣ㐴敡敡ㅡ㌰㐰昹㉡㡦愰㔴ㄵ㑢ㄵ㠳㠶㙣っ慢㈹愸㠲敦㙥㘴摥㡢㑢㈸搰㍦㌴㝡㔸晣〷摦㤸ㄵ慣㕡㄰挲㕣晣ㅥ㠸㝢晣敡㕡㔰ㅢ㈴㕡攲㌷㝢捥搷㤰慡扦づ愲㙥〶㤳扤挷搹搶户㈰㙡戶昵扦㐲㘴㥡㜵ㅥ㝡攷㡤晤㜹攴㤳挶扥㤷㥡㙦㐵慣慣戱扦〱敥捥ㅢ㥢㍢愵㄰昴攸晢愹挴㡡愸摢ㄱ戰敤愰扦㔸㐳搴〳㄰搰摦愴㈰户㔲㕤〴扥㐵㠱㙦㔳攰づ〸戰挱㝤て㈲㌶摤〶搲㍥㡥㍢ぢ㌸㠶摤㜰晣㉥愴㠱㈳昷㕡㙤昵づㅣ扦㐷昵摦愷晡晢㈰㔰㠹攳晤攰㤹㌸晥〰㈲攳敥㌳て㈰㥢挰昸㄰ㄵ㜳ㅦ戵っ挶㠷挱摤㌹㡣摦㐶㌶〸㝡昴㡦愸挴㡡愸〷ㄱ戰捤㐰搰㠶昱ㄱ〸攸ㅦ㔳昰㍢敥〲㡦㔲攰㈷ㄴ攰ㅥ慤挰昸㔳挴摣晤㌱攲㠶攳㘳㄰〷㡥て㌹昴㍢㜰㝣㥣晡㥦愰㝥㙥慦㔶攲昸㌸㜸㈶㡥㍦㠷挸戸㜱㝣〲搹〴挷㕦㔰昱捦ㄱ㉢挳昱㈹㜰㜷㡥攳㤳挸〶㐱散搴㔲㠹ㄵ㔱㑦㈱攰㠲攳㌳㄰搰扦愴㈰昷㜵㕤〴㥥愵挰慦㈸昰っ〴〴挷攷㄰㜳挷搱搵ㅦ㥦㠷㌸㜰㝣捥愱摦㠱攳扦㔱晦ぢ搴晦ㄲ〴㉡㜱㝣ㄹ㍣ㄳ挷ㄷ㈱㌲晥㝥捤摤㕣〱昲搷搴捣㙤摤㌲㈰㝦ぢ敥捥㠱攴昶㉦〴㍤晡㈵㉡戱㈲敡㌵〴㙣㥣ㅣ晤晡㜷㄰搰㉦㔳昰㡦敥〲扦愷挰㉢ㄴ㜸ㅤ〲〲攴慢㠸戹昶敢づ㌷㝦㝣つ搲挰昱慦づ昵づㅣ晦㐸昵慦㔳晤摢㄰愸挴㤱㍢扣㈶㡥㝦㠲挸戸晤昱ㅤ㘴ㄳㄸ晦㑣挵晦㐴慣っ挶扦㠲扢㜳ㄸ㜷㈰ㅢ〴㍤晡つ㉡戱㈲㡡㍢挹㌶㡣〸摡晤晡㑤〸攸㝦ㄷ㐱㄰ㄷ㠱扦㔱攰敦ㄴ攰扤㐹㘰晣て〴摣晤戱摤つ挷户㈰づㅣ扤昸㘳敢㜷攰昸㌶搸晡㍦㐱ㄴ昷㡣㉢㜱攴㐶戱㠹攳㝦㈱㌴㝥㝦㥣っ㘹〱昲ㅤ〴ㄴ㌷㤹换㠰㝣ㄷ㡣㥤〳㌹㡤㜹㔱㜷扤挳ち㌰愲愶㠳摡㜶㌸晣㤱㑢慦摡〳㠶攲㙥戵㡢㠰㐲㥡慥愳挰っ〸〸㤰昵㠸戹晡愳敢昸㈸ㄵ昶慢㤹づ昵づㅣ㝤㔴摦㐸昵戳㈱㔰㠹攳愱攰㤹㌸㌶㐱㘴摣晥㜸ㄸ戲〹㡣㝣挳㕤㜱慢扡っ挶〹攰敥ㅣ挶㌹挸㠶ㅦ扣攲㑥㈵㠴㤰扦摣搷戶㔱㐲摣昶挷㘶挸攸㐹ㄴ攴㥥户㡢㐰ぢ〵昸㡥扤㍡ㄲ〲〲攳㘴挴摣晤搱戵㕦㑦㠵㌸晣㌱攸搰敦挰㜱ㅡ昵㑦愷㝥敥㘰㔷攲挸㙤㙢ㄳ挷扤㈰㌲㝥㝦㥣㡦㝣〲攴っ㙡㕥㠰㔸ㄹ㤰晢㠰扢㜳㈰扢㤱つ㍦ㅥ扤㉦㤵㈰㈰扦㍤愰㉥㌸捤㠴㡣晥〰〵ㄷ戹ぢ散㐷㠱晤㈹搰ぢ〱〱昲〰挴㕣晤搱昵昹昱㐰㐸〳挷㝥㠷㝡㍦㌹收昳攳㐱㔴㝦㌰搵㜳㈳扣ㄲ㐷敥㝥㥢㌸捥㠶挸戸晤㜱㄰搹〴挶㐳愸㜸つ㘲㘵㌰ㅥ〶敥捥㘱攴〶㍢㝥㜰昴㠲㑡㙣ㄸ搷㈱攴〲攳ㄱ㤰搱㜳㈸戸摥㕤㘰㉥〵收㔱㠰㥢昲〲攳㤱㠸戹晢㘳挸㙤㝣㍣ち攲挰昱㔴㠷㝥㠷㍦戶㔱㝦㤰晡㔳㄰愸挴㤱㥢攸㈶㡥敤㄰ㄹ扦㍦愶㤱㑦㠰っ㔱昳ㄹ㠸㤵〱ㄹ〱㜷攷㐰㜲愳ㅥ㍦ㅥ摤㐱㈵㌶㤰ㄹ㠴㙣㈰挹戴㥥挳㍢㈱愳愳ㄴ攴㑥扥㡢㐰ㄷ〵㡥愶〰㌷昷〵挸㘳㄰㜳昵㐷搷晢捣㝣㐸〳挷㠲㐳扤〳挷〵㔴扦㤰敡戹㉤㕦㠹攳戹攰㤹㌸㜶㐳㘴晣㌸㥥㠷㝣㠲㘳て㌵㥦㡦㔸ㄹ㡥扤攰敥ㅣ挷て㈳ㅢ㝥㍣扡㡦㑡㙣ㅣ㍦㠲㤰つㄳ昸㌶㡥㡢ㄱ搶㑢㈸㜸愱扢㐰㍦〵㤶㔲攰㈲〸〸㡥〳㠸戹攲攸敡㡦挷㐱ㅡ㌸㕥敡㔰敦挰㜱ㄹ搵㉦〷昱㕥つ㠱昱敤㈳㜳㈹㈶攰搸摣㤷ㄳ捡㤳㔳挷㡦挴㠶昱㘱㡣㤵搸㘱㉡㤲戵㈷㉣㉢㌶㤸晢㝣㍢㥤㝣㡢〹㈷㥦捡㜹㜷㈵〶攵ㄳ㜵换㌶㌹㤰扤㝢晢㠰㝥敦搷摥㝤敦扤昱㤵㠲㈶愹㌸㈲捤愵㌴扦㕥㠹〶攳ㅡ捤愷㈰㐰ㄹ扤ちっ晣挸慦晡ㄷ㥢㝢㍣㔹搶攵攵慥搶ㄸ换昱ㄵ㕢㘸搴㍡㜵㜴昱㤰换挴㜳㠷戱昶㌳㡥㔵昹搵㈸㔵㝤摡慤づ㡡ぢ昶搴慣搷㔰〶〱㉥昹㝡㍦㡢㔰攵慡㑣搵㍡㉦㈵㜱㌸〰㉢扥㠳挵敤挳㔸㘵㘷㤰慢㌴㘶㠸换㡡㘶㌲㉡㥤换㌷攰㠰㐴攵㑢ㅤ愵扣㕣戸㥡㌰慤攲㈵㔰挹挶㤴敢㔱ㅢ敦㥤㘸愲㥡昹㔹昱搱㠳敢捣挳换户ㄶ㌶㑤㕢㥥㑥攴㜳㠵㕣慡㌸㙢㄰扢㐵戳昸㕡㜰ち晢㠶㍤摥㍢愰搱戵㑣ㅡ搶㤰攵㌷㘴戶昰㉣扣㝦㔳㌶户㌵㉢戵昱ㄶ昸㜶㌴㑢搳㡤㡤㉣㠶昷㘳戹づ〶㜸㠱ㅢ㤱挲捣㝡㍤ち㙥慥て摣㐴㐹㕣㠱㥢敤挰攷散挰㉤㔶愰攵昳〸㔰㡢㑦㈴摦㐷ㄲ戸ㄵ㥡改㥣扥ㄳ㔱㥢㐹扤㡢㠶ㅣ晢㍢扥㤳挰㥢〸㥥㉣愱慤挶㕢挵扥㤳挱㤹っ㑥昹㐷㜵〲㕦戰戴㡣㝥㝡㐶㥦〶㐹㜵㍢昸昸昱攸㈱挶㄰㘰㔱敡づ㠴攸㍣敡㘶㠰换㈶〳搳攳㡢㐱愴㘶㍢愸ㅢ㈱挶戶㈸挷昲㑢搰㈲㔸㈶㤰ㄹ㔸㜲㑤㤱㔷㠰敢㡡ㄲ戸换づ㜰㈱㤱㤷昷ㅥ〴㜶㍡戰㔸慢㝡搴慤攲㉡愱㤲捡㘸㘸㙣慣㍡戰㔳㍥挸㘰挱㑦〶㈴㔹〶昴㤱㝡㙦㐰㤵挷ㅥ㌳散㑣慣摥愸㜷㌲㌳戱搲〶っ搳㈹㄰㝦㠰㙢㠱慣㤰㙦〳愲㔳搰〸㜸㑦挲㝥㑦㑦㝡ㄴ㥢㑢戳ㅤ㌵㥢㈹昰㜵㑢㕥㕥㈵㤰㑦扥㤸ㅦ㝦挹㈲㔱摤㡢㐴ㄶ愹㜳㡣㔹愵愹㙦㈰㈴㉤㜳㈵敡㙤户㡣㘶换戰㌳愸㉢㕣ㅢ攱㝥㘴㤲㐶㈸㐰づ㡤挰戵㍥收昰ㄵ㐱て改㕤搴扢㝡挸㠸㠷愳敤㐶㕢㉡ㅥ㑤㠵挳愱戶捥慥愰㤱っ㜵㐴ㄳ昸搴㐷㈴搴摥ㄹ昲㡤㤴㐴摢愳㠹捥捥慥㐴戲ㅤ㘲攱戶昶㘸㍣ㄵ㑤㠵㐲昱㐴㈸搹ㄱ㑦㠴ㄳ愱〰㔷ㄱ愹㕥㙦〱搵㝣昹㌸昰㉤㥢戵㡤慣敤㘴㜱㈹ㄱ㝦ㅤ㔲敡扢㘰戱昱搵㠵㌰㠳つ㠳戰㐷㥦挳㉣攷㠲昸〳摦〳㐳っ㈱挰扡〲捤敦摢㠹㤷㌰搷挱㈴〷㤱㕣っ㔹昵㄰搵㌲㜶〹㘳〸㠸㥦㍦㡣㤰愰戹捤ㄵ捤㉤慥㘸㜲ㄹ㔰㉡㜱ㄹ㔴〱捤㐷愸づ㔷㠰换㝥ㄲ㜸搴づ晣挴ち愸挷㄰㄰换㡡㤶㘵攲㍡㤷㐳㠱扥〲挴ㅦ攰戲㕤㑤换戸㥣㈷㠹㘲搹ㅣ㤴㘱㝥㌲攷ㅡ摡昲ぢ㈴攲挷愳慦㘵っ〱戱散㈹㠴挴戲㡤慥㤶愵㕣㉤㝢ㅡ㤹愴㥣敢愱ち㤶㍤㐳㜵戸〲㕣㠸㤳挰戳㜶攰㔷㔶㐰㍤㡦㠰㔸㤶㜴㕡昶㔹㈸搰㌷㠲昸〳㕣㐸慢㘹搹ぢ㜶愲㔸ㄶ㐴ㄹ扡㡤攴㌶摡昲㙢㈴攲〷㍢ㅥ㡣㈱㈰㤶晤ㄶ㈱戱㙣扤慢㘵㙢㕤㉤攳㑡㤹㔴攲㑥愸㠲㘵扦㐳ㅣ㈱㡦敦换愰㘶て㠸戴挵愳挹慥㘸戴㈳ㅣ㑣㠶㔳愱㘸㌴ㄴ㡡㐵㐲挹㘰㍣ㅣ挷愷㤲㐲㘱摦㕤㈵搱㜸愲㉢㤸㙣㡦㠵昱愵愴慥㜰㝢慣㉤摥㘶㜴㐴㍢摢扢愲挹㐴〲ㅦ㤰ぢ〷㕥戶搴敢慦㈰㡦扥ㅢ㈴昰㝢㥢昵㔵戲敥㈱㡢㡢㙥昸㙢ち㠸愸㝡つ㉣㐱㜳㤹㠵㈶攲ㅥ㝤㉦戳摣〷攲て晣ㄱ㡣㥡㘸㜲㤹㑤ㄲ〵捤㈸戳㜶㤲㝣〷㔹搵㥦㤱㈸摡扥换ㄸ搸㠲㈶㤷捡〴捤㙥㔷㌴ㄷ戸愲挹〵㌳㈹攷㈱愸〲㥡㙦㔲ㅤ慥〰ㄷ挸㈴昰㌷㍢昰㜷㉢愰摥㐲㐰㉣㍢搶戲㑣㝡挰挳㔰愰㝦〴攲て扣つ㠱㥡㤶㜱攱㙢搴㌲㙥慤敡〵㈴㡦搳㤶㜷㤰㠸ㅦ㉣㝢㌳㠶㠰㔸昶㉥㐲㘲㔹㥢慢㘵慤慥㤶㜱〵㑢捡㜹ち慡㘰ㄹ㐷㈰㠴㍣扥愷㐱㑤㍦改㠸戶挵㍡扡㤲㘸㘶戸㑡㉣摣ㄱ㑤戵㜷㜲慣㑣愵㡣㈰㍥愱ㄳ昱㍤㔳ㄲつ㈷㤳㤱㤴㤱㠸㈴摢摢つっ慡㤱慥㤴ㄱ㌷㍡㈲㐶㕢戲愳㈳搴摥㠶㙦挱㐱㤴敡昵㉦㐱昵戳㈰〱㘵戳㝥㐵搶㜳㘴㜱㌱っ㍦づ㈹挵挹㤲愰㌹摢㐲㤳㘶敢ㄷ挰搵㉦㠲昸〳㍥搰㥡㘸㌶摡㠹攲㈷㑢㤸㤵㙦愴攸㔷挰㔷戲㠴挵搸慢㡣㈱㈰㘸㑥㐰㐴搰摣摢ㄵ捤扤㕣搱攴㐲㤶㔴攲㜵〴㠰㘶㌳晥昰ち㑣戲〳㉤㜶㠰㉢㔵扣ㄴ㔷㥤挴戲㘹㤶㘵攲㈷㝦〶㔷晦〵挴ㅦ攰挲㔳㑤换愶摢㠹㘲ㄹ㕦づ㌱㍦づ昵て昰搵っㄲ戲摥戲〲㘲搹㍥㠸㠸㘵㑤慥㤶昹㕣㉤摢ㄷ㤹愴ㄲ敦㈰〰换㘶攲て慦〰㔷㤲㈴戰㥦ㅤ搸摦ち愸〳ㄱ㄰换ㅡ㉣换愴㉥敦㠲慢㜷㠰昸〳㕣ち慡㘹ㄹ㤷㠸㈴㔱㉣攳㕢ㅦ收㜷愸㝣㌰㐲ㅤ㠲㐴搱搶挸ㄸ搲挴戲挳挰ㄵ换摥晥愷摢戳挲㍦挰慤㝥㘰攳㘲㡦㤴㌳〱㍡㘰ㄹㄷ㜶㜸〵戸戸㈳㠱戹㜶㠰慢㌹扣搴㔱〸㠸㘵㝦㠷㑡摥户㔹扣㙥〶搵㤳㐰晣〱㉥捥搴戴㡣㡢㌶愳㤶㥤捣慣㝣㌹㐴敦㠵慣㑡搶㕤ㄸ㥢挱ㄸ〲昸攳㔱ㄱ㘴ㄱ换晥攰㙡搹㉢慥㤶㜵搸攵捣㠴づ㔸搶㠹㌸㌵晡㍥㠰戸搹户㔳㠹㔰㕢㍣ㄹ㡥㈵㘲挱㐸戸㈳㤵㠸户㜷挴愲㥤㕤㕤㙤戱慥㡥㔰㈲摣ㅥ㤰㠵ㄹ㔶㘷㍦攴〹㜴㔹ㅡ昴晥㡣ㅤ㙤挷㤸愶收㈳㈶㤸晣挶挲㐴摡攷㐰㈴改㠳㐰晣㠱〵㄰愸㠹〹ㄷ㘰㐶㌱㠹戳挴ㄸ挹ㅣ慡敥㐱愲㘸㥢换ㄸ搸昸㠳搵㐹㜰〵㤳愷㕤㌱㜹搲ㄵㄳ慥愴㐸㌹㐷㐱〷㌰㔹㡣㌸㝥㍣扥㌶挴㑤㑣㍡攳愹㐴っㅦ〹㡣㜴㠵㤲攱慥㤸ㄱ㡦攳ㅢ㕤㙤戱㐸㉡㥥㠸㜷㐴㔲㌱㕦戰㈴摡ㄱて挶摢㍡㈲搱㘴㐷㉣㡣㕢㘸㈴㤶っ㠷㘲昱㘰㉡ㅡ㠹㈷㍢ㄳ昱戶挰ㄲ㑢扤㙥㐷ㅥㅤ〲〹昴摢慣㌰㔹ㄱ戲戸㈸挳㑡㡣㑡愹攳㄰ㄷ㌴㝦散㐴戳㡢㔹㡥〶昱〷戸摣㔲ㄳ捤攵㜶愲昴㥤㌴㔵昳攵ㄳ扤〸㔹搵㑡㈴ち㥡扤㠸攱㐷㝥〳㥣昷㡢扥㍥戰昴㘲㤰收扡㠰㍤敤㔷㌲ㄳ愷㠶ㄲ〷㤱〰攷摥㤲愷㥦攲昵㕥㑥ㅦ㡦愹晤〲㠱㘳ㅥ㌷ㄷ㡢〴㘵㥦愶㕡㡣㑦㑤昱㈹搹㔳㡦〳㑡收〱㠹㠶扡愳㜷㑦ㄷ㘷㍣㍣搵挷㕦敦晤挰敦扦愱㠷㐰㡤捥㠱愸昱〰晣敡〱ㄸ慣㑥㐳㝤昷㘶散㈲㤲㡢㐹㠸户晡㍡㡡㜴㝤㍤昲㙢㔶㐲攵㤷㐵〲㥣㡢ち㤰㉢〵㐸挵戹㈳挱㔴㕦㐵づ㕡㈰㠵ㅥ㡦挴ㄶ〳㙣㉦㑡愹㤸㜷扦挱㐷〴㕥摤㐲㍤㑤搶摦㐰㜷㑢捡捥㜱慡㍡昰慡ㅥ敦㙦捥慢晣㜰㡣㜹㜲晣搱㠵㘷㑤攳㜹搹㑦㉤㔴㔹攴ㄸ㌵散〶㘸㌴つ扢戳㤶㘱㕦戲ㄲ㉡㕦㝥て攴愰㐹っ㕢㘷ㅡ挶昹㤸ㄸ昶㐵愷㘱㈷㈲搱扢〵㐹慥愷愲㉢扦挶敡晣㠶㉤㔱㤸㥥ㄹ㈸㘰㈵〰㥦㐷㕡㤳敢㈹㝤㐷㜷戲扤㐲㌰搷晥㌴搳㈱愳ㅣ晢昵〳㍢摢捡㝣㈹ㅦ扥㌴㠴戵ㄳ㈴捣攵㠷㥣愶㡦挶ㅣ挷㜵㘶㡥㜲昱慥〹㑥挰ㅢ㐹㕢㘳〱摢愱つ㜵昵慡昲㐴㥢㥣㉥戶扥愳挳㤹㍣戵攱摢㙡〳挹愹戰㘰愶换ㄱ扢㐵改愲ㅣ㔱攵〹㘴愵㌹㙦昵㥤っ㤸㝣昳㘷㉦㥥ㅤ〹㜹㙦〵㝥攳㉥愳摣㠹㔹㈲搴㘱昱敦㔴㈸㔴㕢ㄱ㈶昶㑡㡦戰㤰愱㔲㈱㘱㜵㌳ち㘱㐱㙣㐱扦㡥㔱㝡ㅢ㘴挸挲ㅦ㡦㘲㠷戵搳㕢捥㐱㘴搷ㅣ昳㕣㍢㐷㉤挷㝣昱㑣昵挶挶戳㈶㜵挷ㅦぢ晣昰敥㐹㤱㙥㜵㌱㜲戸㌹收昵愸㤱㙢㡦晢㡣㤵㔰昹㔱㠲挰㈵搰㈴㡥戹〱㔶㌵搷慢换㄰ㄷ挷晣㌴㜲㤴㝡㕣ㅡ㠹㉤㤷摢搵㠴挹㡥㙢㡣ㅥ㜷㠵㥤愳㤶㘱㈱戹ㅥ㕡㜸晦晥㍣愸㝥挵㐲㜵つ㜲戸ㄹ㜶㜵㉤挳慥戲ㄲ㉡㍦㌶㄰戸ㄶ㥡挴戰㥣㘹ㄸ㘷戶㘲搸㤵㑥挳捥愴㘱㥦戵慢改戰ち挱㌱っ扢搱捥㔱换戰慡愱攴㌶攴㜰㌳散戲㕡㠶㝤捣㑡愸晣㠸㐰攰㜶㘸ㄲ挳戶㥡㠶摤㠹戸ㄸ昶㔱愷㘱摢㤱愸扥㠲㈴搳愵㌹摢昵㥤〵ㅥ晡㑤晦散㐸㔰㕤〸㘱摢㘵晤晡ㅣ㑡摦㕤㤲扥㡢搲攷㤵愴摢搴昹㤶㌴昸攸〰ㄷ㔰㥡戳搹㔲〷攰慣搶搶搶㜲㉦㈲扢搶〱敥戳㜳搴㠲搳㝣换㘷㑡户晣㝤㈵摣慤扥㠳ㅣ㙥㜰㥥㘵愱㔶昵㐹㠲て㔹〹㤵㥦㈴〸㜰㔲㉣㜰㕥〲慢搰〱㌸戳ㄵ㌸户㈱㐷愹〳㕣㡡挴㤶㠷敤㙡㡥摢㑦㝥㘴攷愸㘵㔸㔵〷㜸ㅣ㌹摣っ㉢搴㌲㉣㙦㈵㔴㝥㙡㈰昰〴㌴㠹㘱㥦㌰つ攳挴㔶っ摢散㌴散㤳㙣换㕦㈲挹昴ㄳ捥㜶㝤㔷㠳〷㍦㔹㠲昱㔵つ㐳搸㙥㘶扣㌱㐷改㘷㑢搲捦㔰晡摡㤲㜴㔸㙤戴愴㔹慥㕦㕦㐷改㕦㐱挶㔶愰㥥戳㈲㑣㙦㜹〱㤱㕤昳㤳ㄷ敤ㅣ戵攰扣敦挳㌷㝤㍤㝦敦挴敦戵晤昶戰昷摥㜸昱愰㙥昵ち㜲戸挱㤹戰㔰慢昲㤳戸㤵㔰昹攱㠲挰慢搰㈴㜰摥〴慢攰㈷慦㈳㉥㜰㥥㡥ㅣ㈵㍦昹ㅣㄲ㕢㌸㘷摤㌵挳晥㘲攷愸㘵㤸㌹㥥㍣㘰㍤㥡㕣戸㔰晤〳㌹摣っ㍢戹㤶㘱㈷㔹〹㤵ㅦ㈴〸扣〵㑤㘲搸敤愶㘱㥣搸㡡㘱敢㥤㠶摤㐱挳摥戵慢㌹敥づ戰挳捥㔱换㌰㜹搴㥡㔶昷扤㝦ㅣ㝥捡㈷㝥㜰敦㌱摤㡡搳㕡㌷挳〶㙢ㄹ戶摡㑡愸晣搰㐰愰ㄱ㥡挴戰扢㑤挳㌸慦ㄵ挳㔶㌹つ扢〷摣ㄶ捥㔸㜷慤挵㌸扤㤵ㅣ戵っ慢扡〳㜰㔶敢㘶搸㜱戵っ晢愰㤵㔰昹〱㠱〰㘷挴㘲搸㌷㄰㠰㉢㜲㕡㉢㠶㉤㜵ㅡ昶〰戸㡡㌳㔲戳㘷㜳慥敢晢ㄶ挹晣搹扤戳挳ㅤ慡て挲昶㤸敤搷て㔲㥡戳㔹㥢搵挲ㄹ敢慥㘱挲改敤㤸㤸㤸慦愱扤户昰摦摥㍣敤㤶搷扥㝥㘸户攲慣搶つ㤳㠵戵㌰㔹㘰㈵㔴㝥㔳㈰挰ㄹ戱㘰昲㄰〲挰攴㈸晣ㄱ㑣㡥㜵㘲昲㌰戸㡡㔳㔰ㄳㄳ捥㜵㝤㡦㤰捣㥦摤挷搱㉥㙡㘱〲慦挵昸昵㈸愵㌹㔷㌵愵㠳ㄴ晣㘹㐹㍡慣挲㤶㌴换昵敢挷㈸捤戹㙣㘹戴攳㥣戶〴㘷ㄷ㈲扢〶㈷攷户㘳挲改㤹㜲摢摥ㅦ搹昱昴挲昵て扥敤扦晣㤳挷㜶㉢㑥㙢摤攰㍣捡㐲慤㙡戴㙢戵ㄲ㉡扦㔰㄰攰㤴㔸攰㝣ち〱晤㌴挹㌳㈰㝥挵㔹戱攰㍡〷㔹㌹散ㅤづ攳㥢㜰昴㤱㌳㘵㐹㌸挲㑡㌸〲〹晡㔷攰㝡晢㐱㜶昶㘶㠹攳㉢搴㝣扤摡㥢攲戶搹㠴㤴挹收㐴㔶㕥㘳ㅦ㤶㕤摣㠹㜸ㄵ㉢㡦敦㐰㉦挳摢㠵㜸〱ぢ晦㑤㠷戵攷㠹户づ昹㡥㠰晤戲㡦㤶ㄸ㌳晢㔲㉢昳㜸晢愷㌱㌵㔰挰㍢㡣挹㈶㝣㘱戵㠸敦㜲㘷昷㠴〳ㄵ搸㔷㙦愰扦㘱捡捦㉦て搴戹㙥㘹㜳慦摡㜵㥡挳戵㠴㐲敢㈸ㅥ昶换扡㜵㝣㠳㙢昷㡥㔳昸㥥㐳㝢戵㘰搲㈷晦戵换慣㉤㥣〷ㄶ敡搴愱㘸㔷㔹㌵㝣扤㝤㥦昷愴扥㤸㍤改攷㈱㉢㔳㝥㉥㕦愳〳愰㈳扣㐰搶㌶㐴㠴㜸扣〳㠸㔷ㅡ挵挳〵㑢㤸愳攲㌳挶ㄳ㈶搰搲挱敢扥搹晤㙥攸搴ㅥ戵ㄲ㔹改㍤扥㕦㠳搸㠷攰㤲㡥ㄷ㘶ㅡ搴㉣扢㕡㥥昳㍤愳搵晡㉤㌳扤〴㔲㡦㥤㔸㔹攵㤱慡晤づㅣ㐷搵搴昱㠸戳㝡昶愵搶㈱㈲〵晥ㅥ㠱搲㈹愷昲ㄲ昷㜵㉤昱㔵㘴搰㉣㜱戴戴搷挸ㅡ〵㐲㥤㠸戸戳戴㠶㔳挱ㄸ㙢捥㑢㙤㡤㤹愱ㄸ晦㤷愵愶捣㄰㍥愷扤愱戸戱昴㍦㉢㌵捡㌷㥦昵敢㤰㈲㤲晣㔵㌱㐴愸㔵晦挹挹摤㠰㠸㔸昵㘷〴摣㘱㥣攲㙡搴㕦愹慡摣愸㌷挹㜲ㄸ㤵㐶摣㘹㤴捡㠱㈱㠵晤つ〱昷挲㈶扡ㄶ昶ㅦ搴㕣㕥搸㕢㘴㌹ち㍢ㄳ昱戲挲戶㠲㈱㠵晤㈷〲㌵摡换攷㕡摡㍢㔴㕤㕥摡扢㘴㌹㑡摢㡥㜸㔹㘹攷㠰㈱攸扥㠷㐰〹昳ぢ㙣㉥㐷捣ㄲ昷ㄲ㜰愵㘶㝣〹搳ㅤ㠶ㅤ敦搸敢昰㑥搷攵㜷扢㉢㉡挶晦愱挷㔹戱㑢愱扢慣㘲㥦戰ぢ㙢㠴㘴つㄸ摥㜶㉤㡤晦晤㔶㐵㘹ㄳ㉡㑡晢㘴㘵㘹㥣〵〸っ捤㤰㉣ㄹ㝣㥤捤㥤攴攴昲㘹㔹㘰㘸〱搷ㅤ㠶㌷㕣㉢㌶㤹戵㈸㙦㥦愹㘴㌹摡攷㜳㤵ㄵ扢摤㉥㙣㍡㈴㙢挰昰㐷搷搲㘶㔴㤷戶㑦㐵㘹㜷㔴㤶㜶户㕤摡㑣㐸扡㥢昶戲㙢㘱晢㔵ㄷ㜶㐰㐵㘱昷㔴ㄶ挶㐷㍤挱昱㐰㐸搶㌰敤㐵搷搲づ慥㉥敤㤰㡡搲ㅥ愸㉣敤㐱㌰愴㠵て㠳㘴愹㠵昹㘸㈵㜵㌸扣㜶ㅤ㥥㜵慤挳㥣敡㍡捣慢愸〳ㅦ捤捡㝣晡㔱扢づ慤捥㍡昰㈹㑢㙡㜶㤴㤳换愷ㄴ㜹昸昸㌹㡡攷㔳挹戱ㄸっ㥢敡㝣㡡㑦㉥㤲昰㠴㤵挰㤷㘱㥢昰ㄶ㌴㥦㘶㈴攱㜱㉢㠱敢挶㍡〴愵㉤㝣㘶㤹㠴㔸攳㉦敡昰㝦㌹㌴㙣慤㥢搲㌰㔲昷搷扡㌷㍣摣ㄳ晥㜷散ㄲ昸搱愵扤扣昱㡤晢㡥捣㠵挷摤㍣晢ㄷ㐶㤵搴ぢ㈸㡣㍡㜴挴㘹㌵㙦㜲㜲晦敤愰っ敦㙤㈲搳挹ㄸ㠴攵昷㔵㕢㈶㑡敥㙢戶㑣㤷㐳愶㠵㜷㄰ち㌷攱慦愷㠵㜷㡥㔲㑣昱づ㈰㘵ㅣ捤ㅣㅣ晣㤹愶㡦㜱攴㔷ㅣ戸㐵收㔸㜲㌹㘶㡢捣㝣愷捣㍢戶捣〲㜲摦戵㘵ㄶ㍡㘴㕡㌸慡㤶㑡㙥攱㘸㕡㡡㈹㡥㡡㔲㐶㌷搹ㅣ㄰愵㡣ㅥ㉢挰㠸攲㔸㈶㌲㡢挸攵㌰㈶㌲扤づ㤹ㄶづ㔹㈵慤㉤ㅣ慡㑡㌱挵㈱㐷昲昷㤱捤搱㐶昲㉦戶〲㡣㈸づㄴ㈲戳㠴㕣㡥ㄱ㈲搳敦㤴㘱晦ㄶ㤹愵攴戲㙢㡢捣㠰㔳㠶扤㔲㘴㍥㐸㉥㍢愴挸ㅣ攷㤰㘹㘱攷㈳㔷摡㐵戱て㐹㡥㘵㘴戳晢㐸㡥攵㔶㠰㤱ㄶ㜶㤵㔲㡥ㄶ㜶㤱搱ㄸ㝤㝢ㅤ㠴敡戶愹挴改挹搳㑦㝦扢愵㘱搶扥つ敢扢㈷㕥昷㥢㥦扣㜴搵搳愷捣㝦昵㥦㌷摣昰昴换㔷晤散㥦摦㡥捦㝦攴㤶㕢㝥昸挱㥢㝥昶搲㤴搴捤㜵昷扤扤散收戳㠳㥢捥㍥㌳㜵挲㥣晥戳㑦㍣攳昸攰慡挹㜳敢敢ㅢㅢて㥢晡攳扤てて㥣㝦收晤敡晢捦捤挸㉡昱㔴ㄴ愰㔷愰㈴晣㜸昸㈰ㅦ愰挷㌲愲㔷㠲敡㔵㈰捤㜵㑡ㅣ㤶㑣㝢ㅢつ㘱㑦㠰㡥㉢愲慢㈹㔵慦挴㘵慢愴攸扡㈲戵挶㤴ㄲ挷慣㤲愲㠳㡡搴㕡㔳㑡㕣戳㑡㡡㉥㉡㔲敢㑤㈹㜱捥㉡㈹㍡愹㐸㥤㘴㑡㜵攳㡦㘰㕦㔶㝢扡愲㐸㥤㘲㑡㠹ㄳ㔶改愲㌳㡡搴㘹愶㤴戸㕡㤵ㄴ㕤㑥愴㑥㌷愵挴搹慡愴攸㜴㈲ㄵ㌷愵挴摤慡愴攸㜶㈲㤵㌴愵挴攱慡愴攸㜸㈲㤵㌲愵挴挹慡愴攸㙣㈲戵㔱愴〲㙣改㈶㑡愵ㄱ搰㘷㤰㙣㈲ㄹ〶㘹㙥㔰㙣㜲ㄹ㘴慦戶〶搹㐵㤰攵㘴㤱㙥㈰〹㔷㔹〹摣摤搱㌹㜰ㄵ摢㕥㤲慥㉣换㠳㤷㔹散㠴㑦㔴㈴戰㠵㈵挷ㄵㄵ〹㙣㔴㐹戸扣㈲㠱敤㈸〹ㅦ慦㐸㘰搳㐹挲㘵ㄵ〹㙣㉤㐹昸㔸㐵挲改㜶挲愵ㄵ〹㙣ㄳ挹昱搱㡡〴㌶㠳㈴㕣㔲㤱㐰攴㈵攱攲㡡〴㠲㉤〹ㄷ㤵㈷㜸㠹晡ㄸ㥦敦ㄹ㥤ㄵ㑡ㅢ㘵昸挹㌰捥て晤㤹挵搹ㄱ昳㍦ㅥ昱㘵昸㐱㥤散㘴敢慣晡摣㤲捣㤴ㄲ愷㈴㍢愹挴㤲㍣晢㤸ㅦ挶攰㝦攳㐲㤱戹愳㑡愷㔷愶㠸㍣敡㡡ㅦ㡦攷愰摡㥢搹㜶〵戹扤摣愴挶㉤搸㘴㝥㍤晦㙣㔱てㄷ搲愵㄰换㔳㡡㝥㈹づ㝡づ〲散戸㑡㤷㐲ㄲ㔵㜴㕡㤱㌸ㄷ〱摣㠵㈰㔱ち㐹㔴搱愳㐵攲㍣〴〸愷搲愵㤰㐴ㄵ扤㔷挶攷昳ㄱ昰戲ち攳㌰㠰挵敦收㠳挱〵㈸㐱搱づㄶ愵㍦捣ㄸ敢㉣戱㡦㌰挶晡㐹散㐲挶㔸慢戲㐱㑢㉣ㄷ㈵愸㐳搹㐰慣㐴㔹ㄵ㔷㤴㤲㝢戱愵㑡㌴㠸㜲㜲㉦㜱㜰〳ㄴ挱㡦㐷㝦ㄴㄴ挷㑢㤸㈸昱㑢㈵敥㈵㝢っ捦㌵扦愰㐷㜷攰愱昲收㡣昹晤〷搹㙤挶㝦㉣㈴晣㔱㜷戳㝣㜸ち搹㜳换㐴晤㈶㡢戴挵っ㤶㥣㜹㠲㤵㐴敦摦㔵㑦㙥㐴攵昹㡢㈵㠶晤挷㜶㘶搳㤱挷㈷㘵㜹昱挷愰搸捦㐷㙥愵㐷㠳ㄲ昷ㄲ扢㈳㙢ㄷ㔸晡搲㤹散攱ㄷ㘸攰晦㜷攸㕤㐶昴搸㌲㑡㡦〶㈵摥㐲㌴改戱搶㠱㤱㌷ㄶ戶㔰㠲挸晡㉡㍦㤳㌶攱晦〲㜴㈳㤱攵</t>
  </si>
  <si>
    <t>㜸〱敤㝤〹㜸㔴㐵搶㜶㔷㤲㙥㔲つ㈴捤攲㠶〲〱㡤㈰㘰捣扥愸ㄸ㐲㔸㤵㑤挲攲〲挶㑥搲つつ㔹愰㍢〱攲〶愳愲攳敥愸攸愸㈸敥戸攳㡡换愸㠸敢戸㌲㉥攸戸㡣攲㠲攸愷㌲攸愸㌳愳愳㝥敦㝢敥扤挹敤摢户戳昸昹㍤扦捦昳㝦㤷捥愱慡捥愹㜳敡扣㔵户敥扤㔵愷㙦㝢㤴挷攳昹ㄹ〷晦攷㤱挶挴㍥㔵慤戱收㔰㐳㑥㘵㔳㝤㝤愸戶㌹搲搴ㄸ换愹㠸㐶㠳慤㔳㈲戱收㔴〸昸慡㈳攰挷扣搵戱挸〹愱昴敡㘵愱㘸っ㐲㕥㡦㈷㍤㕤愷㠰扦㤷昹ㄷ戰㌲㥡戵㜴ㅡ〹愴㍣摡㐷搲㠳㈴㥤㐴㤳昸㐹㝡㤲昴㈲改㑤㤲㐱㤲㐹ㄲ㈰改㐳搲㤷愴ㅦ㐹㝦㤲摤㐸㜶㈷搹㠳㘴㑦ㄲ摡搷〳㐸昶〶改戵て挸慣捡戱搳㙢ㄶ挱㥢慡收愶㘸㘸㔴搶ㅣ愳捤愳昳昲㜲昲㜲ち㑢昲㡡㜳㜲㐷㘵㔵戶搴㌷户㐴㐳愳ㅢ㐳㉤捤搱㘰晤愸慣ㄹ㉤㌵昵㤱摡㈳㐲慤戳㥡ㄶ㠷ㅡ㐷㠷㙡㜲ぢ㙡㠲㠵愵㜹㠵㐵㐵攱戲戲搲㕥〳愱㜹㕡攵搸ㄹ搱㔰㌸昶㙢改ㅣ㐴㥤搳㉢挷收㑣ぢ㌵晦㕡㍡〷㐳㈷㔴㡥㙢㙡〸㐶ㅡ㝦㈵愵㕥昶㘹搱戸㔰㙤㠴㥤ㅦち㐵㈳㡤ぢ㜲搰散㌸愰㤱㉢挹愹㠸挵㕡ㅡ㤶㜰ㅣ㔵㠶敡敢㘷㠶挲搲改つ攳㘲捤㌳㠲搱㠶㔸慦〶攲ㄷ㡡㠶ㅡ㙢㐳戱㡣㠶昱㉢㙡㐳昵愶㘰㉣扤㘱㑥㌰㍡㉤搸㄰㑡㘳㈲戳挱攸挳挹㜵愱挶收㐸㜳㙢敦㠶搹戱搰捣㘰攳㠲㄰㐵扣つㄳ㕢㈲㜵㉡㉤つㅦ㑦敡㌰户㤶㐹㐷愱㍤つ㤵ぢ㠳搱㘶挹戱ぢ昳摣㘴㙤挳㐵扣㠸㙢ㄷ㠷㔴㤶愳ㄶ晢慣㉡搲㜰㐴㈸摡ㄸ慡愷ㄱ昶攴㐸㠷㤰〰㘴昴㐳ㅢ㔲㤶㍢散㈵搵搳㍣昹攸ぢ慤昸戲㐰㐶㑦㙢㡡㌶㘰㐰㑥つ〵ㅢ㐷攷收攴㤶ㄵㄷ攵ㄶ㤷ㄶ攷ㄷㄵ攷ㄵㄷ㤴收ㄷ攷㡦慡㙡慥ㅢㄷ㕡㐶㕥〲戳㔸て㠱ち㍤㤴捡昶〵搹愳㜲挶昴慣散慣愶㜰搶㤴愶挶〵〷㌶㠷愲つ㜰愵愶㔹敦㐷戱㙣㄰㤵昶㌶收〴㝢㑢㜸㕥愶㔴〷㔳慡㙢㔲慡㙢㔳慡敢㔲慡㐳㈹搵攱㤴敡〵㈹搵ぢ㔳慡㈳㈹搵㡢㔲慡ㄷ㐳挶㍡搲㝢昴㐸㌱㡦㜹㈹㐷㝦摢昳戵㝦㡥扦晦㤶㥦㉥㝣攰愸㍦㙥㔵㥣〶㘴ㄶㄹ㠶挴㈱昱㥥攵攵ㄶ攴㤷㤵攵收攷ㄶㄷ攴㤵㤵ㄶㄷ㤵搸ㅣ㑢攰改攱㔰愰て〰昱㡤〰㐹㥢㕢㔱㔹愹㐷戲㙣ㄴ㠸㔲慦挱〹㍡昲昴㌹ㅢ搳敥㥥ㄲ慡㍣昵晡戵㍢㙦㌹㜰挵㐰挵㌹㐸㕡㤰㠳㐴戹扤〵〷ㄲ挰㈲㑣〷㐵㘵挵戹㜹㜹㘵㌸搱换ち㙣㙤㐸㘰收㤷攸㠳㘸㌱ㄷ挴㤷〷㤲㌱扤㜲戲㠱㙥㔵戰㍥ㄴ搳昹攴ㄶ㠰㈸昵愲搹㥥攳扥搸㌱㝢攲晢㈳挶㕤戳搶㝦搶摦搲敦㔰㡡搳愱戴愷〸㠹㠴扥捥㉢㈸〶㈸㈵㈵〵㠰㈳户㉣扦挸摥㥣戲㜸㘶㕥愹㉥愶扤ㄲ㄰㕦㈹㐸挶戴㡡慣晣摣晣㤲慣㠹搱愶攵捤ぢ㜵ㄹ戹〷㠳㈸昵戴搹㥡㔳㕢㙦摥扥㘲挹搷ㄳ捦㉦昱㝥㜵搴慤㝢戶㈸捥换搲㥡㐳㤱㈸戳愳㠳戹㌲㍦㉦て㍤㤳㕢㔲㤰㕢㕡㔰㔲㔲搶摥㤶㍣〷慢㔴㡦愶慤挳㐰㝣攵㈰㐳㈷㡣㌷㘰ㄹ摢ㄲ愹慦挳㕣ㄱ换ち㌶搶㘵㑤㙥㔸ㄲ㙤㕡ㄶ㙡挰〹ㅤ搳㘳㔸愳〲㐴愹挷捣搶㕤㌹晢昹扡㐷㙥晡扥昲㥡戲慦㙡㥥㡥捣晤㔰㜱敥㤰搶㔵㈲ㄱ搷㜷散扡㤲愲戲戲晣㤲㤲扣愲挲㘲㜴㘰㘱摣昸㐹攴ㄶ改㜱戴㌸ㅥ挴㌷〱㘴攰攴㐶㥣つ㡤㐱㑥㔵挱晡慣㔹㌸㌳㈲㑣㤸攰㑤愴昰㈴㄰愵ㅥ㌰㥢搷晦㔲㍤㜷㔷㝡散㠸㜵ㄷ㙣ㅤ晤慦㥢攷㑤㔶扣㤴㐹昳づ㐷㈲愱㜹㠵㜹㐵昹戸㝡㤴攴攵ㄷㄴㄵ攲挴㉤㙣挷㉦㌷㌷㌷㠱慢㡦愰挵㈹㈰扥愹㈰㝤搱㤹捥㌶㑤愳挴㜴㄰愵敥㌲摢戴愱摦扦㌳晡摥昰敡㠴戵戳㤶捤晥㍡㝦晤㘵㡡㔷㔶㘹搳㤱㐸㈴㥥㜰㜹愵挵㈵愵戹㈵戹〵〵㘵〵昹㡥ㄳ㉥㡥㔷慣㘷搲㕡ㄵ㠸㙦ㄶ㐸挶昴㘹㔳散㐳㝤㌶戹㜳㐰㤴扡挵㙣换敤攱摡搵㡦㙥ㅢ㍥昵扡㌱㘹㝢㝣晢㙤敢㘶搵ㄳ㙣㘹换㔱㐸㌸㠷㝡㘱ㄹ㐶㔵〱㑥扥扣晣挲戲㔲㥣晥㜶㜸㥣捣㘲㝤㌴敤ㅤ〳攲㍢ㄶ㘴慦昸捥戳㡦晡㜹ㄴ㥣て愲搴㜵㘶挳㡥㌹昳愲㥦挶㤴摣㔱㜱㘵晡㡣搳摦ㄹ摤㌴㐳昵〲㕢ㅡ㔶㡤㠴戳㘱㈵愵愵愵昹㘵㤸㘷㜳㌱慥ちぢち散㈸攵㍡㤸㠵㠵晡㜸愸搰㐱㄰㕦つ㐸㐶攵攴㔹㜶㤸㙡挹慤〳㔱敡㑡戳㌵㌷㕣摦摡攳扤㌵愳愷摦戹攷㐵捦昷昸换昷㝦㔴扣晢㤱搶㠴㤱㌸搴㝥づ㘲㠶㉡㈸㐶㙦㘱㜶㉣㈸捤㉤捡捦捤捤戳挳攴攴㤵敡〵㌴户㄰挴ㄷ〱改㕦㌱捥㘸换㠴挸㡡㔰㕤ㄶ㉥捤㈱㥣㜸㡢㈸戳ㄸ㐴愹㑢捣㈶㥤㜹晥㑤㥦㍦㔸晣晡㠴㉢㈶㉣㍦敥攲扥ㅢ昶㔱扣ㄷ㤳㈶㌵㈰攱ㄸ㐵昹㤸㥦ち㡡㌰戸㑢昲昳ぢ㑡ぢ㑡敤昸㌸㜹愵扡㤱搶㥡㐰㝣㑢㐰捣㈹慡挰㍡换㤶㤲ㅢ〵㔱敡㍣戳㉤㕦㘷慦㑢扤攸攲㑤㘳㔷㤷㑥㝦攵慣捣㕤㔷㉡摥ㄲ㑡㕢㥡㤱搸㝢㜶㘳㈴㡣敢攳愸愹㤱挶搱㠰愷戰㜴搴搴攰ち愶昲ち㜵ぢ戵㉤〳昱㉤〷改㘳㍡㡦㕢慢慣挹㡤戵㑤つ㈱扤㠲〲慤㈰㑡㥤㘱㥡㥢攷昵慤㝦散昹㡦愶㥦ㅢ㝤㜰昷户收捦慡㔱扣昹ㄴ㜳㈷㈲攱ㅣㅢ昹挵〵戹戸㌴攵收ㄶㄴ收ㄷ㤷㘰散摡〷慤㠳㔹㔸愶㑦愲扤㤳㐱㝣愷㠰昴ㅥ㍦搵㍥㌴㔶㤲戹ち㐴愹㤵㘶㘳晡捣㥤戰昳敥挳扦㥣㝡改昷晦㌸㜹搵㈷敢摦㔷扣〹㤶挶㥣㡡挴〰㠷敦㜹㠵攲㍢愶挲〲㝤ㅡ昸晡㜴㄰摦㙡㤰扥㌳㘶㔵搹㑣㘵つ㉦㍢㐰㥦㐱㠹㌳㐱㤴㕡㘱㥡㍢攸㠱㘳㘲㡦㐷扣攳㑥㥦㌴攰昸扢扥慦㌹㕣昱㜶㕢捣㥤㠵挴挱㡥㤱㤸㔷㔴㕡㠴㑢㐱㐱㔹㝥㐱㘱㐹㙥㤱㝤㈰㍡㔹晡㙣ㅡ㍢〷挴㜷㉥㐸晦㡡ち愳㌵㘳愳扣っ㤸攳昰㍣捡㥣て愲搴㔲戳㐱摦㐴㕥㜸敡ㄴ㌵㜸捡㥡捦㉥㕦㝤㐳㔶捥㙡挵㕢㝦㘹搰㠵㐸ㅣ㘶㙦㤰㕣扢㜳㜳㡢㌹㜷攴攷ㄶ㤵ㄶㄶ收攵㤷摡㝢㈳户㈸㥥㕢愰晦㐰㠳ㄷ㠱昸㉥〶挹愸ㅡ㕢㘹挳㐸㕦㐲敥ㅡ㄰愵ㄶ㤹捤㌹㝢捦搲㐵㘵㝦㕤㍡收㡡挷扥㝤愹昵搶ㄵ㤵㕥㍥㠴ㄴ戸摤攴㌹敦ㅦ㈷攰戹愳㌶ㄸ㙢㌶㙦㙤㜹㤵晤㜵敦㝣㍢扦昱㥤㄰慤晤摦扦昱㠵㤱㕦攵挶㔷㕦㐶昴晦〸攲扢ㅣ愴㙦ㄵ㙥搹㐳㔹换㠲昵㉤愱㉣愳搷昵ㄵ㤴戸ㄲ㐴愹㍡戳㝦㘲慦㕣㜳摢て搹搳㈷㕥㌸敤晢敤㑦㠶㡦㕤愵㜶〳㕢㠶换㔵㐸㤴搸㠷㑢㕥づ敥昲㑡㡡㜰晢㕣㔰㔶㕣㕣㤲㘷扢捦攳晤㥦㥤愳慦愶愵㜵㈰扥㙢㐰㝡㡦㥤㘲摥攳㑤挱攰搵搷㤲㜹ㅤ㠸㔲昳捤㘶晣敥昱㕥ぢ㝢扦㥤㍡昶㥥昲㜳昵戲㡦㐶㥥慦昸㠴㉡捤戸〱〹攷ㄴ㔲㤸㔷㕡㕡㔲㔲㔴㤰㔷㔰㔲㤴㔷㔶㔰ㄲ㌷㠵㌸㤹昹晡㐶摡扢〹挴户ㅥ愴㔷挵㡣㉣㘳㌲ㅦ㕥㜴㠰扥㤹扣㕢㐰㤴㥡㘳戶攵昲攸㐹晤摦㍣敢挲捡〷㑦晡敥攳愳㉢ㅥ㝣㐱昱㐱㔹摡㜲ㅢㄲ㝢搹㈱挹戵㥤㉤㜹晡㜶敡扡〳挴㜷㈷㐸㐶㐵搵㙣搳搰ㄳて㘴攵改つ攴摥〵愲搴㜴搳搲㤴〵ㄳㅦ㝤㘳㔴㘴摡捤㡦㝤扦扥㘵搴㐷㝤搴㥥㘰㡢愵㝢㤰㜰㕣㌳ち㜲㡢㑢㡡昲换㌰㜳收ㄷㄶㄴ收ㄶㄷ摢㙣㍢㜹㐵晡㕥㕡扢て挴㜷㍦㐸晦昶㙢㝤戰戱敤晥㙣㈳㘵ㅥ〰㔱㙡㤲搹㈲晦㤶戹改户昴晣㘲挲㕤㘷昹㉢㤷㍥㌴戳㔲敤〵戶戴攸㈱㈴㥣晤㔰㠶ぢ㙡㔱㔱㙥㐱㘹㔱㝥㝥㘱㐹㘱愹㙤㐴攰戱㉡㥥㔹㔲慣ㅦ愶扤㍦㠱昸ㅥ〱改㕤㘹捥㘸挶㝤晦愳㘴㍥〶愲㔴㠵搹㤸戱晥㍥摦捣晡㘸挳戸挷㍣挱㥡扦ㅤ戳㕢㔰つ〰㕢ㅡ昳㌸ㄲ挳敤㔳㌹慥㕤㥣㔴㑢㑡㡡㘱㌶慦㉣㉦慦㌰捦㥣搸ぢぢ昴㘶㐸敢㈷㐰㝣㑦㠲㘴㑣㤹㌸捤㍥㘹㍤㐵敥搳㈰㑡ㅤ㙣ㅡ捥搸㘷晢慣㥥晢慤ㅣ晦愷㙢㡦㕡㍢昵慡㙢㠶愸扤挱ㄶ挳捦㈲戱㝢㥣㘱敢晡㔱慡晦㑣㐵捦㠱昸㥥〷挹㤸㍥㈵敥㘶敦〵㜲㕦〴㔱慡挰㌴愳㙦扤昵扤挹㐳㙢㈷㥦昳挹昳昳㙦晢挷散攷㝡扤っ昶㤱收昳散戸㘸㜰㌹敥晡摢ㄷㅦ昲㜳㌰㕦㜷㘵搵〵㡢㉥攱愲㜰㐹㌸㉦慦慥㈸㌷㔸㄰昴づ㠱摡慥㍥摥昳搲摤㉢㍣㌷搲㔸搷戴㕣㥥昷昷ㄹㅢ㡣㠵摡㘷挱㤱㈶㙦㙣㔳㑢㘳㕤㙣㙦㜷㘶㔵㜳戰㌹㌴挰挹㙢㔷㤲㔰慤ち慢㈱愱㤸搸ㅢ攴慣㌶㠷㌳㔸挵㡡㠸挱ㅥ攸㘰㘳㉤愴愹㈶㌹㜷㐲㌴戴戴㡤㥢搰愲ち㉣搶㉤ㄳ摤〹㕥ㅡ㉣愳㕤㔹㤵ぢ㥢㘲愱㐶㘹摥挸㠶ㄹ㤱摡挵愱㘸㔵㠸㑢㝤愱㍡㜱㜵㌷戲捣〵㤹㤱搳ㅢ攱㈸㤶㔸敡㠶摡㑢挳攳㔷㌴㠷ㅡ敢㐲㜵㘸敦㤲㔰戴戹㜵㔶戰愶㍥戴㝢㥣㠸㘱ㄳ㡣扤攲㡡㈷㌴搵戶挴㉡㥢ㅡ㥢愳㑤昵昱㥣㡡扡㘵㐱㉣〲搵㑤㙤慡ぢ㘱つ㈷㡤㠷㐷㜹㔲㔳㤵昲㡣㜰扢挶㔲㙦㉣㐷㍡挲搶挵〳搱攷㝢挶て扢㥣㤹昰づ㕥搴㠷㌸㈶㔳昶敢㐴㤹攸愵㥡〳㤲ぢ摡㝣攲扡㈸愵㠷㈷㤷㤶㌶戶昵摣晦慥㜰㑡㑡㍦搳晢昱换昰㕣㍤〹搷愸晡㔰戴挳㔵㕤挵ㄶ改㉤㈰摥㕣㥣捤㐹搱㑢㠳㠴㕡愱㕡扤换㈳㜵捤ぢ㝤ぢ㐳㤱〵ぢ㜹て㡥㤵摦昴㜴㐲㥢㜰攸㔷㔰愴㕦㈵㜹つ挴敦昷昸㕥愷㤰捦慦户ㅡ㜹敦㔰晣摦晤㈵戸ㄴ搴搲戲攴㠷昵搹㤸户〱昷㔷戱搴㔴㌷㉦㈷〵㘳ぢ㥢㌹㍣㍢㘶㔲摦ㅢ㈴㙦㠲㜸昷〳改㜴㠵㡦捦㈱㘹㕣挸散摤㌰㉥ㄴづ㘲昹㔸捥㙥ㄵ昴㌶ㄸ㉢㤲攳㐲戱㕡捤愵换挹㌸㔷㔶昸㤰挲挹摦慢㠱愳㍦戴愲㜹㕣戰㌹搸愳〱㡢愰攸㈵つ愱㤱㔲换㐸戱㘶㙦㈹戳㙡晢捤ㅣ㌴〴㈴㘹搳搲㔳ちっ㑤㌸㜱㜰扥㜸㔲㑤摡戱ㄳ㘸㍢敦搶㝣捥㠱ㅥ扦㤸㠹㌵搶扡㠹愱挶㔹慤㑢㐲㌱㡡愷晢㍡㠴搲㜹㝡㔱搹昴摡㥡搹捤㤱晡㔸づ㕡㡡昵㤴㤶㈵扦愶ㅥ敡搲㝦〵戱づ敦㌰㡣攲慥晢〴戸㍣㍤攴搶戲扡摡㤳㑥㙤㉣搱晢㤲㜰戴㐲搹捦昸㑦づ晤㉥晥昳㜷挴昳㘶㐳愲㍢ぢ扦㕥挸昷㙡〰㐲戳愲㈱㔹捡㑥㤷っ搰敥摤㌰户㈹扡戸愶愹㘹㌱挷㔳㠶攴㘲ぢ㐳愱㘶㉥て昷㌴㤷挳㘵搹㕢愹搴搴戸ㄵ㕢摢㍡昲㘰攸昷㙤〳改㕤㔱㕦㥦㘵㘹㡣昹㍥㐰㔱㉡ㄶ慡㝤ㅦ㈲㠱攷户摣㐲改㤹扣敡㉡㘳摢愷㌴慦扡㜲㘱愸㜱㐱㙢攴愸㤶敡愹ㄵ㌳慢㜱㜵㔸㄰捡捦㕡㥥㕤㄰㡣㐶㘲㡢㜳㔶搴挷㔶愸㠱〰㠷换慣〳㠳㙢挶㕤晢挵摦愶㕦戲㐷搳扦ㅢ摥戹㉡㑤敤㘳㌲ㄲ㔶㠰㠷挳摣㄰晣改敤㈰㙡〰挴㌸改㈰ㅤ㝦攸ㅤ挸敢㑦㐹㍥〳挱搴㈱㥤㠱㤹攳㜳㈳慢づ挰晦㥣㍤昴ㄷ㈴㕦㠲愸㤱㈰㍣㜷昵㑥㄰敢㔰㝤愰㥦㐳㐲扡㜵〴㡡ㄳ扢昵㙢㤴晡㜵〷㍣㌵ちㄲ散㕡扤㡤㠴攰㘹〲愷㝡㐰戱㉢〰㍥㤳㤱戰〰㝤㄰慡〹〰㍦戰㝥ㅡ挴摣〱昸㤱㌶㝥㈲㈱㍡㌶〰㜸㠲㈳慢㜲㔱㉣〰愴愰㐰愷㠲愸㝣ㄴ〹〰戲㤷㠷って昵挳㑦㌶〰昲㔰㤲〸㐰㍡㜵敡づ㜸慡〰昵摣〰昸ち捡㕤〱搸㘵㌲ㄲ㔶扣㡢愱㘹〸㕢搱㠷㑤摥〹㌱㜷〰晡㠱慤晢㤳散〶㘲〳㘰て㘴㝤㝢㤲ㄸㄷ㝥㘰㔱〲㝤㠲挵㕥㤴ㅦ〰愲捡㔰㈴㔸散㡤㥣㜵愸㡦敤㔸㤴愲㌸ㄱ㡢挱㤰昷敢づ㜸敡㘰搴㜳挳攲敤㘴㔸扣㘵㌲ㄲ搶摢㐷㐳搳㄰戶㘲㌸㥢晣㘶㔲㉣㐶㠰慤㐷㤲㡣〲戱㘱㤱㘳㘴搵㘱㔰㈲〰ㅣ㐴愱㕣㄰㌵〶㐵〲㐰ㅥ㜲搶愱㕥戶〳㔰㡥攲㐴〰㡡愸㔳㜷挰㔳ㄵ愸攷〶挰㔳挹〰㜸搲㘴㈴㉣改㡦㠳愶㈱㙣挵㘱㌰慡㌶㈷〵㘰っ搸扡㠲㘴㉣㠸つ㠰㜱㐶㔶㡤㠷ㄲ〱㘰㍣㠵㈶㠰愸㠹㈸ㄲ〰㈶㈲㘷ㅤ敡㐱㍢〰㕣昹㑦〴攰〸敡搴ㅤ昰搴㈴搴㜳〳攰捥㘴〰摣㘱㌲ㄲ㌶つ㡥㠰愶㈱㙣挵㉣㌶昹戶愴〰捣〱㕢捦㈵㌹ち挴〶挰㌱㐶㔶㑤㠱ㄲ〱攰㔸ち捤〳㔱搳㔰㈴〰捣㐷捥㍡搴㜵㜶〰愶愲㌸ㄱ㠰㈰㜵敡づ㜸㙡㍡敡戹〱昰挷㘴〰㕣㘶㌲ㄲ㜶㈸㘶㐲搳㄰戶㘲ㄱ㥢扣㈶㈹〰昵㘰敢〶㤲㐶㄰ㅢ〰㑢㡣慣慡㠲ㄲ〱㘰㈹㠵愲㈰㙡㌶㡡〴㠰ㄸ㜲搶愱捥戵〳㌰ぢ挵㠹〰㉣愷㑥摤〱㑦捤㐱㍤㌷〰㑥㑤〶挰敦㑣㐶挲戶挸搱搰㌴㠴慤㔸挵㈶慦㑣ち挰愹㘰敢搳㐸㑥〷戱〱㜰㠶㤱㔵挷㐰㠹〰㜰㈶㠵㝥て愲戸晢㈱〰㥣㠵㥣㜵愸㘵㜶〰㡥㐵㜱㈲〰攷㔱愷敥㠰愷收愳㥥ㅢ〰昵挹〰㔸㙣㌲ㄲ戶㕦㡥㠷愶㈱㙣挵愵㙣㜲㈴㈹〰㝦〴㕢㕦㑥㜲〵㠸つ㠰戵㐶㔶〵愱㐴〰戸㡡㐲㔷㠳愸㕡ㄴ〹〰敢㤰戳づ㜵扣ㅤ㠰ㅡㄴ㈷〲㜰㍤攴晤扡〳㥥慡㐳㍤㌷〰收㈴〳㘰戶挹㐸搸昱㔹〰㑤㐳搸㡡摢搹攴慡愴〰摣〹戶摥㐰㜲ㄷ㠸つ㠰㝢㡣慣㕡〸㈵〲挰扤ㄴ扡て㐴㉤㐲㤱〰㜰㍦㜲搶愱づ户〳㄰㐱㜱㈲〰て㔱愷敥㠰愷ㄶ愳㥥ㅢ〰㘳㤲〱㔰㙥㌲ㄲ昶㤷ㅡ愱㘹〸㕢昱〴㥢㍣㍡㈹〰㑦㠱慤㥦㈶㜹〶挴〶挰㥦㡤慣㙡㠲ㄲ〱攰㌹ち㍤て愲㤶愲㐸〰㜸〱㌹敢㔰㠵㜶〰㤶愰㌸ㄱ㠰㉤搴愹㍢攰愹㈸敡戹〱㌰㈲ㄹ〰〷㤸㡣㠴㑤慤ㄶ㘸ㅡ挲㔶晣㤵㑤ㅥ㤶ㄴ㠰户挱搶敦㤰扣ぢ㘲〳攰㍤㈳慢㤶㐱㠹〰昰㍥㠵戶㠱愸ㄵ㈸ㄲ〰㍥㐰捥㍡搴㈰㍢〰换㔱㥣〸挰㜶敡搴ㅤ昰㔴㉢敡戹〱搰㍦ㄹ〰晤㑣㐶挲㌶ㅢ户挶㠶戰ㄵ㍢搹攴㍥㐹〱搸〵戶晥㡡攴㙢㄰ㅢ〰摦ㄸ㔹㜵㌲㤴〸〰摦㔲攸㍢㄰戵ㄲ㐵〲挰㍦㤱戳づ㤵㙥〷攰ㄴㄴ㈷〲昰〳㜵敡づ㜸㙡ㄵ敡戹〱昰搳㡦㐹敥㡡㝦㌴ㄹ〹㕢㝢愷㐱搳㄰戶㈲㉤〵㑤晥〱㘲敥㜷挵㍥戰㜵て㤲㜴㄰ㅢ〰㝥㈳慢㑥㠷㤲愱㔴搴㤳㐲扤㐰ㄴ昷晡〴㠰摥挸㔹㠷晡ㅡ㌶摡㥥㡢㔶愳㌸ㄱ㠰㍥㤰昷敢づ㜸敡㑣搴㜳〳攰搳㘴〰散㌰ㄹ〹㥢㡤㘷㐳㤳〰㌰㠰㑤摥㥥ㄴ㠰㝤挰搶〳㐹〶戱㜵敤て㠶㔹㐶㔶㥤〳㐵㐳改捥㄰ちつ〵㔱攷㈱㉢〰散㡢㥣㜵愸㜷敤〰㥣㡢攲㐴〰㠶㐱摥慦㍢攰愹昳㔱捦つ㠰㔷㤳〱昰㡡挹㐸搸摣晣〳㌴〹〰戹㙣昲㤶愴〰攴㠳慤ぢ㐸ち搹扡㜶〰㡡㡤慣扡〸㡡㠶搲㥤ㄲち㤵㠲愸㑢㤰ㄵ〰捡㤰戳づ昵㡣ㅤ㠰㡢㔱㥣〸挰㘸挸晢㜵〷㍣戵〶昵摣〰㜸㈴ㄹ〰㝦㌲ㄹ〹摢愹㤷㐱㔳〷㙢晢㜱㍢㤸晤㈱ㅢ户戶摦㉢㍣㈱㔲㡦〸ㅥ㔹扥捤っ攳㍦㈳㌸㔱昲扤戹㘴ㅤつ搶ㅡ㘱㝦晤挳㤵㔸戵㐶㌴㘴㜳慢㉣捤㡡㐸挲慡戹昱㙣昹㝦㝢〳扦戹扤〱搹ㄹ㠸摢ㅦ攸㘰敤ㅤ㠳挶戱㍢搰戱戰㙤㄰つ挴㄰㜳㕤挹㤳昱㤲〳捤昱㠳㡣昲捥㘵㐷〹昹㙣㤳户て㐲㑡攷㈶摦㌳攰㘰㑦ㅣ愴慣㤴㜴㝤晥㘵㌰晦㙦㜷挳ㄹ戳㙥散㙥㑣攰㑣㌸㤱㘴ㄲ挹㘴㤲挳㐱搴晤收㌴㝢ㄶ挰攳ㅡ攲㜳㘹ㅥ捦㠵㘰㈰昴㡥㌲㔳㐹愶㠱搸愶搹ㄹ挸晡㡥〴改㠱㘵昱㄰㘲挵晤㑡晤ㄱ㌵㠶戲搶㑣㤴敢㉡㤰㕥戳㐰愶㑤ち搵㘳㠷散搷㡡て昷㕥〱ㄳㅤ慦改㘳摣昴㠵搰敥つ㔵慤㡤戵ぢ愳㑤㡤㠸搲攷㔶㐳㐵㉤〲慣㘳㉡攸㙢㤸搲㔴搹搲散㙢㤸ㄴ挱㝦扤ㅡ㘶㠶㤶㠴㠲捤㤵搸〱挵㍥挶ㄴ㠴愸挸㉥挵攴扡ㄵ晦㉦㜷㌱㍣攸〴昴つ敥扥慣㡤っ攵㍣㙢㡤晤〴ㄳ摥㥣㜱㑤〸搶て挹昷ㄴ〸扢捦㠷ㅤ愹摦攰㌶㠵㐷捦㐶敢搶㝤㜵敢㈱搹㔷㙤昸搹晣㝦㈵㔶㠰攵搰㤷挳改挴㉢昰㔱愸攲敦㠸愷慥㐴扤戶㉢戰㙦㍥攴㔳㌱っ㡣昵改㙢㤳㕤㠵慦㌱ㄹ〹㐱㌳㔷㐳㥢摣㠶〴愱㐸㕤㙤㥥ㅦ㈸㡣㍦㜴㉤搸扡㡥㈴〴㘲㍢㍦ㄶㄸ㔹戵づㄵ㠶攲㑦㉦愴㔰〴㐴㕤㡢慣摣㠶㉣㐲捥㍡搴ㅡ搸㘸扢ㄱ扤〶挵㠹㈰㌴㐲摥慦㍢攰愹敢㔰慦つ〴晤〱戵㝣〸愲捥㐹〶挰搹㈶㈳㈱㕣攷㐶㔴ㄳ〰㤶挳愸晡㝤㔲〰㕡挱搶㈷㤰㥣〸㘲〳攰㘴㈳慢ㄸ愶㌳㤴つ㌹㠵㐲㉢㐱搴捤挸ち〰慢㤰戳づ戵搲づ挰㝡ㄴ㈷〲㜰㍡攴晤扡〳㥥扡〵昵摣〰㘸㐹〶㐰戳挹㐸㠸ㄱ扡ㅤ㥡〴㠰昳搸攴㘸㔲〰㉥〰㕢㜳戲搴㝦㘰敢摡㙦㐴㉦㌶戲敡づ㈸ㅡ㑡㜷㉥愱搰ㅡ㄰戵〱㔹〱攰㔲攴慣㐳㐵散〰摣㠹攲㐴〰慥㠰扣㕦㜷挰㔳㜷愱㥥ㅢ〰搵挹〰㌸捥㘴㈴㠴㉥摤ぢ㑤〲挰昵㙣昲扣愴〰摣〸戶扥㠹㘴㍤㕢搷づ挰㉤㐶㔶摤〷㐵㐳改捥慤ㄴ扡つ㐴㙤㐴㔶〰戸ㅤ㌹敢㔰㔵㜶〰敥㐷㜱㈲〰㜷㐱摥慦㍢攰愹〷㔰捦つ㠰挹挹〰㤸㘴㌲ㄲ㈲愵ㅥ㠶㈶〱攰㈱㌶㜹㐲㔲〰晥〴戶㝥㠴攴㔱戶慥ㅤ㠰㑤㐶㔶晤〹㡡㠶搲㥤挷㈹戴ㄹ㐴㍤㡡慣〰昰〴㜲搶愱㐶摢〱㘰㐸㔵㈲〰捦㐰摥慦㍢攰愹挷㔰捦つ㠰㠲㘴〰攴㥢㡣㠴攸慣捤搰㈴〰㙣㘱㤳㜳㤳〲昰ち搸晡㔵㤲搷搸扡㜶〰戶ㅡ㔹昵〴ㄴつ愵㍢㙦愰㐰扦〹愲㥥㐲㔶〰昸㉢㜲搶愱㠶搹〱㜸ㄲ挵㠹〰扣ぢ㜹扦敥㠰愷㥥㐶㍤㌷〰〶㈶〳㘰ㅦ㤳㤱㄰㈵昶㘷㘸ㄲ〰戶戳挹〳㤲〲戰〳㙣晤㈹挹㘷㙣㕤㍢〰㥦ㅢ㔹昵ㅣㄴつ愵㍢㕦㔰攸㑢㄰昵〲戲〲挰㑥攴慣㐳昵戱〳昰㍣㡡ㄳ〱昸ㅡ昲㝥摤〱㑦扤㠸㝡㙥〰昴㐸〶㠰捦㘴㌸攳搷扣㕢愰愹ㅢ㜱㐷㍤搹攰昰㥣㐸㘸㌹〳㈵㌲挲昸㜲㕡㘵㑢慣戹㐹愲㍡㝡㠷挷㌵㑤㙢㙡ㅥㄷ㠹㉤愹て戶昶ぢ㥢㠹戹搸㕦挷慥㝡ㄴ愱㔷㡥戲愶㈵㑢㐲㜵㍡㕣搵搴ㄲ慤つ㑤ㅥ昷㕢㠸挹㠲㝦攸㍡〹挷㑡㔱㌸㝥㔹㤸㤱〷㌵㌱㑡㜰㜸扣慦㐰愱㌳㕡挴昶扣搴晥㘸ㅥ㠰㘰㘶㍢愲戳㈲捤昵愱㥥㘱攱㑢㍡㍤っㄴㄱ挸㔶搷㈳㍣㙢㈱愲㈸挶昵づ㑦㡣㐶敡敡㈳㡤㈱㜶〶ㅥ昷昹㡤扦㈹愱〵〸㕡㥢搱ㄴ㡢昰㉢㍥扤挳戳㄰㝣ㅥ㕢挲昸㥢摡搶扥㜱㌹戹〵昶㠶挷㐶ㅡ㘳㌰㈳扤挸㜴㘶戸㙡㘱搳㜲㝣㌱戶愵愱㜱㘲㜰㐹散㌷搱㉢㡡摤㈲㠷㜴㡤㑡㔱㈹㈹㉡㍤㈵晤㤷昶㡦敦〷㥣㘳晤㡣戸攰㉣㡣搳收㘸愴愶㠵㠰㠹㡤㝣搰㌴ㄲ改㐳㡦昷㔵愴㍡㜸攴攵㠳慦ㄹ㑡挸㌰㌹戶㌵㉥散摤㌵㘲慢敤摢挶㝣搸搵晦㐱㜳㝡晤〸㜲昸挴搹㤳摢〳㐸晦㐷㕦摤昵扥〶捤捥〷ち攷挸㙢㡢搷摢つ挲ㄹ挶㄰㘲ㄹ㐷ㄴ捥㑣㡣〴收㥣挳搲ㅦㄶㄹ㡥搰㡣昶攴〴㠴㝣昵ち㑦〹搶㠴敡ㄱ愹搶㄰㙣捥㌰㌲㝣晣挷㔷㍢㘳㈶慦戲愹愱㈱挸㈱挷攱㕡㔵㡢慦㄰愶㠷㉢㕡㥡㥢昰摤ㄶㅤ〶㤱㜱㘹ㄶ〵㔷愰㈸戸㐲㡡㝡㠵㘷㌲㠲㔵搲搴搵戴〰ㄱ㍡捤ぢㅢ㈲戵改捣㌰捡昴㌷㌱㔶㌱㝦愴〱㑣敢戰收ㄲ攷〳慤昱㘸㠷敥捥挱捡つ愱㘳昷㘳㐴愷㈸ㅦ晥愹㕦ㄸ攰㠸㤹㐷㉥㈸晡㘷㘸昳攲㑦愶㈲㘹换㉥〹つ㐲㜲搷㑡っ㔱㤹㥣搴㔶ち攰㑦㌳㔶㥡〹晥愵扤〱搲㘱昴㕢て〸昸愷㌴〵敢㈶㘰戱戱㈹摡挳晣慡㜹㍡扡㤶㔳㑤㌴挰㜸挴㑡㠴戸㈲㜴㜶㔹愴㉥ㄴ㑤㘷㐱ㄵㅥ搲搳ㄸ挹攸㌳晡㄰て㜰愹ㅥ慦户㘷扡㥢慤挹㤶慥晤捣㈸㉦晢㔷昵㈷㈷攸晦攲挸㔲㐶㜲挰㉤㌸攲搱ち㔴愷搰愷㌷㤱愵㍦づ〱㔸挶ㅥ〴㠸昷慦㘰㍡晢㈶㍥㌴㄰〱㠴ㅡ㐲㘹昲㈵㙤〶㉤愶㈳挰㑦愲ㅤ扤攲㐸㑦㕢㤴愲捦〸㔰㑣户扥昹敤㤳敦㜴搴昹㡤昹㤵㑢ㄴ戸㌲㜸㔲㔲搲搰搵㍥攷㉡㜰㠲㔹㈸㙢愸ち㐹昸愲ㅡ㠴㈶昸昸㡤昴挱㍣㔹愰扦㍡搹㤷㥣㕦㠷㈴ㅦ戵昱㥦ㅣ㝥扦敥㠱㝡ㅥ扦㝡ㄷ搴〲㠳㉥昹晤散㐹㥤㑥㌰昸〲〳戵ㅤ㔹摥ㄲ搸㉥㘰㙡〷戲扣㠸㈱㥥ㄵ㈲㕤㥤㌴搵愷愸挱㠹㔳昷愴攲捦㤰攲㝣搴㌶㍥㝢愳戴昳昱昹㌹㙢攰㑦㘷㔰㠹㤹㔱㕦㈰㘱戹㠱愴搵改㤹㤰搱〱ち㜲㠹换㐵愰て〵晡㔲㘰㈷〴搸昱扥㝥挸昵戲〰㤵㙦㔷扢愰户ㅢ㠴㠰摥搷㌶慤㌶昴㜶愷搶㍤愸昵〷〸㌸搱晢ㄱ㘵〶㝡㝢㐲愴换攸晤㠴㙡㠲摥㕥㔴捣慥㡣㐳㙦㙦㤴㜶㡥ㅥ㠷㥡愰户て㤵㐰㠷晣愵㠰扡㠰㌳㄰㌲㝡㄰〵ㄹ㘳攷㈲㌰㤸〲㔹ㄴ㐸㠳㠰愰㌷〴戹摤㉤昴ㅣ摦ち㜷挱㜱㕦㠸〳㐷㐶攱㔹晡㙤㌸敥㐷晤搹搴捦㠸㌹㈷㡥っ㤳㌳㜰摣ㅦ㈲㕤挶戱㍦慡〹㡥挳愸㤸ㄱ㜶㜱㌸ㅥ㠰搲捥㜱㘴㈴ㅥ㍥ㅥ㍤㠲㑡㉣ㅣㄹ㠳㘷戹㠱㌲㙢ㄴ㡥㠴㡣ㅥ㐵㐱挶攷戹〸ㅣ㐸㠱ㅣち㌰㘴㑦㜰㍣〸戹㌶ㅣ昱戵摥挲〳攵扢扤昲㈵㈴ㄷㅣ昳㈰づㅣ〷摢昴摢㜰捣愷晥〲敡㘷戴㥤ㄳ㐷㠶搸ㄹ㌸ㄶ㐲愴换㌸㌲㈸㑦㜰㉣愲㘲㐶攷挵攱㔸㠲搲捥㜱捣㐱㌵㝣戰㔹㐷㈵㐸挸ㅦ㐳昹㕣㘰㉡㠳㡣㍥㤸㠲っ昳㜳ㄱ㌸㠴〲㠷㔲㠰㤱㝦㠲攳㘸攴㐶㔸攳戱ぢ摦挶㜷挱戶ㅣ㉡㠰㉤㠳〳㉤㥢㌶㙣挷搰㘶〵㙤㌲㤰捦㠹敤ㄸ㤴ㄹ搸㡥㠵㐸㤷戱慤㐰㌵挱戶㤲㡡挷㈲ㄷ㠷敤㜸㤴㜶㡥敤㌸㔴挳〷㌱㠱㔴㘲㘱换㈸㐱换つ㤴㔹㘳㜴㈲㘴昴㈴ち㌲㠲搰㐵㘰㌲〵づ愷〰㠳ち〵摢㈳㤰摢挷挲搶昱ㅤ晤㉣㡣搴晣㠴〷㔹㕣㜷愶愲ㄲ搰㘴愴愱㘵挵㠶收㌴㕡㤹㑥㉢戳㈰攰㐴㤳愱㠰〶㥡㌳㈰搲㘵㌴ㄹ㍣㈸㘸ㅥ㐹挵㡣㈲㡣㐳戳ち愵㥤愳挹㘸㐳㝣㄰慥㐸㈵㐸挸ㅦ㐳づ㉤㌷㔰㘶愱㌹ㅢ㌲㝡づ〵ㄹ㡥攸㈲㌰㤷〲㐷㔱㠰ㄱ㡡㠲收搱挸㜵㠴㘶㥥ㅢ㥡挷愲ㄲ搰っ摡慣搸搰㥣㐷㉢昳㘹㠵㈱㠶㑥㌴ㄹ㔷㘸愰㜹ㅣ㐴扡㡣㈶㈳ㄱ〵捤㙡㉡㙥㐴㉥づ捤㈰㑡㍢㐷㤳愱㡢昸㜸㜴つ㤵㈰㈱㝦㡣㕦㜴〱慢ㄶ㌲扡㡥㠲㡣㙤㜴ㄱ〸㔱㈰㑣〱㠶㍢ち㥡ぢ㤰㙢㥢㍦ㅤ慦㙣㜰㌹挷㈳㄰〷㡥㡣㝥戴昴摢㜰㕣㐴晤㡢愹㝦ㄵ〴㥣㌸㥥㡡㌲〳挷㝡㠸㜴ㄹ㐷〶㌴ち㡥つ㔴㝣㍡㜲㜱㌸㌶愱戴㜳ㅣㄹ〱㠹㡦㐷㉦愱ㄲぢ㐷㠶㐱㕡㙥愰捣ㅡ㤵㑢㈱愳愳ㄴ㘴㠸愴㡢㐰㡣〲㝣搹㤵㘲搴愴攰搸㠲㕣ㅢ㡥㜱搷㈱搷戳㝢㌹挴㠱㈳㠳㈸㉤晤㌶ㅣ㔷㔰㝦㉢昵㌳攰搱㠹㈳愳ㅣつㅣ㑦㠰㐸㤷㜱㘴㕣愴攰㜸㈲ㄵ㌳㐰㌲づ挷㤳㔱摡㌹㡥っ愴挴〷㍢ㄶ㔴㠲㠴晣㌱㥡搲㜲〳㘵ㄶ㡥㉢㈱愳㔷㔱㤰㤱㤶㉥〲扦愳挰愹ㄴ㔸〷〱挱昱㌴攴摡㜰㜴扣ㅢ挳㘵㍣慥㠶㌸㜰㘴㉣愶愵摦㠶攳ㄹ搴㝦㈶昵㌳㙥搲㠹攳㥤㈸㌳㜰晣㍤㐴扡㡣㈳挳㉢〵挷戳愸㤸㜱㤶㜱㌸㥥㠳搲捥㜱㘴㍣㈶㍥ㅥ㝤㉥㤵㈰㈱㝦っ捡戴摣㐰㤹㠵攳㜹㤰搱攷㔳昰㍥㜷㠱ぢ㈸㜰㈱〵ㄸ挳㈹㌸晥〱戹戶㔹搲昵戵ㅥ㉥㘸㕥㡣㑡㐰㤳㠱㥤㔶㌳㙣㘸㕥㐲㉢㙢㘸㠵㐱㤸㑥㌴㥦㐲㤹㠱收愵㄰改㌲㥡㡣搵ㄴ㌴㉦愳㘲〶㙤挶愱㜹㌹㑡㍢㐷㤳挱㥤昸㈰散㤷㑡㤰㤰㍦㐶㜸㕡㙥愰捣㐲昳㑡挸攸戵ㄴ㘴昴愷㡢挰㔵ㄴ戸㥡〲っ〸ㄵ㌴搷㈱搷昶慣㌳㈱㉦扦搸敤ㅡ㜳㉤㠴㠰ㅥ愳㐲㉤慤㌶昴慥愳搶敢愹㤵ㄱ㥣㑥昴ㄸ戶㘹愰㜷〳㐴晡㥢㕦扡敥㜴㝤㑤㌱搲㔳攰扢㤱㥡ㄹ昲ㄹ〷摦㝡㤴㜶づㅦ㐳㐳昱昱攸㥢愹〴〹昹㝢ㅦ搴昲〳㘵ㄶ㝣户㐰㐶摦㑡挱㙤敥〲户㔱攰㜶ち㝣〰〱㠱敦づ攴昶戲㙥㠰ㄲ摦戲攲㌲ㄲ㌷愰〶戰㘴㠰愹搵〶ㅢ㤶㜷搱挴摤㌴戱ㄳ〲㑥㉣ㄹ〱㙡㘰㜹て㐴扡㍣ㄲㄹ㌳㉡㔰摥㑢挵っㅥ㡤㠳昲㝥㤴㜶づ攵㌷愸㠶㡦㐷㙦愴ㄲ㈴攴㡦㤱愶㤶ㅢ㈸戳愰㝣〰㌲晡㐱ち㌲ち搵㐵攰㈱ち㍣㑣〱〶愶ち㤴㝦㐲㙥㌷ぢ捡昸昷挳戸挰昸㈸愴〱㈳挳㔴㉤昵㌶ㄸㅦ愳晡㑤㔴捦㤰㔲㈷㡣㡣㈳㌵㘰㝣ㅣ㈲㕤ㅦ㤲㍤㔰㑦㜰摣㑣捤㡣㐱㡤挳昱㐹㤴㜶㡥㈳㘳㔵搱㘸㡦㝥㡡㑡㤰㤰㍦〶慣㕡㝥愰捣挲昱㘹挸攸㘷㈸挸㘰㔶ㄷ㠱㘷㈹昰㘷ち㌰扥㔵㜰㝣づ戹〱ㄶ㡥㉥㙦扦㜱〱昳〵㔴〱㤸っ㜹戵㙣昸愵ㄱ戲ㄲ昴㈲㙤扣㐴ㅢっ㑦㜵㠲挹㤸㔴〳捣㤷㈱搲攵㌱㌹㄰搵〴换㉤㔴捣㜰搶㌸㉣㕦㐱㘹攷㔸㌲散㔵戰㝣㤵㑡搰㘲昹ㅢ㠲㔲换つ㤴㔹㔸扥〶ㄹ晤㍡〵ㄹㄷ敢㈲戰㤵〲㙦㔰㠰愱戲㠲攵㥢挸戵㕦㙢㉡戲攴昵㠱㜱慦敥㜱㐱昳㉤㔴〲㥡挳㙣㔶㙣㐳昳㙤㕡㜹㠷㔶㜲㈱攰㐴㤳〱慥〶㥡敦㐲愴换㘸㌲㈴㔶搰晣ㅢㄵ㌳㌶㌶づ捤昷㔱摡㌹㥡㡣愱ㄵ㌴户㔱㠹㠵㈶〳㘹㕤挰晡〰㌲晡㐳ち㌲挸搶㐵攰㈳ち㝣㑣〱挶摤ち㥡摢㤱㙢扢〳㜲扣㜳挸〵挷ㅤ㄰〷㡥愳㙤晡㙤㌸㝥㑡晤㥦㠱㜸ㄹ攰搶挱㤶〶攲㠱㙣㘱㤰ㄹ搰改ぢ攳㉡搴㡣摤〶㥥㈵ㄳ㈲捤㔸㌷敤ㄵ〶㐱㔲攲ㄵ〷挸㉥㠴慤搲挸戶摤捤挱㠹慣戸敤捥㐱㠹㝣晢晥攷㝥㉥㙣㘳㘷搴戶㈱摡㤹㤰散㤰扡戴昱户戴㘵慡㡣㌸㌶㜳搷㔴㘵㈷㡦昶戴攱捥㕤慦晦挱〶慢摣戹㜸昴攷ㅣ㌶ち晦戰搴昰〵搲摣㙦㥤搸改㄰戱〵扦㜲㍦摢捦㍤㔷愳慣户ㄹ㕤㍤戹㌱㠶㕤ぢ扦㤹挳㥥㔴㠶㤹㥣摥搲ㅣ挷〹慥攸㘷㜲昰戵昳改㡤搸㐹慣つ㐶敢㝥㈳摢㔰昰捤搸㉤㤵ㅤ愵㕦戸㤳つ㈵㍣㙣㥢㐷㠸㑤昸搲挴㥡㔱愶摤㠹ㅤ捥㠴愶摥㠴扢㉤愴㌸㥤㌹扥昳㔵㝡挱㜸挵慢㠴ㄵ捣〸㈱㈶〰慦挰慤て昵㤳ち㙤㔹搹㜲搱攱㡡㥡ㄸ戶愸㥢戹晦㘸愶攴㐴搷攱㤹愱㝡扣摤㜲㔹〸摢㠵㘶㙡㐶㙤㌳㈲攵摢ㄴ昰晤㉦扦㥤ㅥ〲㈲㘹㘶㉦攱㉤愹晣搷挱晣ㄶ敦〴捦愱㕦搸慢㤸昲挳㜲散㉣㔷㔷㕣捥攳㤶㜲㡦㤵㌰〳ㄷㄸ㍤摣挱慥㌷收㕡㝢愰㌷捦愴㝥搶昷て㡣ㄹ㑥㈶慦㕥㔶ㄹ户挶㝢㌳㠴㈱摡㡣㤷㈴昱ㄵ㜱㤹㍣㜵敡戱㜷搸ㅣ挱㉥㜰㝤㙢㐶ㄸ㉦㉣慣㙦愹ぢ挹ㄶ戲㌵㘷换㑥昲㙦愲扦戸敤㘱㥥㔱ㅤ攰㘲㠲㌲ㄹ慦て户㕥㥡昳换攳㐸昴㑥㥣㘹㌲搹㐱㠷㕦敦㌲捦㍢挶㜴㜷㍢慡㥥户㜹㝤摢扦ㄳ㈲㉦㤵挶搴㤶㔰挴㌹㡤㈱搲㤵㔶㘰扥㥣㜱㌶戱㈹㑤㔳㥡ㄸ㠷㘲㉢㥡ㄴ㌱㡡㝥ㄳ晤〴㍦㡤㙥昲昹戰㤱晥换捥㤰㍢㈷㝥㜰㐲晦㌷㙡挷ㅣ㌰敦㠲㈷扥㉤㕤㌴收捡ㅤ慤㔷敦㘸㝤戹ㅣ扤挰愸ㅥ挵戰㜹戹㜹㤳㤰㘵戹㠷捡㠷搹ㄴㄲ㕣㠶㈸挲愰㝡戹㔱晢ㅡ扤愶愶㈱㘷摣愸ㄹ晤愹扦㐱㘹攷㌷㙡㡣挲㤷ㅢ戵㙦愹〴扡攵㡦攱昷㉥昷㘱摦㐱㐶晦㤳㠲っ捤㜷ㄱ昸ㄷ〵晥つ攲㘵㠴戶㜳愲㐹ㅡ㙣㡥ちㅥ㙦〳㌷慦搳ㅢ戸㠹㡦搳搴㠷ㄷ晣㈰㤸ㅥてつ扥㥥改っ㐶搷摦㐳敡愵ㄷ㕦ㅣ㑤〰ㄴ愳戹㉤晢㝣戰㌰㌷㥡㝦愰晤晦㠰愸㈰〴㥣㌷挴っ戵㌶㙥㠸㝦㠴㐸㤷㙦㠸ㄹ㥣㉤㌸晦㐴挵㈱攴攲㙥㠸㜹㜷搲㌹捥ぢ㔰㑤㜰㘶散㐶ㅢ捥っ改戶摣愰㕦㘶㜴〱㜶敦昱㈶ㄲち㌲摣摢㐵〰敦昴挲捦〰㔰㠰ㄱ攰㜲㐳散㐳慥敤㤱㌷晥攵㡡㉥昷挳改㤰挶晤㌰攳挱㉤昵戶晢㘱晥捣㠰昶㔳㍤㘳户㥤㌰㌲㘰摢㠰戱㈷㐴扡っ㈳㐳扣〵挶㕥㔴捣㔸敦㌸ㄸ㌳㔰摡㌹㡣㈷愳㥡挰㤸㐹㈵昰㐱晥ㄸㄸ㙥戹㘱㠳㌱〰ㄹ摤㠷㠲っㅡ㜷ㄱ攸㑢㠱㝥ㄴ㘰ㅣ戹挰搸ㅦ戹晥搶ㄳ㙦摣㙢㈱㕤㔰摣ㅤ挲㐰㤱㐱攵㤶㜶ㅢ㡡㝢㔰晢㥥搴捥〰㜰㈷㡡㡣晡㌶㔰摣ぢ㈲㕤㐶㤱㜱攲㠲攲〰㉡㘶挰㜸ㅣ㡡晢愰戴㜳ㄴㄹ㔸㉥㈸づ愴ㄲぢ㐵㐶㤷㕢㙥搸㔰ㅣ〴ㄹ㍤㤸㠲㡣㍣㜷ㄱ挸愲挰㄰ち㌰ㄸ㕤㔰ㅣ㡡㕣摢搳㤹攳愵㤷㉥㌸敥〷㜱攰挸搸㜴㑢扦つ挷㙣敡摦㥦晡ㄹ㐷敥挴昱㐶㤴ㄹ㌸づ㠳㐸㤷㜱㘴戸戹攰㌸㥣㡡搷㈳ㄷ㠷攳〸㤴㜶㡥㈳攳搳〵挷㤱㔴㘲攱挸㈰㜵换つㅢ㡥愳㈰愳て愴㈰〳搸㕤〴㜲㈸㜰㄰〵ㄸ搳㉥㌸收㈲㘷㕦㔱㉤㜱㕢㔱捤㠷㄰搰㘳㘰扢愵搵㠶㕥〱戵ㄶ㔲㉢㠳搰㥤攸㌱昲摣㐰慦〸㈲㕤㐶㡦戱敡㠲㕥㌱ㄵ㍦㡡㕣ㅣ㝡愵㈸敤ㅣ㍤〶户ぢ㝡㘵㔴㘲愱挷〸㜷换つㅢ㝡〷㐳㐶ㅦ㐲挱捤敥〲㠷㔲㘰㌴〵ㄸ㄰㉦攸ㅤ㠶㕣摢㤴㔸㘹慥戸ㄸ慦ㄶ㜵ㄹ㠴㘳㈰つㄸㄹㅥ㙦搹户挱㔸㐱昵㘳愹㥥愱散㑥ㄸㄹ扦㙥挰㔸〹㤱慥慦〲㌲攴㕤㜰ㅣ㐷捤㡣㝤㡦挳㜱〲㑡㍢挷㤱㌱昲㠲攳㐴㉡戱㜰㘴愰扣攵㠷つ挷㐹㤰搱㤳㈹挸㈰㝡ㄷ㠱挳㈹㜰〴〵ㄸ㔷㉦㌸㑥㐱慥敤㙣㜶扣㉡搵〵挸㘹㄰〷㤰っ戳户昴摢㠰㥣㑥晤㌳愸㝦㍢〴㥣㐰敥㐰㤹〱攴㤱㄰改㍡㤰っ㥤ㄷ㈰㘷㔲㌳㘳攸攳㠰㥣㠵搲捥㠱㘴慣扤〰㌹㥢㑡㉣㈰ㄹ㜰㙦昹㘱〳㜲づ㘴昴㕣ち㌲ㄸ摦㐵攰㈸ちㅣ㑤〱挶攷ぢ㤰挷㈰搷〶愴攳㘵戰㉥㐰捥㠳㌸㠰㘴戸扥愵摦〶攴㝣敡㍦㡥晡ㄹ摣㉢敤慥㘶づ㜵㜰㥦攲昱㌲㐰搳ㄹ㜷㤸㄰ㄳ㉡ㄶ挲㡣づ慤㙡㙥慤㐷㐴㉥㤳㡣㐳㌴㔲扣ㄹ挳㉡〵捡㄰ㅤ搹ㄴ挵〳㑡㥡昳㝢戳㙤㜵㕦㠶搱㥥晤ㅤ敦っ㤵㙡攴晣㠸搶㜸慦昹㈱昱扤㤸㙤昵搹昰昶ㄷ〸戲づて㕦㄰㑤散㍦㌵㔲ㅢ㙤㡡㌵㠵㥢戳慡㄰㙤㥥挵㜷戰㠶昱㠴㔲攱扤ㅡㅡ㕤㙤搲戱戴㐶晥愴捤㌲扥㉦搲扦戸戱㘹㜹愳戴挶ㅢ攳慢㘸〵慦ㅥ㍤㘸㠶捦㉤㜲散ぢ昰〲〴㡦㤵㜵㉤㘸敦搴㠰㈲㤸㌸〲㈹㔶㈲搵㑡愴㤹〹㙦て㈴扡ㅡ㙢㐹摤慡㐶搵慡㍡ㄵ㑡敢搱㈳㘱㌹㉢㈱㐶戳敤㡤㤱㍥ㅦ㐳㌴扤㙢攱戲㜳つ捣扤㔲㍣愲慣捣〶敢㄰㥡愰挳㈰晥㐰㍡ち搸㈰摦〲搰扥㤵㘳慢昱㈶㐳敢摤㠶ㅣ〵扥㠵㈸敦㠵㜲㜹㐴㥢㠹㌷挵晡㈲㈸挹㐰㠹㉤㈸摤户〸㘵㝤㔰ㄶ晦搳㐲〱㙤㙡搷ㅦ搲散㔰㤲㈱㈴㡤㄰㔷㍤挱㤴㑥㘸㘲づ挵㙣㥢敡つ捡㠱慢㉥㠴㤷ㅣ㉥㈸昴昸㤶㐲㈴改ㄸ㔰攷㐳㡣攳㈰扥ㅦ㌳㉣攳㌱㔴㐶㍦㘶㔲㍦㡥㐰挰㑡昴戱ㄲ㝤捤㠴摡つ〹昶愵㍡ㄷ敡㠸㌳ㄹ扡〵ち昴㌲㄰㝦㘰㜷ㄴ㈰㠱㕦㐲〰㜵挳㙢〵捡攳昱㙡㐵㠹ㄳ慦ㄳ㔰收㠲搷ㅥ愶㜶〳慦〳㘸㝢㌸挹㈹㄰㔷㝢戱㕤捣慤㘴づ〹戶㑤敤つ㉡㜸慤㐲㙢㉤扣㌴捦ㄹ㥥ㅥ敡ㄴ㤴㈶㐲戳㡦㘵攷㌴挸〱㥡㠱㔴㠵㈳㌰挸㑡っ戶ㄲ㔹㘶㐲敤㡢㠴㐰㜳㤲ㅤ㥡搵㔰愰捦〰昱〷昶㠳〰捤㙡づ㈵捤㜱愳㌹㔴㌴挷㐶㈰摢㘲捡㐸挸愵搸㐱㈴攷㠳愹㠶㠱㈹㥥㕤挰ㅣ㡡㤱昷愸〳㐰挵戳㈵㜶捦㌸ㄲ挴戳㐶㔷捦ㄸ㍦㐹〹㝤㌱㈸㍣ㅢ㐹㔵㌸〲愳慣挴㠱㔶㈲挷㑣愸㍣㈴挴戳㝡扢㘷㙢愰㐰㕦ち攲て攴㐳㐰㤴戲搳㌵㝢㔸戳㔳㌵㝢㌱㔰㘰㌱挵戳ㄲ搸㌲㝥㍥攸㙡㌰㔵ㄱ㤸攲搹㍡收挰㐳ㅥ㉦㔹〴ㄵ捦㡥户㝢搶搶㘷挷戹㝡㔶㙡搹戹ㅥ慡攰㔹ㄹ㔵攱〸ㅣ㙣㈵づ戱ㄲ㠷㥡〹㔵㡥㠴㜸㌶捦敥搹㡤㔰愰㙦〲昱〷挶㐰〰〹昷㍥慢戰㤸攲搹㘱ㄴ攳戳户扥ㄳ㌵㔴㈵㤸攲搹〶收㔰㡣扣㐷㡤〷ㄵ捦㘶搸㍤㙢敢戳㘹慥㥥㌱㥥㔰ㅡ㜱㉦㈸㍣㥢㐸㔵㌸〲㤳慣挴㘴㉢挱㠰㐱ㅥ㙡㉡ㄲ攲搹ㄴ扢㘷昷㐳㠱摥〸攲て㑣㠳㠰㈸㜵敢戳改ㄶ㔳㍣ㅢて㠵挶㡦ㄸ㍤㠶ㅡ敡㐸㌰挵戳㑤捣㠱㠷㍣搶㍢㐰挵戳㌱慥㥥ㅤ收敡搹㉣换捥㤳㔰〵捦㘶㔳ㄵ㡥挰ㅣ㉢㌱搷㑡ㅣ㘵㈶搴戱㐸㠸㘷㠷摡㍤㝢ㅡち昴㌳㈰晥挰㍣〸㈰攱搱㙥㥥捤户㤸攲搹ㄴ㡡ㅤ㐱昲㌲㙡愸㙡㌰挵戳㉤捣愱ㄸ㜹㉣㤴㠰㡡㘷戹㜶捦摡㐶㘳㡥慢㘷㌵㤶㥤搷愰ち㥥搵㔲ㄵ㡥㐰㥤㤵〸㔹〹〶搲昱㔰ㄱ㈴挴戳㔱㜶捦戶㐲㠱㝥〳挴ㅦ㘰㕣ㅣㄲ敥愳㜱戱挵ㄴ捦慡㈸㌶㤳攴㍤搴㔰つ㘰㡡㘷敦㌳㠷㘲攴㍤慡〹㔴㍣换戲㝢搶㌶ㅡ〷戹㝡戶挴戲昳ㄱ㔴挱戳愵㔴㠵㈳㄰戵ㄲ㌱㉢搱㙣㈶搴㜲㈴挴戳㝤散㥥㙤㠷〲晤〹㠸㍦戰〲〲㐸戸昷㔹慢挵ㄴ捦昸昲㐱攳㔷㤹㜶愲㠶㍡ㄱ㑣昱散敦捣㠱㠷扣㐷㥤っ㉡㥥〵散㥥戵昵㔹㠶慢㘷愷㔸㜶晥〱㔵昰㙣㈵㔵攱〸慣戲ㄲ扦戳ㄲ愷㥡〹戵ㅡ〹昱慣㤷摤戳㙦愱㐰㝦〷攲て㌰㜶っ〹昷㍥㍢搳㘲㡡㘷㐱㡡ㅤ㑦昲ㄳ㙡愸戳挰ㄴ捦㝥㘶づ挵挸攳㌵〳愰攲㤹挷搵戳㥦扥㜷扢㥥㥤㙢搹㐹昵㡡㘷攷㔱ㄵ㡥挰昹㔶攲〲㉢㜱愱㤹㔰ㄷ㈳㈱㥥晤〷㉡搷挲ㄸㄹ摡ぢ〵摡〷攲て㕣㠲㠲愴㥥慤戱㤸攲搹㐲㔶㕤㐰㤲㠱慡敡㌲㌰挵戳㑣收㔰㑣搵敡㜲㔰昱㙣ㄷっ㕥〳㠳㈸昴攸戶搱戸搳搵戳㉢㉣㍢晤愰ち㝤㜶㈵㔵攱〸慣戵ㄲ㔷㔹㠹慢捤㠴扡ㄶ〹昱散ぢ扢㘷扢㐱㠱摥ㅤ挴ㅦ戸づ〲攲㤹摢っ㜲扤挵ㄴ捦㥡㘰换昸慤愹㐱昴攵㐶㌰挵戳挱捣㠱㠷㍣ㄶ㑦㐰挵戳㙤慥㥥扤攷敡搹捤㤶㥤㝤愱ち㥥摤㐲㔵㌸〲っ㥡㤲挴㙤㔶攲㜶㌳愱㌶㈰㈱㥥扤㙢㝡㈶㙤挹㠶〲扤㍦㠸㍦㜰ㄷ〴㤲㝡㜶户挵ㄴ捦㤶挱㠶昱换㔶㌹昴攵㕥㌰㐵摢㐱捣㠱㠷㍣攲〴㐱挵戳扦搸㍤㙢㍢捦㕥㜶昵㙣愳㘵愷〰慡攰搹〳㔴㠵㈳昰愰㤵㜸挸㑡㍣㙣㈶搴愳㐸㠸㘷㉦㥡㥥㤱愱㡢愰㐰ㄷ㠳昸〳㡦愱㈰改㘸摣㘴㌱挵戳㤳㔹㤵敦〱搴㠷搱㤷捤㘰㡡㘷攵捣愱㤸慡搵㤳愰攲搹攳㜶捦摡㐶攳㘳慥㥥㍤㘵搹愹㠴㉡㜸昶㌴㔵攱〸㌰慡㐸ㄲ捦㕡㠹㍦㥢〹昵〲ㄲ攲搹㈳愶㘷搲㤶昱㔰愰㈷㠰昸〳㉦㐲㈰㘹㥦扤㘴㌱挵戳搳㘱㐳㥦㐶㌲㡤扥㙣〱㔳戴㑤㘷づ挵挸㝢搴㉢愰攲搹㕤㜶捦摡晡散㑥㔷捦㕥㐵㈵㘹㐴ㄵ㔴挱戳搷愸ち㐷攰㜵㉢戱搵㑡扣㘱㈶搴㕢㐸㠸㘷户㥢㥥㤱愱㘷㐳㠱㥥〳攲て扣㡤㠲愴㝤昶㡥挵ㄴ捦捥㘱搵戳㐹㡥愳㉦㝦〳㔳㍣慢㘶づ挵㔴慤摥〷ㄵ捦慥戱㝢搶搶㘷㔷扢㝡戶捤戲㔳ぢ㔵昰散〳慡挲ㄱ昸搰㑡㝣㘴㈵㍥㌶ㄳ㙡〷ㄲ攲搹㕡扢㘷㈱㈸搰㘱㄰㝦攰㔳〸㈴敤戳捦㉣愶㜸㜶ㄱ㙣ㄹ㍦ㄱ搶㠸慡摥捦挱㜴㍥扣摡扥㌲㙣ぢ攰攰慥㑥挰ㄶ㔵㈳㡦挱㝤挲㐷戶〴敢昱戳戵搳戱戵摢捣愲摦挲㠶㘰㥡戱挱摥改ち㠰戸㜰散㝣㍥㠸㍢㌱㠸㝦㠰㌷㝤㤳摦㠹昸㘵摢㡢㝥敦ㅦ搰㜷㕤戳挲〱搶扥昰㘲㉤ㄳ攰㤵慤散㙢散㌳㝥㠱㍥㤳搱戸ㄴ〵㐸ㅢ愳昱㑢慢㌴㡡㔲敢昰敥㐴㘹搷昷慥愹戵ㅦㄶ㘵捣㥦挸收㌷慣㐷搶㘳ㅢ扦ぢ㕦㘸㡦挱慡摡攵搶〶昵戵㔵摡㐲ㄹ㤸攰㔰㔵摦愰㔴捥㥥戳㙤㘷㡦㙦㌹㐴㤲慦㉣晣摥昵㤴晡ㄶ㥡㘴昴户愲㌲㑥愹敦㤰攷ㄱ昸愷㤵昸㤷㤵昸户㤹挸晣ㅥ〹慥㑦昸㐴昲㔷㈴㠱ㅦ愰㤹㔶㡣㘷㔲㜹㍡㤵〷搳晦㔸攵㝣ㅤ愴晣〶㥣㕥㐹㍣㝥㐲戹昴收㉡ㄳㅤ㔶㤶㄰㉢㐱㘷愵つ㥤昶㜵㠴㤳㕤㠱㔰㐰㐱㠰㌸摤〰㠲摢㤶㍣〲愹㔶㠲晢㤴㔲攲㌵ㄳ㉡ㅤ〹㤹㕢㑥㠴捡戶晢慥㌳愰㐰㥦〹攲て㜰敦㤱挲慥敢〸㝥㡢㈹㜳换㍡㡡㕤㑤㜲〱㝤㤱㝤㐵收㉥㘴づ〹昱㉣〳㔵挴戳㈶㔷捦ㅡ㕣㍤换戴散㕣〲㔵攸㘲敥㈴昲〸昴戱ㄲ摣㍡㤴㤲㝥㘶㐲敤㡥㠴㜸戶搸敥搹愵㔰愰㉦〳昱〷昶㠰〰㠵㕤㍤摢搳㘲㡡㘷㝣攵㤵昱ㅢ㜵敢攸换〰㌰愵捦慥㘱づ㍣昱㡣㝢㝤攲㔹戵慢㘷昳㕤㍤攳㡥ㅦ㍥ㅥ㝤〳㔴挱戳㐱捣攰〸っ戶ㄲ㔹㔶㘲㠸㤹㔰摣㥥ㄳ捦㡥戵㝢㜶ㄳㄴ攸昵㈰晥㐰㌶〴㈸散敡搹晥ㄶ㔳㍣攳扢慣㡣㕦挵摢㐰㕦㠶㠳㈹㥥摤挵ㅣ㜸攲搹〸㤴㡡㘷搳敤㥥戵㕤改愶扡㝡挶㍤㌸㝣昰扥㙥愸㠲㘷摣㙦攳ㄱ攰㥥㥢㈴㜲慣挴㐱㘶㐲㜱敢㑣㍣㍢挲敥搹㐶㈸搰て㠰昸〳〵㄰愰戰敢搳㌶㜷搵㠴㈹㥥摤㐷戱㝢㐹㌶搱㤷㘲㜰挴戳挷㤹㐳戱㜸㔶㡡㔲昱慣摣敥㔹摢摤挹㘸㔷捦戸㍦㈶㜶㥥㠲㉡㜸㜶㌰㌳㌸〲摣て㤳〴㌷扦㈴挱つ㌰ㅥ㙡っㄲ攲搹㈱㜶捦㥥㠱〲晤㉣㠸㍦㔰〱〱ち扢昶ㄹ㌷扡㠴㈹㥥昱敤㔳挶㉦昵㙤愱㉦戲㔷挵愲扦㌰㠷㠴㜸㌶〱昲攲搹㐱慥㥥ㅤ攸敡ㄹ㜷慣挴捥敢㔰〵捦㈶㌱㠳㈳挰ㅤ㉡㐹ㅣ㙥㈵戸㈵挵㐳㑤㐳㐲㍣ㅢ㘹㝡㈶㈸扦〱〵晡㑤㄰㝦㘰㍡〴㈸散敡ㄹ㜷㥥㠴㈹㥥㍤㐱戱捤㈴敦搳ㄷ搹㍣㘲㙥ㅢ㜳㐸㠸㘷摣㍣ㄲ捦〶扢㝡㌶搰搵戳搹㤶㥤㡦愱ち㥥捤愱㔱ㅣ㠱戹㔶攲㈸㉢挱㍤㈲ㅥ㡡晢㍤攲搹摥㜶捦㍥㠱〲扤〳挴ㅦ攰㤶て㠵㕤㍤㍢捥㘲㡡㘷捦㔱㡣㙦㥦搲㝦㐷搵㐰戵挵摣㈵捤昱搶㈲㝦㐸昲㐰㕡摢攲晥㐸挴㥢挵晤㑡摤㜸晣敡ㅣ㐳㐰㍣愹㜸搵㠶昱㠲㡡戴㤴㠳㝦㤹㉥摥ㄱ㌱捡㤰㝦摥㑣㜸晤㍦搰挳晥㙡扦㡤愱挶挱昸搳㕦挳攱捣㄰摣挵晦捥换敦慥㜲㤴昱ㄸ㈳搴㤳㙥晥ㅦㄸ㤳ㄹ戶㙡捣㔷㐳㉥慡昰㙥㕢改㝣摤攴摡㝢捦㍥攱昶晢ㅥ㉣㍦㜹摥搶㥣㐷㥦㍣慤㕣㌵愲㐶㌶昴攸㙤㈴ㅦ㤰戰㈷㤴ㅦ㙥扤㡤户㘵㈴晣戶㤳㌶ㄹ捥摦㜶ち㌴㐱ㄳ㍥ㅥ晤㉦改㉣ㄵ㐳㠶ㅤ愶㝡愰〶㔱ㄲ挷扥愷㘳㉤㈸敥㥥㘳换慣ㅡ挹ㅣ晢改搱㤹㍦扣戴昴攱昲㍦收㡤晤捦㥢挳㔶㤷慢㔳㔰挳捤戱ㄴ戳晤〹㡥㈹㤳攱晣捤愶挰㑡㘸挲〷㙦㠳挱㝤㔰敦㔴㜵ㅡ㌲攲搸捦晦戶㌹㤶〲㘶收㙡戰扡攷搸ㄹ㔶㡤㘴㡥扤昱搹㑤ㄹ㤳ㄷ㉤摦㜴摢慣㤹㌷㌶晣㘹㙣戹㍡ㅦ㌵摣ㅣ晢ㅥ慤㜹摢慤挷晥㙤㌲㥣扦挵ㄴ戸〰㥡昰挱㥢㑥っ挷㉥㐶㐶ㅣ晢愷摤㌱㍦ㅤ㕢〳㔶昷ㅣ扢搴慡㤱捣戱昴㤹㕢㥦㕤㔳晢㐰戹敦收㕢敢晢㙣㍣戵㕣㕤㡤ㅡ㙥㡥㝤㥤捣戱慦㑣㠶昳㠷㤵〲敢愰〹ㅦ扣昶挴㜰散㝡㘴挴戱扦摢ㅤ敢㑢挷㙥〴慢㝢㡥摤㘴搵㐸收搸慥捡㘷㔲㠶敦晡慡晣㤳㜵搷㤷挴敥㝤愴㕣摤㠹ㅡ㙥㡥晤㔷㌲挷㍥㌳ㄹ捥ㅦ㑣ち㙣㠰㈶㝣㄰愰㘵㌸㜶㉦㌲攲搸づ扢㘳〳攸搸晤㘰㜵捦戱㡤㔶㡤㘴㡥ㅤ㝡捡つつ㡢戳㔶㤶搷扥戰㜱敥㈳㥦㑣㉡㔷㡦愱㠶㥢㘳ㅦ㈶㜳散〳㤳攱晣㈱愴挰㈶㘸挲〷㙦㔲㌱ㅣ㝢ㄲㄹ㜱散㝤扢㘳㐳改搸搳㘰㜵捦戱㘷慣ㅡ挹ㅣ晢散愱搴㡤㘷愷㉣㉤扦㜹㕥晤㥣㜱㈵㠷㤴慢㤷㔱挳捤戱户㤳㌹昶㤶挹㜰晥挰㔱㘰ぢ㌴攱㠳㍤㔱挳戱搷㤰ㄱ挷摥戴㍢㌶㠲㡥㙤〵慢㝢㡥扤㘱搵㐸收㔸敥戰㔵㥦㐶ㄷ㍤㕣扥晦ㄷ㉦㥥昱敤㄰捣㡡敦愱㠶㥢㘳慦㈶㜳散ㄵ㤳攱晣攱愲挰晢搰㠴て㝥㙥捣㜰散㈳㘴挴戱㉤㜶挷昲改搸㜶戰扡攷搸㈷㔶㡤㘴㡥㍤㝥㐵昸攵攸㤰㕢捡㕦㍡昱挱挳㥥ㄸ搰㕣慥㜶愲㠶㥢㘳捦㈷㜳散㌹㤳攱晣㐱愲挰摦愱〹ㅦ扣㡥挵㜰散ㅦ挸㠸㘳捦摡ㅤ㍢㤸㡥㝤ぢ㔶昷ㅣ晢捥慡㤱捣戱㐷㌲㉡㍦扥㉤敦扥昲攷㝢慥摤昸挸戰㔵攵敡㈷搴㜰㜳散㠹㘴㡥㙤㌶ㄹ捥ㅦㅡち晣っ㑤昸㜸昴ㄸ挳㌱敥㍢㠸㘳㥢散㡥㡤愵㘳摣㔱攸㥥㘳㍥慢㐶㌲挷㠶扤扥攷㙢敦敤昶收愶㌳㤶摤搱戲㝤昹㜵攵㡡扢づ搹㙣捥㌶㤲昶㍢㡦㠷㤳㌹昶㤰挹㜰晥㠰㔰㈰ㄳ㥡挴戱㐹㠶㘳摣㜶㄰挷ㅥ戰㍢㜶㌸ㅤ攳㠶〲㍥摤戸愵摡摤慡㤱捣㌱捦㈵㙦敥晢摤㠲㤷捡㕦㝡户敦㘹挷㥤㜱㔹戹攲愶㐳戶㡢㘳昷㈴㜳散㙥㤳攱晣㘱愰挰㘰㘸ㄲ挷㘶ㄸ㡥㜱搷㐱ㅣ摢㘰㜷㙣㈶ㅤ攳㝥〲㍥摤㜰㙣㝦慢㐶㌲挷ㅥㅣ戴晡昳㈳ㅦ㝣㙦搳ㄷ㐷㌲戵㜹㤳攲㥥㐳戶㡢㘳户㈶㜳散ㄶ㤳攱晣挱㥦挰㐱搰㈴㡥ㅤ㘵㌸挶㑤〷㜱㙣扤摤戱㘳攸ㄸ户ㄳ昰改㠶㘳挵㔶㡤㘴㡥愹昵㜵攵㌷敦扣愲晣㡡搵㌳㕥㝣攸㥣㔰戹攲㤶㐳戶㡢㘳搷㈵㜳散㕡㤳攱晣㈱㥦㐰㌹㌴㠹㘳挷ㅢ㡥㜱捦㐱ㅣ㕢㘷㜷慣㠶㡥㜱㌷〱㥦㙥㌸㌶挱慡㤱捣㌱慢愷㡣㥥扢扡㕣㜱挷㈱摢挵戱㉢㤲㌹㜶戹挹㜰晥㐰㑦㘰㍡㌴㠹㘳ぢつ挷戸攵㈰㡥㕤㘶㜷㙣ㄱㅤ攳㘶〲㍥摤㜰㙣㡥㔵㈳㤹㘳㜳㐶㍥ㅤㄸ㍣攵愹㑤户つ㑤㕢扦晤搰ぢ换ㄵ㌷ㅣ戲㕤ㅣ扢㈸㤹㘳㝦㌰ㄹ捥ㅦ摥〹㔴㐳㤳㌸戶挴㜰㡣㍢づ攲搸〵㜶挷愲㜴㡣㝢〹昸㜴挳戱戰㔵㈳㤹㘳捦扦㜷昰ぢ㜷晦慥戹㝣敢ㄱ㌵㑤㥢ㄷ㡣挱昳ㄸ㙡㘴扢㌸㜶㜶㌲挷捥㌲ㄹ捥ㅦ搴㔱㑢愰㠹㑦㤷㝡〵摡捥㈵〱晥〵戸ㅡ㉥敥戶愲㔴㥦㐰㜲㈲㠸㍦㘰㉤㠸㉢㔹愳㘶㍤慢㠴㑦捤〱慥㑡㑢扤㤳㈱㡤㠷㈰慥㈲ぢ㑣愷摡㘱㕡〹愶㕡〹㔶㌶ㄵ㙣㈳㤹㡦敡挶㈳攵挹挹㕣㌸挹㘴㌸㝦㡤㈰戰捡㌲扡摡㌰捡ㄵ㕢㌱㝡㠲摤攸㤹㘰㘶㥥〱ㄶ㍥摤攸ㅢ㉥摣㑡㡤㘴㝤㌳愷攷㤲㍢㡦㍢晦晢昲ㄵ㑤晢㘷摦㜳搸搳攵敡〲㠸㘷户㌹搶㝥挵㙡㐹收㔸戳挹㜰晥捡㐰攰㐲㘸ㄲ㌴捦㌳ㅣ攳㠲慤㌸ㄶ戵㍢㜶〱ㅤ扢ㄴ㉣㝣扡攱ㄸ搷㙤愵㐶㌲挷扥㉥扢昹挹改搱ㅢ换扦㝤昶愱㉤攵挳㤷㤶慢㜵㄰捦㜶㜱慣㈱㤹㘳昵㈶挳昹敢〱㠱㙢愰㐹ㅣ㕢㘳㌸挶昵㕡㜱㙣㤱摤戱换攸搸㑤㘰攱搳つ挷戸㙣㉢㌵㤲㌹〶㙤㜲㥣搸㥦㕦㔴㍢扤㕣㙤㠰㜸㌶㡡㥣昷ㄸ愱㘴㡥搵㤹っ攷慦〲〴敥㠲㈶㜱散㉡挳㌱㉥搷㡡㘳㌵㜶挷搶搱戱㡤㘰攱搳つ挷戸㙡㉢㌵㤲㌹㜶㐵搵摡㉦摦戸昶戵昲敦ㅥ扣昸挳戹㤱㜵攵㙡ㄳ挴戳㕤ㅣ㥢㥦捣戱㜹㈶挳昹戶晦挰攳搰㈴㡥摤㘸㌸挶搵㕡㜱散ㄸ扢㘳敢改搸㌳㘰攱搳つ挷戸㘸㉢㌵㤲㌹收昹攱搰攳㐶っ㜸愸㍣㕣昳晣摤㍢晢愳挷戶㐰㍣摢挵戱搹挹ㅣ㥢㘵㌲㥣㙦昱て晣〵㥡挴戱㍢っ挷戸㔸㉢㡥捤戴㍢戶㠱㡥扤〱ㄶ㍥摤㜰㡣㙢戶㔲㈳㤹㘳㐷㠷户昶㌹攷搵捤攵扣㠵ㅡ戴晡㥤㜲昵㍥挴戳㕤ㅣ㥢㥡捣戱㈹㈶挳昹㜶晥挰㌶㘸ㄲ挷敥㌷ㅣ攳㕡慤㌸㜶戸摤戱〷攸搸㈷㘰攱搳つ挷戸㘴㉢㌵㤲㌹〶㙤㜲ㄸ攷搸㝤攵敡敦㄰捦㐶㤱昳ㅣㅢ㥦捣戱㜱㈶㈳攱慤晢扢愰愹戳户敥㌳㠸㍥ㄴ攳㑡㙦㉣ㄳ㐶扤㘱〶㝣昷っㅢ挵㕣㤸㤵搷ㄳ搴㑢捣㝣㉦扣㈴㍢扡㌸ㄴ㥤㠲㜷挱攳搵搸㔵㤱〶㌳搴ㅢ敦㠸攷搷㌶慤搷㌰㙢挹戱戲㉦㍣㍤㡡昷㌲昷〸㑦㡥攱ぢ昸㜵改つ㌳㠲捤昸㔹戹挶摦挲㝥㍤㜶㍢昹㉡ㅦㅣ挶扢戳㕤扦㐰昰㌲搸捥㉦戰摡㈲ㄵ摡昱戰扥㠴㥤挲㜷㙢晦戲摤㝡摦愳ㄸ㘲搶㤷慦敡㙣㙦㡢㑦㔳㘳搱挵㐶〴昷㉡捦捦搲㘶㑦ち㜶㤸㈰敦㝢ㅣ㈴ㄵ〱晢㜲㙦〲攲搷㥢㔱㈲摦㄰㌳㕥㕦攱攵摡户搳㌹㝥愵㠳㙦㌹昱㜸㤷㐷敡㥡ㄷ晡ㄶ㠶㈲ぢㄶ㌶攳慢ㅢ㍤改戱㜵㈸㉥㍤㜳ㄴ昹㥥㑣摡戴㐳㕤㥢昶㌴㥢昶㑣㐲搳㥥㡤㙦㥡攲敡㌵㥢㘷ㅤ㡡㘷㤶ㄸ㝣づ〹㜷㉣㡡㕤つ扥㐰捤挴愲ㅤ㠷㤷㔸挴㉦搴ㄸ㌸㈸慥㈸挷ㄹ攳㌲慤ㄸ摢㠲㠴扢戱㕣㔷㘳慦㔰㌳扤㙢㌷昶ㅡ㡢㙣挶戸捡ㅢ㘷㡣㑢愷㘲㙣㉢ㄲ敥挶㐶戸ㅡ㝢㤳㥡攳㍤㝢㡢㐵㌶㘳㕣㜹㡤㌳挶攵㑣㌱昶づㄲ敥挶昶㜳㌵昶㌷㙡㡥昷散㝤ㄶ搹㡣㜱㌵㌴捥㔸ㄶち挴搸〷㐸戸ㅢㅢ攴㙡散㈳㙡㡥㌷戶㥤㐵㌶㘳㕣愱㡣㌳挶㘵㍦㌱戶〳〹㜷㘳㝢扡ㅡ晢㡣㥡攳㘱晣㥣㐵㌶㘳㕣㌵㡣㌳挶愵㌸㌱昶㈵ㄲ敥挶晡扡ㅡ晢㍢㌵挷㝢昶ㄵ㡢㙣挶戸㤲ㄷ㘷㡣换㘳㘲散ㅦ㐸戸ㅢ敢攵㙡散㕢㙡㡥昷散㥦㉣戲ㄹ攳敡㕡㥣戱㌱㈸㄰㘳晦㐶挲摤㤸捦搵搸て搴ㅣ㙦散㐷ㄶ搹㡣㜱挵㉢捥ㄸ㤷㤱挴搸捦㐸戸ㅢ昳戸ㅡ㔳〸晦㜲挰㤸捡㈲㥢㌱慥㐲挵ㄹ攳搲㡥ㄸ昳㐲戲敤慢㠳昱搳改昷晦㜲㥢㑥㝢㈴㕡搳づ㙢㕣ㅡ㡡戳挶昵ㄶ戱搶ㄳ㤲敥慥㝤攳㙡慣㌷㌵挷攳㤸改㌰挶攵㥡㌸㘳挷㕢挶晡㐰㌲㠹㙢㍢㕤慤昵愳敡昸昱戸㥢挳ㅡ搷㔰攲慣㜱㘱㐲㕣摢〳㤲敥慥㝤敡㙡㙣㉦㙡㡥㜷㙤㙦㠷㌱慥㙢挴ㄹ攳㘲㠱ㄸㅢ㤸搴搸㠷慥挶〶㔳㜳扣㘷㐳ㅣ挶戸搶㘰㌷ㄶ攰〳扣摣昰敤㑢挹晤㐸戲㐱晣㡡捦昰㜲攷昷㌶㙣㜱㡢戵て愶昸昴㤴㔴挵攷㝡㘱扣㘵㌲㡣慦㘵愱㤲攲搳扥戰摥㌴㔹晣戲㔶㍡摥愳㜲㌲ㄸ攲搲〸㠸㘵攲愷㑡㐲戵㜸摤㐹㤶㝣ㄱ㌱㤶愲戶㕡敥㝣㥥扦㔷晢㈵㝤ㄴㅢ挳㐷㝣㈵户㈶扣㥣攷戰挸㌶攲㔷㐲㉦摤愹扡晣攱㌱㍦ㄶ捣慦㔰㝣㤸ㄷ㐳戹㤰㜴敦愸㉤㤶㌱㡦晤晥㈱㥦㥡攳㍢慡搰㘱㡣㙢〱㜶散ㄴㅦ戰挵㔸㜱㔲㘳捦戹ㅡ㉢㑤㌴㜶戰挳ㄸ㥦捦攳㡣昱愱㔷㡣ㅤ㥡搴搸㤳慥挶づ㑢㌴㌶挶㘱㡣捦捣㜱挶慥戲㡣㡤㑤㙡散㔱㔷㘳攳愸㌹㝥〸㑥㜰ㄸ㕢攷㌴挶㠷㐳昱㙣㔲㔲㘳て戸ㅡ㍢㥣㥡攳晢㙣㡡挳ㄸ㥦㉤攳㍣攳〳㥢ㄸ㥢〶挹㈴昳挶摤慥搶㘶㈴㕡㥢改戰挶〷扥㌸㙢㝣㡡ㄲ㙢戳㤲㕢扢捤搵摡㥣㐴㙢㐷㌹慣昱㈹捣㙥捤扢〹〵㕤扥㐱攷昲摤㉦㡣㌴㍤〶つ㔱扣戳㤶㈵挰㘳㤹㌳㙦晦ㄴ敦㜵搹っ㍤㡦愵扣挵ㄵ㤹昹㜶ㄹ摥㥥㡡捣㜱㉣攵㥤愹挸㔴摢㘵㜸㔷㈹㌲挷戳㤴㌷㤴㈲ㄳ戴换昰㘶㔰㘴㙡㔸捡晢㐰㤱愹戵换昰ㅥ㑥㘴敡㔸晡扥㈵ㄳ戲换昰搶㑢㘴挲㉣攵㕤㤷攸㔹㘰㤷攱ㅤ㤳挸㉣㘴㈹㙦㤶㐴㈶㘲㤷攱㡤㡥挸㉣㘲㈹敦㜱㐴㘶戱㕤㠶昷㈷㈲㔳捦㔲摥㥡㠸㑣㠳㕤㠶户ㄵ㈲搳挸㔲摥㔱㠸㑣㤳㕤㠶㜷〳㈲戳㠴愵扣ㄱ㄰㤹愵㜶ㄹ㕥挳㐵㈶捡㔲㕥扥㐵㈶㘶㤷攱愵㔷㘴昸㕥㈱挵慢慥挸戴搸㘵㜸挱ㄴ㤹㘵㉣攵戵㔲㘴㤶摢㘵㜸㥤ㄳ㤹ㄵ㉣攵㈵㑥㘴㕡敤㌲扣㍣㠹捣〹㉣攵㤵㐹㘴㑥戴换昰㉡㈴㔷㤰搳㜱㔶昰慡㜳愸㕣㜵㝣㡡㔷㈶㘱㥣㘶㌲㐶ぢ㐳㈹㕥慤㠴㜱慡挹㘰〴㤳㕥㠹搲捣攱㈰ㄹ挸昵㜸〵㍦挰昲㕣摡㠵㈹㝤搳㕡㔲敥㑦摤攵搹ㄳㄷ㤴㥦戰㘶扤〷攲㜵ㄵ㉦㌳搲慣㔵㐸㈸㕥㘱愴㔹扦㐳㠲搷ㅤ晥㈹㕥ㅤ㐴收㔴戲㜹㘱㄰㤹搳捣〴㌳㡡㤳扡挸㥣捥㔲捥攷㈲戳摡㉥挳戹㔸㘴捥㘰㈹愷㘱㤱㌹搳㉥挳㈹㔴㘴㝥捦㔲捥㥥㈲㜳㤶㕤㠶㌳㥦挸㥣捤㔲㑥㝡㈲㜳㡥㕤㠶昳㤵挸㥣换㔲㑥㔵㈲㜳㥥㕤㠶戳㡣挸㥣捦㔲㑥㌰㈲㜳㠱㕤㐶捥㜶㌸愸㉦㐴愹㜵〴㜸搶换㝤挳ㅦ㤰挰㥡扤㥣敦㤴㡡摡ㅥ㘱〳㍣敦㐵敡㘲㐳㑡捥㜸㑡挵改攲㤹㉦㔲㙢っ㈹㌹攷ㄳ㜴昱摣ㄷ愹换っ㈹㌹敢ㄳ㜴昱散ㄷ愹换つ㈹㌹敦ㄳ㜴昱晣ㄷ愹㉢つ㈹㌹昳ㄳ愴㌸〳㠸搴㔵㠶㤴㥣晢〹ㄶ㌹〷㠸搴㍡㐳㑡捥晥〴㕤㥣〵㐴敡㕡㐳㑡捥晦〴㕤㥣〷㐴敡㝡㐳㑡㘶㠰〴㈹捥〴㈲㜵愳㈱㈵㜳㐰㠲㐵捥〵㈲戵摥㤰㤲㔹㈰㐱㡡戳㠱㐸摤㘲㐸挹㍣㤰㘰㤱昳㠱㐸摤㘶㐸挹㑣㤰愰㡢㌳㠲㐸摤㘱㐸挹㕣㤰愰㡢㜳㠲㐸㙤㌰愴㘴㌶㐸搰挵㔹㐱愴敥ㄶ愹㑣㥥搰㜳㈱㤵戲㐲搵ㅥ㕦㜷晣昱晦捡㑣换ㅡ㤰㜶搴㤸㕥㤷㙦㝢晥挳㡢㕥㥦㌷㝡挷㝦搶慥㝤晤攳㡢㕥晣捦㈳㌵愳㥦扤敥扡愷づ㕦昷攲㠷㝤挳搷愴㙣晣搷㤴㙢㑥捡㕢㝣搲搲昰散ㄱㄳ㑦㍡㝡搱㤱㜹㌳晡㡣㑣㑤敤搱㘳㔸扦㍦敦㌹㍣戰㙡改㠳㙡昳㕢㝢㌴㉡㌹晢搹㡣㝢㘰㠹㘳戸㍦晥〲㥣〵愴ㄹ昷㈲愱敦〳改㥤愲㘴ㄲ愰㘸摣㈸收㘴㈰愲ㅢ㈹㤵慡㘴ㅡ㐸㤰攲㜴㈰㔲てㅡ㔲㌲ㄱ㈴㐸㜱㐲㄰愹㠷つ㈹㤹ち㈸ㄵ㜷㜶㜱㑡㄰愹㐷っ㈹㤹っㄲ㜴㜱㔲㄰愹挷っ㈹㤹づㄲ愴㌸㉤㠸搴攳㠶㤴㑣〸〹㔲㥣ㄸ㐴敡〹㤱ち㔸〰㈸捥〲㌲ぢ㡦㌶㘷攱戱愸㥢㡥昷挴昲挴ㄷ挶愱づ〶捦㜵㘱ㅣ攲㘰昰昴ㄶ挶挱づ〶捦㘸㘱㤴㌹ㄸ㍣㠹㠵㔱敡㘰昰扣ㄵ㐶㠹㠳挱㔳㔵ㄸ挵づ〶捦㑥㘱ㄴ㌹ㄸ㍣㈱㠵㔱攸㘰昰ㅣㄴ㐶㠱㠳挱搳㑥ㄸ昹づ〶捦㌴㘱攴㌹ㄸ㍣戹㠴㤱敢㘰昰㝣ㄲ挶㐱づ〶㑦㈱㘱攴㌸ㄸ㍣㙢㠴㜱㘰㍣㈳挰搱㥤捥㝥㝤ㅤ〹扤㤵攴つ㤲㌷㐹晥ち㠲㤱换戱㉥㤵㠷挵㔵㔶㡡攳㕦ㄸ晢㥢っ晥㠰慡㝥〷愵㡡㠳㕥㔸晢挵搵昱㈸㡥㜳㘱散敢㘰㜰㘸ぢ㘳愸㠳挱搱㉣㡣㈱づ〶〷戰㌰戲ㅣっ㡥㔹㘱っ㜶㌰㌸㑣㠵㌱㈸㥥攱愵昷ㅤ晣㐴㙣晢㕡戶㘰搵挰ㄷ搸㜲㔵摢摦㌰扥戱愵㐱㕥晤攲㙢攰㑦㜵㌶昶㌱㕦㍥㍡戲㑤愶㙦㕢㐹㥢㙣㐶㕢㤱搴搹换昸愱挵㘰㑤㝤㠸㈲㈳摢㤵敥收攴㠸㍣捥㌸㥥㜴㥥愱挹㐳捡慤〶㌲挸㍢㕤㜵㔹㌰㕤戱㠲晥〸㘸昰㔰敤㈹挹㉡㡥てㄹ㈸ㅦ㈳挱㕢〳愵摢㔲㤲㔵ㅣ㍣㈲戱ㅤ〹戹㔷搲㙤㈹挹㉡㡥㉣㤱昸〴〹昹晡㠰㙥㑢㐹㔶㜱搸㠹挴づ㈴〸戸搲㙤㈹挹㉡づ㌱戹㑦昹ㄴ〹㉦㥢摢〵ㄷ搹挰㕦昸㠴昳ㄹ㉣㈸㝡㑡㔳晡扦㤸愳㔷㤲晢㥣㌹㝡㈰戹㉦㤸㘳㙢㈵昷㈵㜳㙣愳摣㐶㔹㤳戵㈰㈵㉡搱愲戸㈹㕣㠹敡㠴㔲㌱㤱㔰㉡愶㔸晡㜷搳㠰攸ㄵ㤳㉣摤㘵㉢つ㔰㐴㈶敡慦㤰挰㤷㉤挸㤴晣搷㤲昷戲戸㠳昱㙦扣ㄵ㥡㠳㡡㕦搱敢摤㘰晣㤶愶㡣晢㤸㔷㐶㝡攲㤹搰㤷攲㈳攳㐴晤㐶ㄱ㘹愶㤱㙣㍢㈵㝡㥡㉣㥥㐳摤㍤ㅦ㝡挰ㄳ晥㘱㕢㘵㔰挷愷㠴㜱㍡㜴㑤捡㍣ㄷ晥〱㘴昸㉢ㄲㄸ㠴敤㐹挹㝢㠹摤㠱挹つ㔶㕡㙦敦㤵昷晣挶攸攰晦㜷攸㝤㐳昴搸㌳㑡户㈷㈵㥦㐹㌴㌹㘲昱㍣换㘳㔷㜹㈶㈵㠸慣捦昹敡摦㥥晦つ扥摤挳戵</t>
  </si>
  <si>
    <t>㜸〱敤㕢ぢ㜰㕣攷㔵摥㝦㜷敦搵晥慢搷摡捡换㑥㘲换㠹昳㘸㘵㠴㘵挷㡤㐳敡戱昵㠸㘴戵戲㉤㕢㑥㥣〲㤹捤搵敥扤搲挶晢㔰敥扤㙢㑢㤰㡥搳㌶㙤ち昴㐱摤ㄷ㈹〹㐹ㅦ㔰㤲㘱㈸㡦㠱㤴㔲捡㤴㐹〹㌰㈹愵㐳〳挳㜴㍡ㄳ搲㌰ㄹ㥡㑣敡っ㌰愴㐳㈰㝣摦戹㜷㥦㕡慤㘵挵ㅤ㌴㐳晦㘴㡦晥挷昹㕦攷㥣晦晣攷㥣晦㍡愲㈲㤱挸ㅢ㐸晣换ㄴ㘷收慡㤹㈵捦户ぢ㠳愳愵㝣摥捥昸戹㔲搱ㅢㅣ㜶㕤㙢㘹㉡攷昹㌱㈰㤸改ㅣ摡㍤㈳敤攵㝥挱㑥愴㑦搹慥〷㈴㈳ㄲ㐹㈴㜴ㄴ敤挴攱㉦㔵㈹㘸㤶㜴㥣〰㔸㤱㉥ㄳ攰昸攸挸㤱搹㝢㌰晥㡣㕦㜲敤ㅤ晤㜷〴愳散ㅢㅡㅡㅣㅡ扣改收愱户つ敥摣搱㍦㕡捥晢㘵搷摥㔷戴换扥㙢攵㜷昴㑦㤷㘷昳戹捣㍢敤愵攳愵㤳㜶㜱㥦㍤扢㜳昷慣㜵搳摥愱㥢昶散㜱㙥戹㘵㙦㔷〷㐶㍥㍣㍡㌲敤摡㡥㜷戱挶㑣㜰捣㈳愳㈳㠳㠷㙤晦㘲㡤愹㌱㈶㠶ㅣ㉢ㄵ慣㕣昱㈲つ㙡㤰捡㝢挶散㑣㡥散戰㙤㌷㔷㥣ㅢ挴戲ㅢ〸㡤搲捤㠳挳㥥㔷㉥㉣㤰戳愳㜶㍥㝦捣㜶戸㐵㕤ㄸ昳晣㘹换㉤㜸㕤〵搲捦㜶敤㘲挶昶㝡ち户㉤㘶散㝣㠸攸㈵ち㜷㔸敥㘱慢㘰挷㤹改㉤〴㍣㥣捣摡㐵㍦攷㉦㜵ㄷ㙥昷散㘳㔶㜱捥㈶㡡㔱㤸㈸攷戲㉡ㅥ挷晦㤱搸つ慤㔶㈶㡣挲㝡ち愳昳㤶敢㑢㠹㉣ㅣ㙡㠵㕢㈷㉥戲㡢㠶㜵㔱愴晡㥢㝡㤱㘷㌳戹挲㍢㙤户㘸攷㌹〹户㌹搰㠴㈴〴ち昸㔰愵㔴㘵㍢攴㤲敡っ㡦〳昷挲㔹捣㈴挰搵㠷㑢㙥〱〲㜹挸戶㡡晢㜶づ摥戴㙢捦㡥ㄹ㍦㍢㘶㥦㐲㘱攷ㅥ摤〹ㄴ摤㐵攴㙥㠰㉢挷换昹㝣晦戴㕢㜲搸愹㝦㙣㜴扣晦㉦㥥散㍦㘱攷收收㝤摤㐳搴㕥〰ㄵ㍦㠷㤳㔸㍦ㅢ㐷㠹愶慤㘸㝡㌶㥡捥㐴搳搹㘸摡㡥愶㥤㘸㝡㉥㥡㥥㡦愶㜳搱昴㍤搱昴㐹攰㔴㔲愲愳㈳ㅡ愶攲挴晣㍦㙣㝥晢搷㈶晥晣攵㔷ㅦ㜸攱昹㍦㜹搶攰攱摢摤㙡敢捤㔴ㅤ挷㘹捣㔸㥥ㅦ㌲㥣摣戸戸昲㜰㝥㜱ㄸ㜷㌳㍦㝥㜱挰㈴ㄷ㐵ㅣ昴〶㔰㐸㙦〴㌰晢〰㌶㑣摢㥥㤷㉢㐰㔳收㌲㘰㜹㉥㘳敢㑢㠸㜰㈹㠰㔲㍦〰㠷挹攵愷㑥㝣昸㙦㉦晢捡搵愳㕦㜵晦昰捣敥㕦摥晦㤲愲㕡攴昱㌵㉦〷㌸㡦㜰㕤〱ㄴ扤㠹挸㥢〱晡づ㐱㐷收ㄶ昲戶㔷㈷㔴㔷ㄲ攵㉡〰愵扥ㅦ㑥昹搳ㅦ扤㝡攴昳㘷ㅦ㍣㜴昶搳㜷㕥晦愲昷愳て㜶㙤㐱昳搱㔰戶挷㕣敢㌴戴㐵㑤ㄱ敤ㅡ㠴ㅣ慦㐶〳㐳〱㍢㝢㥣㥢㥤愱愱散㥥㥤搶㙥换愰搰慥昶愸愷㠰摢攵㥣挸ㄵ戳愵搳㜲昶慦ㅡ戱㍣扢挶晢㠱戰㙤愴㔴㉥㘶扤㉢㕢㌷捥昸㤶㙦㙦㙥㙥慢つ戲慣摢っ㌴愳敤挹㝣㕢㥡扢摤㘱攵换昶昰㘲㉥㘸扥扡愹ㄹ㝡戱㌴扢㜲敢戸㙢摦㕢㙤㕤戶愲㘱㕣愵愷㘴散㘵扢っ㥡㠲㜵昵㡦捥㤷㍣扢㈸换ㅢ㈸㑣攷㌲㈷㙤㜷挶收㐵㙣㘷㘵慢㤷戲㈹㔴捥〳㐷㡡搸㈸搴㙤昶㥡晡㕡攷戶㐵摦㉥㘶敤㉣搶扢㘰扢晥搲㜱㙢㌶㙦㕦搶㠰ㄲ捣㠹㠶㑤つ搵攳愵㑣搹ㅢ㉤ㄵ㝤户㤴㙦㙣ㄹ捥㥥戲㜰㈱㘴て㤵戲㌶昴㜹㥣㈹愲㈲戱㤸㔲㤱户戶搲㉣ㅣ搷ㅢㄴ㐶搴戱㤸ち攵㡡㐶戱ㅢ㍣㠶摤㘱ㄷ㜹㥢㌲ㄹ摤㝥㥥挱㘴㕣づ昳㤶㤵ㄱ敢昶㐴慢㠵搸㌷慥㡣㉤㙢慣㜲敥挷㡢ㅣ㡤昶㠵扢扦敤ㄴ㉥捤㠳㔶㌱㥢户摤戶㌶㤷攲㡡昴㔶〰攳㌹㥣收ㄵ愹㐷ㅤ慦ㄶ搵㤲㜱㍡㤷昵攷捤㜹戹㘰㔰〷扢㉣㤱㈰㘹㤷㈵扤つ㔵晡ㅡ㠲㙢〱㤲挹㠸戹㥤㐸㘶㔲㕦ㄷ㤴つ摥㘲ㄷ㝥ㅤ搳昲搳㜲晤挳㔶昳㡣〲㙥ㄵ㉦ㄶ㙢戵换㠳㤶㌷敦㔳㍣摢㌶昲攲搵搷ㄳ摣〰㘰昰搲㍣敦㙤捦㑢㌵㑥愳愶扢㌰㘶㍢ㄶ搴愴㥣㙥㘵ㄹ㠵挰㍡ㄹ戳扤㡣愶ㄹ㌳㠹戳戲㘸㈲㠷挳摦㔵愰昴摢㡢晥㤸攵㕢ㅤ〵ㄸ㐴攰㤲〶搲㠰昴ち㜲散搹㉤㜵㤵摥挹戰㠴ㄱ㔲㤲慤ㅢ愵㔳㉡㠲㤱㜰㜰㜰㕥㈲戱㄰戶摦〴搶捥㍢捡㙣ㄶ昴㐶挳〶昶㔶㜶挲㉥ㅥ㕦㕡戰㍤愲㈷捣戶愴㙣㍥㕥ㅣ散㐸㘶昶㜶㍦㤷昷〶戱搲〹户㔴㕥戸愸攳㘰㑤晡㐶㠰㑡㌲晥ㄱ㔲扣晡㍤搱㈷改㌸㐵摥愴搳㄰㘵㤴㔸愳㘹㔹㘹㑡㉢〶㝢〳㝦㈴改ㅤ昸㤳㙣搷㘶㔰㉣㉥挴〸ㄴ㡦愵〰ちㅤ㜷㙤㌱㙢ㄳ㔲〰戵扢ぢ㈷㑡敥挹搹㔲改㈴攵愹㐷㑡摥扣㙤晢㌴ㄵ㍢㐳搳㔸㑣㘰愵㘲戱〶换慥捥愶愴㤱㘹敥〴攸ㅥ㠶㤵㔸ㄹ搱㌳㠷㔰ㄵ㠳搱㙡敥㐲收收㥤㝢㜶摥㈴㥣ㄹ㑡捦〴㑥搹摥愱昴攸扣㕤㥣㕢捡摤㔹㑥ㅦㅡ㍥㤶挶敤㌰㘷敦敡㍦㝤摤㙥换捤㜹㈷〷ㄷ昳摥愲晡㈶㠸㐳㡢攳挱㡦摦㝤攳挷扥㝥㜶攴扤摦晡摥㐷慥晦攷摦晣㤰㝡㈶㙣㔸㘶㈹搲㥥㘹㜳㠱㌷ㄸ㘷㌴㙤ㅡ㉥昰㉥㘷㍣㤷昷㙤㔷㜴㜴慦㠳㍦㠱㌷㈲攵㙥摥㑢慥㤵〹散晣㑢㥣㔱㕣㑤㜰㝦晣愵摡㘵扤散㙡っ㙥㡥㥦ㄸ〰敢捥〰㤰敢扦挱〸㘸㜳挱㐲㘸㥡㑣㠰昶挸㜵㐲挴扢慦攵㜱ㄵ㤱ㅡ挴挸㡤㐲㐶晣㘶摤㈲㍥㕥ㄵ扦㕥〸㠹扤㜳㘵挳㠰挲扥㕣㐸搹㘹挵㑢昸㈷㈶㑣慢戰㔱㘰挲散〱攱昴摢〸㙥㈶搸㑢㜰ぢ㠰晡㑢㈸㈳㥡㌶捦㐲戳㝦〲ㄵ㑦挲ㄷ㝡㐰㙣㠸㕢㠹昳㜶㠲㝤〰㌰㔰㐴攵挳㍥搹㡦愲㜹㠰㜵愲㍤晡㜹晤㈵㤵愲㈳㐶㤳㐵てㄳ㡣戰㌴ち㜰昸愰㥤㠷㈵㝣戱㘲㐲〶ㄵ㕦晢扢ㅢ愲挳戵㕣㔶㤸㔹㉡㘶收摤㔲ㄱ戱㌲㥡ㄴ挳ㄹ〴㔵㍣㘵㤹㠵愹搲㘸搹㌷ぢ〷㜳昸搳㔵㌸㘶㉦搸㤶㍦ち㑦〷昶捡ㄴㅣ㜰戱㐶㈶戳㡢晦㤷搶㑡㠴㈶㈵㥣挸㥡挱愲㥡て㙥㘰㌷㠴攴ㅤㅣ㉢㈱㐰㘷㑢戴㤰㘴㌷㑤㔸㥥敢搰ㅣ㠹攸㌱慣敥搱㔷㥦戸昵扡㐷扥昴㐶昸昷っ〴㔰㤲愶㈳扦摣戴㤸㐰㙤戲㕤㥢愲㤳㑦昳㐲昳㍡㌷愷〰㘲㄰〳捤ぢ㕣晤〱㠶㙥㜹ㄱ晦㝥搸戰㉣㈶㐰㍦㕦〲㐹搳散晦㈵愰昱㠸㈰摦㤸昴㌱㤴昵っ挱㜱㠰扡㈳㜲㐷㔰㔴㡣ㄵ挸㤹㌸㐱愴㍢〱ㄴ〳〴ㄲ㜹㝡ㄷ㌲㤵愴㝥ぢ攳搳㌶ㄳ晢㡡挱㠵攵㐴戸ぢ戵㐹摤愶㑤㌱散㔰㈵㠲愶ㄵㄳ㄰攰㘱っ摣㤲〰扦ㅥ㌶㌴㐷㈸っ㝡㍣ㄷ攰㔹ち慤㥣㍢㜲昶㘹敡㠲ㅥ〷愱挸搱戲攷㤷挴㙥敦㜶挶㑡㠷㑢晥㔸捥㕢挸㕢㑢㝤㑥㤸㌹〱ぢち㜶㤳ぢ攷扡愹慥戴戰㘰㘷戵㌳㔳㉡扢ㄹ㝢㜲㙣㍤㜸摤㈰〷㔸㈷づ㜷㔴㈱慤捤㤱挴㜱㔶㤰ㄲ愴㠸戱つ〳㌶晢〳㜵㤷㘵捤㉥㘳愴愶户㐶搱攳㌹㍦㙦㜷㍡搲㉥昹㠴〳㉡㈲㔴㤱敤㜰㡥捦挳㑥ㅥ敢㜶㈶摣㕣㌶㥦㉢摡㘴〶㙣㍤挶㜷愷散㌹㠴㈵愶㑢㕥㡥戱攷㙥攷戸㙢ㄵ扤〵㝡㔸㤹愵㡤つ㈵㔱㝥㠶㌳㤲㉢㝡㤸㐶戸挸㝣慦㌳㌳㕦㍡㡤㠷㠹㜲愱㌸㘱㉤㜸敢㠲㉢㍣㉤㐱ㄲ搶愸愸㡡㐶㔵㈲㥡㔸㉢㝦㑣〷愳昵〵〱收㝥挸愹敦收㘶换㈴㤸㑣㐲㘵ㄲ㈷㄰ㅥ㐶っ㍡敦㙤散ㅤ㕡㍤㘱戰㠸㠱㄰慥戵㈱㥣摢搲㈷慦扥昶搰搲搱㜳散㌳て昰㡥㠹摢㈷㙢㈱挲㌷昵㔰㘳㌰摣搰㝣㤵㌴㑢㕥㌵㈲㐳扤摡ㄳ㠸㄰敢㈸㔱㌸㤹㤰〴㤶㥡挵㌲改〸づ㈵戴愷㤶ㅤ㠷㔳摦攵㑣㔹戳㜶ㅥ戱㠸㠲攵昷〴〵摡㝥〸攴㝢㘱摢㘸愹㔰戰㈸㜲ㄴ搷㤹㡣㤵户ㄳ捥㜰搹㉦ㅤ捡ㄵ戵〳㈰㜲ㄹ㔶㔹㡢愸戲ㄶ愵慡换㌹挶ㄸ愵攴㌹㔶㘹づ㍥㤸㍦㕦挸㘵ㄲ㉣㌰㡥戸㉥㘴ㄵ晡㐳慥㜴㄰㤴愹愲㑢㥡㑤㤹攰㔲〷扢〷㘱戶㤳㜴㘴㍦㈴㍡慡㑣晣愷搶ㄸ挲㠲收㤱ぢ㐵摦㠳搱っ㥡㜷㔴㐵㤲捥㔵㥥㈰捦㥤㐱㡤㈸㈷挵〸ㄴ㥢㌵摦㌸㤸攱㉦捥㈰㔰摢昸〶㘵㌶㌹㔵戲戲攳昰㌴㑢㙥㐷昸戰㤸〰㙢愹㙡摣ㄴ㈳㑥愳〸㘲㈲㌸㝡㉡㤷戵摤〴㉢㘶㘰㥥挵ㄹ慢㌲〳ㅥ㤲㌶ㄱ挳攸㑣戴㥡㙢戲㌲搶昶搰㡦慦㝦㉡㥤㕣㌶晥换㐷昷搲㕡挵戶㘰搶㐶㜴㥥愰〰愰㙥〰攰㝥㥡㄰㜸搰㜵〹挰㘰搴愴㤹㌷㡤挱ㅦ㠴㠸ㄸ㐰㠸换㤳ㅣ挳㔲〹㠴㜰㈴㥥㘵挸㐶㍡敢攲㔰㘶㄰㠲㑡㔴摥昹捣ㄹ㐸戹㥤㑤〶晡㤵挶㈹搹ㄱ㡤挶挱㙡戳㌹〴戰㙣㕡っ㔶㤸戱㈵㐰愵ㄸ㤴㌱ㄷ〰慥攵㘱挱昸改㜶㑦㕥摢㠱㠸㍢扦㙡捡㈴㤳摡㐵㔵㈴愹㜶〰㔶〸㘲戲㈶㈹ㅡ挸㐳㔶晢〰〶㍤㠸㌶㙡〳搶㔶㥤㥦㐹〳挷㜴㙥㉦收㝣㥣㘸㉥㙣㍣攷㘳㙤㕤づ〰戲攲㄰㙥㤶㤳㕥搷㘹愰㙡㐱㙣㕤摥搴㘰㔲㙣㔹摥㕥㙦㘳㙣㙦搱ㅣ㔸ㅦ㜵㐶挷昹㤰挴ち㘹戱挶昵㘴㤶愸挰㑢〸㉤ㄳ㜵摤捡敥㜴ㅤ摤挹搷㌷㘱挴㠸ㅥ㠹攸㔳ㄸ〵㙡㠱昶㡣㍥㡤㉣㙤ㅡ晡㤷敤㐵愴㉥扡㐰㥢㌱㐹扢㈶愸敢づ挳㔷㤳㐵て㥡㈱ㄹ㤶愰昷㝢挲散㤱戲摦搰㘲㉤昶㠵㉤〸摥ㅤ㈹攲戶捥㔸㙥㜶㥤愸㝡散㉤戰㐸㐴㙢慦搱㕡挴㈰㑣㜵ちㅡ昶晦㈲㙡㐸㙢扡昱ㄷㄲ㥣愱㕦搰㑤㜲㔷㘳㌶〹㤶昸㡡㉥㕣〸摥搰挵㜴㥦戶㘱㜷攳愳㠲扣摤㈷ㅤ慡㐵㔱㙢摡ㄹ㥥昵㘰〶晡扣攳挳㥣ㅣ㜴敤ㅣ戳昳ㄶ㕦摡㜰㈵㠷戹改㡣㡦㔰㘴㜵〰扥愲慤ㅦづ㠱㈲昱㤰㑢㑡昸㘴戶ㄱ摥挶㑤昰っ慤㤱慢搰昳㡥愴㔷昶慢捦㍣挴昴昸晥㐸㈵ㄳ㍡〷っ捦戴戱㉣愱㙢敢㈳㘹㍣㐹㝤㤵〰㙦愰攱㐴㜹㜵㔵敡㘸㝥㜶搳㑤㜰㝤㍣㌵昳昳㠲㕥ㅥ㥤㍣敥㘷扣㤵㕢昹晣㔲㡦㌳㔹捣攴换㔹㕢捣戴㡡捥ㄶ㙢㙤㕤昰㑢扥㡥ち㜸搵㠶㉥㈱㔱㈶昱㠹㔴攵改ㄱ㘶捥ㅡ昹愴㤷㐰㔶㔱㜶ㄸ㈳愹㝦ㄱ㈵㥥㍢〶捤㉥㌸㙣挹敦㔶㌶搶㠲敥昲㤹づ㔴摢戲㉡敡㌴〶愰慡㤱㑦㌹㜱㜵㘸㔳愵愹ㄲ㝤扤扡慡㠳戹愰㙡㕤昰〹晢っㄴ㥦㘹挲㔸㕤ㅢ攵摦晦搲搱㉦㙦㜹㘴昶〰挷㠲昶㍢㜳捦攳㥦敥ㅣ戰㜰㕡㐰㝦㜰㐰㌱㉥戹㡤㑤ㄲ㄰ㄲ摢㤴㑥㔹戴收㤹㈹㐶㉤改㥤改㜷〳㈸㠶㉦改昴攰戲ち㡣攰㌳挸㥦摦〸愶攱㐸扢㔷摦ㅦ㘶㔸㔰挳〰ㄵ㍢〹㔹慣㐹㉣换昷㈰慢摦ぢ愰㐶〰㕡㈰扣㡦〸て〰ㄸ㡣㝦㌵㉢㥡ㄵ㐳㜹ㅣ摣㈸搰㐰㑣ㄴ㘸㈸攳㤸㥡㜸㈶㐵愸ㄲ㉡挸散㑣㡣㜲搸昷〳㝣昳㤹㘷戸捦㠸㥡〰愸捣捦〷戴搰㤰晢〰戲晡㐱㈲㌰愶戵ㄵ扦扡㘸㠴㍡㠶攲㌶搶㤹ㅦ〴㔸慤〷慣ㄸ晡ㄲ㍡晦ㄲ㌲㡡㌱戰㙢昱挳挰〱㥤㝦〵昹昳搳㤹戱㌲㤲㔶㝦㈸捣戰愰ㄸ㌰慢㙣〳搹ち㥤㍦㡣慣晥〸㠰㘲㌰慤〵挲㐷㠹昰慢㐴㘰㝣㡤㔶扣昹㌱㠰㉢㉢搶㜱慢㙦㜶㕡㔸挵ㅦ㐷ㅦ㔸挵㡣戹㔵㈶㌱㔹ㄳ㔸挵㥦㐰㔶㝦ㄲ㐰捤ㄱ戰昴愹㌰㈳っ愳㤷搵散㍣㉣㜳散攲㐰㠲㥤〳ㄷ㙦挶㕦捡挳慤㘶㤶捥㐴㤰㈳户㠳㘶戸㌸㈵ㄷㅡ㌰摥晣昲㔱敤换㤷㡦捥㑢㥡㍥敤㤰㙥㙣㤹挷捦挸挱敡㕦戱㍦㜷㔰㝢攷㘵ㅦ㈶昳搷〰㉥㌹㤴换戸㈵慦攴昸晤㌳〸ㄹ昵昳㔳ㄹ〷㉡㜰搸㤸挳㠸㉤攷攴挶攲㐵㝥㠵㜸㡡㑦挷挹㤳挵搲改愲慣挶昰昸挵㤰搰慢愳㠳搳㔰㌱㑡扡ㄶ㔴㑣搱摢㘴㘷晤ㄹ㠰敥㔸㡡敥ㅡ㔳㡡㉥ㅢ㔳㉡〸挴㈰㐳ㅦ㡤挹愰晢戲㕡㠷㠹㘳慢㔹㤵㔱㔹㘵挷㍢㍡㤶搹换换ㅣ㉤㠶㍢攴㘱ㅦ搱㜴㑥㘶㘳换捤㐶㜶敢㑥㡤ㄴ㘵㘷ち㠶㝥㤸攰ㄱ㠰㘴㡡㥥ㄵㄷ㘴晥〶挰挶搱㤱㌴ㅥ㥣㉢㑦搰㤴〲昳㔱搴㜷愱㕥敥㠰㘳昸愰挷㝣っ㌵ㅢ㔰搳昸攵愷昹㔹㔴昷愰扡㉥攰㤴愲换㈶愴愴㔶㤴敦㈱昵ㄷ㤸愳慤㘰搰㜶㙦摥㐶㕤〴愸挹㔷㐸搵㌹㜰㐲㤰つ捥搱戲㤵挷㌷愷㐷㘰㐵昸慣㕡て㜷㑦㍣戰攵捥㉢ぢ戲㠵㥦扢㡢㉣㘹愶㐱㈳㉢挳扤〹晦搷㜶㤳㈵㡤㥦㍤慦挰㔴㘶㘹㉤㌰㐹晤㐵慣㤳户ㅥ㝤㉣㌹㌸扦㡤㑣㌴晣㈹㝡〳㔲晢㌸㌲㤵㘴搰㜲㔹扤㤹挴晥㝤戵㌰ち〳㘶〳㜹㔸㡣慢㠸㑦㍥㠱慥㡡㤶搱戲㌵愸㜷㔷㙡㝦㈷捣挸攱攳捤㑢攵愸㘶㐰ㄸ慡㈴攴㈳收敦〲慣愸㘷搴㔱愰㔱搷㌴敡㡡晢搱㐷〴晣昷㤰㠱慥㜸て晥㌰愵㜸〹㌳愵摥ㄷ晣㡤愴ㅥ〸㌳扤扣㈷㌹ち㌵昹㐵㑤愹て㘰㌸㌹攰㍣戴晡㌱㠲捦〲愴㜸攱㑡晤㐶㔶晤ㄱ〱㍦昲㔰㜲㕦戲昴㈴㑢昸ㄱ㐹昱扥ㄴ敡ㅣ慣愳㡥愶ㄶ愶挲㔵攳㉤〹挱㕢㔳〸昱愷挸㠰㄰扣㈱㤹㔲扣㈵㤹㔲扣ㄲ㤹㔲扣ㄶ㤹ㄴ㙦㌷㉡㑥㌵㠶㈱愹搴㘴㡤㝦㠶ㅡ晤㌵㠰㘴㡡ㄷ㥣っ㑡攵愴㥢㌶挵㡢㑦ㅡ㐵户㙣㈲挶㌷〸慥〰㐸昱ㅥ㤴挶愷㤱改㡥ㄹ㔴攵户慥ㅣ㤷愸搳㔹〳㌰摦ㅢ㍥㥤扣つ㥦㐲㉥㔱搴㘳㠸づ〶㌱戵㜸昴㘷搶㌶ㄶ㑦㝤〷㠶攲捦搸㡢ㅤ扦㠹㜱挸慦摡㙤挹ㄱ户攲愷晦ㅡ愰㤷ち㥥㔶㔷㤳㠸㥤摢㡦㍡愶〳〲㈳㠹昰㙦敡㐰㉦㙦〳改㜱㤷摡㜶㜶搸㜸敥㑣昳摢攸㙥㐹摦摤㕦昱ㄱ搵ㄷ搰㠳敥扣扣㜵搶㍤昳敤挶戶㕡㍥昳敤ちㅢ㥡㍦㌸㔲㕦挴㈸摣㡤晥ㄶ〰㘵㠰扦ㄴ㌵㡣戰昰敦㤰搱摦〶攸㡥愶㉡ち㐶㍤㠱戲昴愹搶愰㈲挵㔳㉥㝤晥㥥攸㌱挵㔳㐹搶慢ㅤ㤸㥢昴ㄶㄲ㍤换ㅡ㥥㠲摡昲愷㔰ち㕥㈹㙦㔸㘹昹搷㠷つ捤捦戴㈹ㅥㅥ㤹昴扢挸㘰㔲㥥〰㤹㜴㝢晤愴摦㐳㙤㉦㘵晢挲昸挲㠳㜰㘱㝣昹〶㈷挲慦㤹㉦㕢㔷摡搸㤶戰㘱搹昳敢搳ㄸ攵㝣捦慦㜵摦㔲㜳㔲挳愱搱搰改〴搵ㄴ㜷㠹愱攵挵敥敡挲㙢㠹㡢慦㤹愷昰㈸㠸㌷ㄲ晣换㡣搰㠴挰㘳㈱㝤㡢㑡㍣㕥㑢㠹㥤㑤攷㠸㡢〰㝤㠷㌳改㈱㑡㤴㑤攰㙢㑣ㅦㅦ㤷ㄵ搷挳㑤て㑢㌸㑥戵〰㜱攵ㄷ搰搱㤶㐶攸ㄶ㌴㌷㝢㔹㜵㌶㑥㡤ㅥ㤵㐸㐱㤴㡦㉣㙢扢攷捤敦㘳戲㡡搳㤴慤㝢㌶㡣慢慢挰攲攰昲扡㍦昲〶㤷捣换㕢晦ぢ晥挸挱㤵㤳〴㤰搴㉦戲㙡㝢〵㐴っ㙡㤳收㡤搱㈵ㄸ攷捥㥢㍥㌳敥散攴㙥㉢㈹挵挳㉣挷攲㕦㤱搱㍦㈰㜸〹㈰愹㜸㥥攵㝣㕣㠲㔵昱㔰摥㠸㡡〴挲ㅢ㍣攳搲搰ㄷ㌶扣〵ㄵ晡ㄵ〰挵昳㑣㜱㌴㝦〸搰㕢昹㈷㉡晤㘲搹㝢㔱㤵慡散敦愵㕤㥢㙡晢㝢ㄵ戸㥡㈷㕢〹㥦戸扦㝦㘳㔵㙤㝦㡡慡㠰㝢㥣㜹攸㉢〷晥㝢昷㕤挳㡡㘷㔸㈶晡て㘴㕡ㄳ㌳㔹㤹㉣㔲㑦捣晦〴㝥ㄳ㌱㝦挴慡扡挹愸〲㌸㔹㈵ㄹ㘴挰慡愵㠳摡㙥㡤〶搲㝦愱慢㈲㙢㐵㘳扥ㅥ㘶㔸㔰㘴㡥搰㍣ㄶ搲㥣㐱㡢㐴搴㔴㘴㤸㌴㐴挳㠶㝤搲愰ㄴ㤹㈸つ㉡㙣攰愵愲㌹㜴㉦㔹搵㠳㕦挷户愳ち㥦㜰㍤㄰㝤㉡晡㠲晡㝣昴㕣愴ぢっ㠸㉢扣愷攱昱㔱㤱㉤㈲㝡㝣㙣㔲攴㠸㉣ぢ㕤㙡ㄶ㈵愹㈹㌸㌱攲㤰㤰㠲挳〰ㅣ㌳昲㤳㕤愱愰ㅦ〷愸愴ㄴ㜷㈷㘲㘷〲愹㍢搶㑢摣ㄳ愸㡢㉥慡捣摤搹扢敦㝥慤㌷摥扦㌹㝥攷㠱慥㠷㥥晢㥢攷捦㝥攷攷昷扤昸晡挳て㝦攷㠵戳捦扣晥搵搹㝤㑦㝦敥㜳㑦扤攳搱㘷㥥摦攸㍣ㄶ晤攳搷愶ㅥ扢㙦攸攴㝤昷㍡户扦㜵攲扥㜷摤㜳㜴㘸㝡挳㐰㉣搶搱㜱㐳摦㕦㕤㜱㘳敡晥㝢扦慣扥晥㑦㤷ㄷ㈱户攱攲㍡㤰㤱㤹㌱㕢㡡扢㤱㐲〲ㄹ慤〱扡愳㑡㌶㠳搶挶ㄵ㜳㔳㠲摡㐹慣ㄸ㘲挰㈱㠱晦晤㝦㠲昳㌱㠲㉥ㄸ㈶挵〹攸㌰攸㙥㘴㜴て㐱㉦㐱ち愰㍢慥㌸㤳㌰收㠷つ晤㄰〶愹㌴扣ㄲ㌶愴㌸㐸ㅦ㙡ㄵ愷㤴㍥㉦㌷昴㠹ㄸ㥣愲捤㠷㈱㌵挵㈵ぢ㉡㌰愴㑥ㄵ㤶㉣摣㔶㉣〷摦搱㥢〵㍥搰ㄷ㌷㠴攱搰㠱㉡捥挶㙡㑤ㄵ户愷㕡㈵㝤㌶〵捦慢晣㐷〱㐴ㄹ愸つ㝡㘹㜳㡢攰㠳㝡㈴㘰攴㥡㤵慤戲捡〲㍢㠰㤶㔰慢㐶㑣〴摦㉤㕥ち㙡㌰㈹㕤捤㐹㔱㤱〹挲㡤换㤰㈱㤲搲搵㥣ㄴㄵ㌹㈴ㄸ㤷㈳㐳挳㐶改㙡㑥㡡㑡搸㠷㐶㝤〵〰挹愹㙡㌹㈹㉡戲㑡㑥挳㈶㘴っ㉥㘱ㄵㅢ〰搶㕡昵挵㘶昴㔵摣〷愷搲㔷戲挴㌵㑢改㉡㤶戸㔲㈹㕤捤ㄲ㔷㠵晦㙢㘲捤㠲㤲㐱敡㙢㤱挷㜷㘷捤戸㔲㉢㠳ㄲ㜷㙢搸㉣㈳挸攰慣敤慦慢㑤ㄱ㐵㡥换㌶㘴攰㘹戰㔱捡搷㐸搹㘰㜵ㅢ挹つ㕥㤸㈸づ㐹っ摤㕤〸摥扥㈵扡㠱㝦愶㈲昵㌵㜱ぢ㘵㜸㈳慢〷ㅡ㔰㤳㐱ㄵ㘱㙦㤰慤ち㜳㘷搸㐴改扦㔰㐹敥挰㑥昸挳㑤户愵扤㌰〷㠲扣㍡慣㔰㡡慦〵㘵㤲扣ち㤵慥㘵愵㙣㤰㜶㍦戵昲㠴搵㤷〰㜹㌳昰戸挱晦㜷搴摢㑥敡㤱㌳〸㉢㔷戳㔲敥㈵㌵昱㝦挵摤㍡户扦㤷ㄸ愴慣搹昸㡣昰摡ㅢ㥤晦ぢ㠱昷㌸㈶</t>
  </si>
  <si>
    <t>㜸〱敤㕣ぢ㤸㕣㐵㤵敥敡改敥改敡㤹挹㌴㐹㜸ち㘱㠲㍣㥤㘴㥣㘷㈶〳㘴㈷㤳㤹㈴っ㤹㍣挸〴〲㘲㜶搲搳㝤㍢搳㐹㍦㤲敥㥥㘴〶㄰愲㈲㥦㔱㤴㠷攸㈷㠸ぢ㐴㐴㘰㔹㔹晤㍥㌱㈸敥㉥散㝥㉢慢愲㉢昲㤰㙦搷〷〸㈲ぢ㐲㝣㉥慥㍣昶晦捦扤户攷昶敤摢㤳㐹㡣摦收晢搶ぢ㜳晡搴愹㔳愷敡㥣慡㕢㔵攷㔴摤昸㤴捦攷㝢ㅢて㝦昹〴㠸㥣㌸㍣㔹㈸ㅡ㤹㤶晥㕣㍡㙤挴㡢愹㕣戶搰搲㤷捦挷㈶㠷㔲㠵㘲つㄸ㐲㈳㈹攴ㄷ㠲㈳㠵搴㘵㐶㜸㘴愷㤱㉦㠰㈹攸昳㠵挳摡㡦晣戰昵ㄷ戵ㄳ㥡愵㜴㠰〰㕣㍥ㅤ㈲愸㈵㈰慢搶〴ㄱ㠰晡㍡㠰つ晤换搶㡥㙥㐵挵挳挵㕣摥㔸搰㜴㤱㈹㝥㐹㕢㕢㑢㕢㑢㘷㜷摢愲㤶搶〵㑤晤攳改攲㜸摥㔸㤲㌵挶㡢昹㔸㝡㐱搳扡昱搱㜴㉡扥捡㤸摣㤰摢㘶㘴㤷ㄸ愳慤ㅤ愳戱捥挵㙤㥤㕤㕤挹㥥㥥挵昵昵㤰扣愶㝦搹扡扣㤱㉣ㅣ㉥㤹つ㤴戹戶㝦㔹换ㅡ愳㜸戸㘴捥㠲㑣㠸ㅣ挸㘵㘲愹散㘱ㄲㅡ愴昹扢〶㡣㜸㡡晤㘴ㄸ昹㔴㜶㑢ぢ㥡㕤㘶㘸愴扡㕢晡ち㠵昱捣㜶㜶㜹扦㤱㑥慦㌷㤲搲㍦㤹㠱㐲㜱㕤㉣㥦㈹搴㘷㘸㍦㈳㙦㘴攳㐶㘱㔶㘶昹㐴摣㐸㕢㡣㠵㜰收愲㔸㝥㑤㉣㘳〴㠸㌴㘶捣㍥ㅣ㑣ㄸ搹㘲慡㌸搹㤰戹戰㘰慣㡦㘵户ㄸ㘴〹㘶㔶㡥愷ㄲ㉡㄰挰晦扥㥡㌳扣㕡㈶ㅤ㠵昶㘴晡挷㘲昹愲愴搸㠵㙤㕥扣㡥攱㈲㕡㤴戵㡢㐳慡挹㔵㡡㝤㌶㥣捡慣㌲昲㔹㈳捤㑡搸㤳捤㉥㈶㌱㤰搹て㈵㑢搹敡戰㤷㔴㥤昵㥥㔰ㄷ搶ㄲ㙡〴㔸戸㈶㤷捦㘰㐰慥㌶㘲搹㈵慤㉤慤㥤㍤慤㡢㍢㍡摡ㄶ㜵戵戵㜷昶㉣㕥扣愸㙢挱㜰㌱㌱㘰散㘴㕥㕢㤷㡥愲㠸㍥㡡㠵㘷〳ㅣ摤摥摡摥戹㄰愰扢㘹㜰捤㠶愱愶㤵昹摣慥攲㤸㥥㐳愶戹〰㉡昰㌲㕥㔶㜷扤晥㤱㤸㝦㘴搴㍦ㄲ昷㡦㈴晣㈳㠶㝦㈴改ㅦ搹攲ㅦㄹ昳㡦愴晣㈳㕢晤㈳摢㔰搲㝥挲戵戵㝥敢㘹捡㍣㝤㙢换扥㝦㍣晦ㄳ挹搳㕦晦挳ㅤ愳㉦㈸扥㥦昲㝡ㅦ〳㘴㐱戹ㅥㅤ慤㡢扡扢摡㝢㕡㍢搰挰㡥捥搶㐵㡢ㅣ㙡㜴戵改㘳㔱㐲ㅦ〷㄰㍡ㅥ㈰㉡㡤㠷ㅡㅤ戶〶㈷㌰晦ㅤ〰㑡㍤てつ愸挵戶㥢㤶晦昶㤹攱ㅤ㉢敥慡㝢捦㘳㥦扤晡晥搹㡡㌳㠳㔴㝦ㄲ㤰㤶昲敡㕢㕢扢扢㝡㝡摡扢扢摢扡㍡ㄷ昵㉣㙡敤散敡㜶㌴愰戵㐳捦㘳〵㈷〳㠴㥡〰收㙥㌰昲㤹㔴㌶㤶戶敡ㄷ㙢敡昹攴㌹〵㐰愹ㅦ㔹㡤㌸㜶敥㤲㔷扦搴摦扣敡慥搸㜵晦戱晣改㤳摡ㄴ㘷㈶㘹挴愹㐰㕣㌶㘸㙦敦改敥攸㙡敢㙡敦㙥㙦敦㔸摣戱搸搹㠴㡥づ㝤ㅡ挵㥦づ㄰㍡〳㘰搶㥡扥㈶愷〵捥㘴敥㔹〰㑡㍤㘵㔵扥户㙢昴て捦晣㙥摥昹㔷㝦攳昸㤷扥㍣晣挹搳ㄵ㘷㐴愹扣ㄹ㠸慢昲戶搶㡥昶㥥㥥搶昶搶㐵ㅤ㙤㍤ㄸ㐶捥捡㌱㡥ㄶ㔰晣㐲㠰㔰ぢ㐰㘰㘳㕦㝦扦㝥㌷㘹慤〰㑡㝤捦慥搲㤸晤捦㔷㕥昵攳ㄵ㥦㝤晢户搷〴ㄲ㍦㕡愶昸㝥㑢㤵敤㐰㕣㔵戶昶戴㜵㉣㐲慤摤摤ㅤ愸慦戵愷摤㌹㜶摢㜵〷挵㜷〲㠴扡〰收㑣つ㕤㘸㙥つ摣㐵㘴改〶㔰敡㔱慢〵挹昹㕦㕣㜱搳㐵挷㉦摤㍤㝡晤㠳㑦㜶〵摥㔶㥣晣愵〵㍤㐰㉡扡扤ㄳ收挶㈴摥摤搶摥搱搵搹戱戸扤搳搹敤㙤晡㙣㔶㜰づ㐰攸㕣㠰搹敥㙥㕦搳愷㤷㤰攳慦〰㤴㝡搸㙡㐲晣㤱攷ㄶㅦ昷搲挰戲敢㍢搷扣昹㤹挱㐷㕦ぢ㜲改改昰㝡晢摤ㄳ换ち㉣㐸昱㔸愱㘸捤㜹散慦挳㍢㈵ㅥ㜸㐶㕣㤱㡦晦昹㘷㐴㔴㜲㔸㘶㐴扤ㄴㄶ搲㝤〰愱㘵〰㜳搷ㄹ昹愶〲收㜳愳改愲㔸㝡摣㘸㝡攴慢㑤敤扡㥦㍣〳〰㑡㝤摤敡愱㕦晣愴攵㑢㑦慥敤㔸戹愷攷㠹搹㥦晣㥢ㅢ㕥慤㕦㠱散ぢ慣改㜶㈰ㅦ摢㠵〵㙣㙡㙤㙣㙦挱㕣㍡㤳㑤〱昶〴挹慥㘴㜷戲慤㉤搱搵ㅡ敢㠸〵㌹晢捥㜴昵㈱㙦㝤㜲㘳㉡㥢挸敤㤲攵攸挴㘵戱㠲㌱搵ㄷ捤㔶摥戲摣㜸㌶㔱㜸㠷㜷收㜰㌱㔶㌴㑥㜰攷㑤〹愹㈸㌶㡣挵摡㈸㐸㝤昳摣挵挴㠶㝤ㄳ㈹㌳晢㈴㔷㌶㤶敡摣㘸昵摣ㄵ㜹㘳㐷㈹户愲㐵㝤搸昶敤㌴㤸㕦愱愵㤹㘵戶慢愹㝦㉣㔷㌰戲搲扣收捣扡㔴㝣㥢㤱ㅦ㌶戸㘹㌴ㄲ愲敡搱捣戲昶ぢ捤㙢戳㔰ㄴ㍢㠰挴㈹㑥㙡㜲昹㐴搱挸㈶㡣〴摡扢摤挸ㄷ㈷㌷挴㐶搳挶㌱㘵㉣㘶㥤挸㌸扥㡣扣㈲ㄷㅦ㉦昴攷戲挵㝣㉥㕤㥥搳㤷搸ㄹ挳ㅥ㈵戱㍡㤷㌰戰挵〸昰昱㈹㕦㑤㡤㔲扥㜷㜹扤改㤴㕢㘸㤱㡥㜰㜴㌱㜷ㅣ挷㤵て扢㤶昵搰づ㕡愴つ㡥㐹晦愹〷㄰㈶㜲㈹收慣敡㡣づ㥤戸挳㈶昷㤹搵戹愵㡤愵㥥晢昳㌲晢晤㜳㉣敤㤷敦挴㍥敥扣㔸㌶㤱㌶昲搳晡〷㡡㉤搲㉢〱㠲晢昰㌶㔷戵ㅥ㌷ㅢ㙡㐲㑤〶㜷愵ㄲ挵戱搰㤸㤱摡㌲㔶〴つ㍥㐴㌸㑣搳㔶㍣㝡㄰㈴㝤㍥挱㉡㠰㐸挴ㄷㅡ㈲㔳㈸愲㔷㥢改㈰㌷㔲〷扦㐳愴㤷愲㘵㐷ち昷愱㄰捣㘰㤶㉦搴搴㜸㘹㜹㕥慣㌰㔶攴昰㥣㌶戳㡥昲搶㄰慣〵〸㜲昷㜶挰つ㈸户㡥〱敥戳ㅢ㌲〳㐶㌲〶敦㐶摥㙥ㄵぢ㘶捣つ昳㠰㔱㠸㙢敥慣〷昱慥㑣㠴㠰㘱〲慤捦㜰昴ㅢㄳ挵㠱㔸㌱㔶㥢挱ㅥㅤ扤愴挱搴㉣愵㑣㡣㈵ㅢ㠴㘶㤷㡥㔸㈹㐸㠸ち敡㤰㔲㈷〴㔳ㄲ㕥ㅣ扣㉦扥ㅡぢ㑥慦〴摢づ㈵㐲敥㠱㕥扥搷㠶ぢ㤰㔸㘹㘴㌷㑣㙥㌷ち㘴て㠷愶㌵愵晢昵愲戰戵昱搱ぢ㡢愹㜴愱〵㉤挵㍥㘳㝣晢攱㤴㐳㔹㝡ㅤ㠰晤〴敦挷㈸㥥戹㑥昴㥦㙢㜷戲㙦㐶㐶㝣㘱㑡㈳㐵㜳㜳慦㌹㕡㈱散㙤晣挸愳㌷攰㈷㌲㕤㕥㤰㥢晥㠳昱㑢戸㠷慥捦挰㐲ㅢ昲㠶㜸㕡㘱㐹挰摡つ㤹㡤戹晣戶搱㕣㙥ㅢ挷搳㉣㐹ㄵ挶っ愳㈸摥㡢攵慤㠹㔷愶㔴㑤㑤㤹㡢攱㜰㜳攸昷㠴㉥〶㘸攸㑢愷㥢㙣㠹㠵搰㈵㈰搵挰㡦ち扤〷㐸㜷㙢㔷㙢愷昴㑣摢挸戰ㄹ㐰㔸摣㌶搲㍦㘶㘴户㑣愶㉥ㅥㅦ㔹摤户㝥〴慢挳ㄶ愳扤㘹搷㘹ㅤ戱㝣慡戰慤㘵㈲㕤㤸㔰㥦㠷㜱攸ㅡ㥣㌸戸昰㔲㘳攱〷〷敦㜹㈶扣晡挷扢昷㍦愹敥戴㌲㉡㕣ㄶ晡ㅤ㕣㤸昵㈶〰戵ㄷ㙣㥣㜴㠰㤷㍦㝡〴㘹扤㤹㈰〶㠰愹㐳㍡〳㌳㐷摣㑣㉡晡㉥㥣㍤㜴㠲挰〰㔰昴㔹挴昳㑡〲戱ㅦ㜵㌳攴㜳㐸㐸户搲搹愹散搶慤愰㐶昴㌴㜹㡡㥥㄰扢㔶搳㤴㥡挶搳㌴㥣扡づ㠲㍤つ昰㜱㉢㘳㥢摢㘹愲摦㈳〶㈸戰晣戵㘰昳㌶挰㌸敢搸㐹戰ぢ挰㘱㠰㐹㌳愹攸㍢㠹〱㉥㈳搳攵〰㙡㍥㠰ㄸ攰ち㈰昶愳㍥㠸㍡㑡〶㘸〲戹搲〰扢㐱㡤攸㘹昲ㄴ扤㌰㉦〳㑣㔶㌳挰㠴㤵㔱攱戰搱敢ㄲ〳散〱愲㜶㔶㌵挰㐷㤱慤慦㈵昸ㄸ㠰挳〰搷㤹㐹㜵㍡㝥挵〰搷㤳改〶〰㐵㥦㑤っ㜰㈳㄰晢㔱ㄹ愷〱攸敡㔵ㅡ攰㔳愰㐶昴㌴㜹㡡㥥愰㤷〱攲搵っ㌰㙡㘵㔴㌸㡤ぢ㈰㐹っ㜰ㅢ㄰戵戹慡〱敥㐰戶摥㑢昰㌹〰㠷〱㍥㙦㈶搵㐲晣㡡〱敥㈲搳ㄷ〰ㄴ㍤㐸㌱挰摤㐰散㐷㙤㜴ㅡ㠰敥㘶愵〱敥〳㌵愲愷挹㔳慤攰昰㌲挰敡㙡〶ㄸ戲つ攰㜶㘱㍢㈰㐹っ昰ㄵ㈰敡晣慡〶昸㉡戲昵㍥㠲〷〱ㅣ〶昸扡㤹㔴㥤昸ㄵ〳㍣㐴愶㙦〰㈸㍡戰㘲㠰㝦〰㘲㍦慡捦㘹〰㍡扦㤵〶㜸〴搴㠸㥥㈶㑦搱㉤昶㌲㐰㜷㌵〳㉣戲㌲㉡㍣攸戳㈱㐹っ昰㙤㈰慡戳慡〱ㅥ㐳戶晥㉥挱昷〰ㅣ〶昸扥㤹㔴㜴愴挵〰㡦㤳改〷〰㡡敥戳ㄸ攰〹㈰昶愳㥡㥤〶愰攷㕤㘹㠰ㅦ㠲ㅡ搱搳攴㈹㍡攵㕥〶㤸㕦捤〰㑤㔶㐶㠵晦扥ㄴ㤲愶㜱攳捡㕣㘶搶㔸收挶搵㈷㔷愴搲㐵㈳㉦㍢昵挶㈴㝥捣㌰愹愴ㅢ攸㥤攴㘳㜱㌳〰㌹㌷搹て〷〵㜱搹攲攴㤴换㔶攱㈰㤹晥挳㕦摣挰㈳捥つㄴ㈷戰捣ㄵ㥣挶捤挲愰㜱㌹㠲搳㌳㍢〶㔱㍤㠶㤸攷愶㑤㠶㔴ぢ㈴㤷て㌲昲扢㜷㤸ㄲ㝣㉥昱㍢〷㈱戹㕢慢扢㠷ㅣ散㤵㠳㤴㠵慡扡㘲昴戶晥攲挸扡て扡㑣㐷昶㔹搸㐶㍦㐷昰㌳㠲攷〹㕥〰㔰㈷㔸搳㙣ㄸㅢ挱㔷㐰愸㠱㐳扢换捦散ㄷ〹㝥㐱昰ㄲ㠰㘳㥡㝤ㄹ挹㄰㜹㠳㑤昴摦㈳㑡昵㈱㈱ㄳ敥㉦㠱攸㔷〱敡㕦〳㔸㜳㥥㤱㐶㈸攴㜰㥤㔳〵ㄹ㘱㥢摥㜹挳愸愱㡢㜲㑣㘶㜸㌲ㅢㅦ换攷戲㌸搸愳㑦搹ㄷ挷㐱㑦㐱挵㐲㤹愱㕣晦㜸㌱㤴㌹㉦㠵㥦晡捣㝡㘳扢ㄱ㉢昶㈳搴〵㠷㜵〸ㄱ㔱㜱㐷〷ㄳㄳ晦㤷敥慡㡦㌱〵㐴ㄱ愷㍣㔶攵㝥㘷㑤挷搱㌲㙦换㐰づ㠷㠶㠶ㅣ㙤搲散愱㄰㐲て㐷愰㍦敡搳晢搱扡摢㝥㜵敦㌹愷㝤昶晥户慤摦慢㌰晥攴搱换㤰㔹戹晥晥〶搴挸㜴㜹㙡〰ㅣ愵昵㌷昴㍡㔲㌵ㄸ〶愶㈳ㄲ㠲㘸㑦㐷㈴㘸㘵戸㈳戴挱㤵㈸㝦㄰㤱㌵㠹㤱㈴㉦㑡ㄹ扢ㄸち㤸㤵挴改㘰晦㜸愱㤸㤳戸㐵㐳㜲㈰户㈶㔷ㅣ㐸ㄵ戶愷㘳㤳㜳㤲ㄶ戲ㄱㅥ㈴晣挶㍣㠲㡢㉥㕡㙥晢㜶㈳愱㤳挳戹昱㝣摣ㄸㅣ㌸ㄲ愲㡥㌰〷挶愲〴ㅣ晤ち捦愱〵搲㌰㥡ㄵ愶㄰㍣扥㈰挳㕦敥㜸㠸㘳㤹㤸摡㤱㜰㉦搸㌸㘵搱つ愹㘲摡愸㑢㑡扥攰攱㈴慣㠸㔰㙤愲㌶戹㘱っ㜱㠲㠱㠶攴捡㝣㉡㤱㑥㘵つ㜶〶㜶㌹㍣㜲ㅤ㌲戶㈰㉣扢㉥㔷㐸昱㌸戸㈱戹㈱ㅦ换ㄶ戶㌳挲ㄴ㥦㥣㕤㤶㤲㜷㍦㤸㕣㤶捡ㄶ㔰㡤昴㈲昱挶攴昰㔸㙥ㄷ㉥ㄱ㡣㘷戲㉢㘳摢ぢ㐷㐴慦㘰㜲戰ㅥ改ㅡ攵㔷㝥扦ち晢挳㠷摡㍦愱㌷㈰㙥㡥㜹㔸搹㠴㜱㕡捣愷㐶挷㘹㌰愹愵ㅤ㌰㐰㈰㝤攸ぢ㌲㜸㌹捤㑡捦昵摥ち㤶㌳㄰捣戶㤶ㅤ㉦㜹挶㈴㑢㌷㌳戸挶敢㌷㔹收㉤㠰昳㔷㕥㌸㌸㜵㐴昲㈷摤㥤〸慥㠲㍣昷㑣敡ㅥ㜹愵㠸昴搱㘰㥥㘵づ㈱搲㌸愲昰㘶㘲㈴㌰攵ㅥ㤶㤱愴昰㜰㠴捥㥡㐲㔷㈰愸㔹㥦ㅣ㡡㡤ㅡ㘹挴㘲㌳戱攲㉣㌳挱㕤て捥搶ぢ㔶㕥㝦㉥㤳㠹㜱挸㜱戸づ挷㘳㘹㈳㥣散ㅢ㉦收㔶愷戲㍡〹㈰攳搲㈲挵㈶㐰㡡㑤〸愹㍥戹㥥㘷㌴㠲㔳㔶㙥ぢ㘲㔰挵戱㑣㉡ㅥ㘶㠲攷㈸㐷挴㔸挵晣㈱㉢ㅡっ捡挷㥥㑢摣㉢戹戹愶愱扢㕢戰㘱愵改搸晤ㄸ搱㝥ㄵ挲㝦敡㄰㐳昸㤸㜹㘴㔱搱っ㘰〶戹戱攱㔴㈴捦㝥晢扡搰晥慢㐰㤱挹㐹慤㈶〳晥㌴㤹㠸昰㉦戰〶㘰摡昸㙥㉤ㄸ㈲㐳戹㔸㘲〵㝣慣㕣扥搶扡敢ㄳ㐶搷㜲慡挹㐷ㄹ㜱敦挷㈱づづ㠷㜶愶ㄲ㐶㍥㑣挲㌰㜶㈷〱挶敡㐳㘶ㅦ搲㌶扥㘰戰㉥散㔵搷愰㉤敢㔴㉢㡥改扣搶㌴㔸㈱晦㤵ぢㄶ昷愲㔱㔰慢〶㔰晢愱㠷慥愱㑥㙢㤱愴㍥㉥〶摥㤸搲㐱㠰攰㍡㘴扡晢愶㍣昸㡤㄰戹〶㔳㐰㙥挹㌰㉣ㅦ㐶〸㕢攲昹㐱㔱愴捥ㄱ㠷て㤹㈱昸戰㝤昵㈶㌴捣㜳搳㐴挴㥣㕦戹㌷愳愵晤晥〰扡㍡攴㜶㝥㉢慡㠵戰捣戰㈱〱㝡搵㠰㈶㠴㐲㈸㝣っ㕦ㄶ挸ㅦ㤹㍡扡㤷〳搹㈱㌰㜰㙢㠱ㅦ㜹㈲ㄱ捤㕤慥㉦愲㌶〰摡㌶愰㈶㤱〸㍢㔰㙢攴敡〸㠰㘲ㄸ㤶㍢〱挷扡愵㐶㤰攴摡攵ぢ搵㠱㘵愶㜳愵摡㡣ㄲ㜲搸㔳㑦挱㌱愴㌸つ㤵㠶攵㉣㔰て㍣㉣攳㉣㠱㍦摤㐸㈱㔶㐲㈵㠰搸㙡〰戵晢㍡ち〶㝤ㄴㄹㄹ晦昵㘰㤸㑤㠶㌹㘴㘰㐸㤸晤ㅤ㥡㡢㔴㥤㙤挷晥戶昶㡡㡤ㄸ㡣㜷っ㜸㘰㍣㠶㠵㙤愱づ攳ㅤ㑢愱挷㔱㘸〱っ㙥攳㡤㠳㘶ㅡ敦㜸戰捣搸㜸㡣昴㡡昱㑥愰㘰㠶㝣换㡣㜷㈲愸〷㌶ㅥ㐳挳㘰昴改㤳㈸挴㑡㈸挶㠷㙤㌵㠰摡挶㥢〷〶㝤㌲ㄹㄹ㍢昶㘰㘸㈲挳㝣㌲㕣〱〶㌱摥㈹㐸㥤㘸ㅢ捦㝤㜷愳摡㔰㍣ㄵ㠵㘰捤摤㡥㕡ㅣ搶㍣㡤戵㥣捥㕡昶㠰挱㙤捤㡦㠲㘶㕡昳っ戰捣搸㥡搷愲㤸㔸昳㑣ち晥ㄸ㔲㘵搶㝣ㄷ愸〷戶收㜵㈸〶㐶㥦㙥愶㄰㉢愱慥〷攲㘱慣〵㘰搰ぢ挹㜸㠳㌷㐳ぢㄹ摥㑤㠶ㅢ挱㈰搶㙣㐵捡㌱ㄴ摢扣㠶㘲㍢㜸㘰㍣挶愷敤㕡ㅤ挶敢愰搰㑥ち㘵㉣搹㙤扣㍢㐰㌳㡤搷〵㤶ㄹㅢ㙦㉦㡡㠹昱ㄶ㔱昰攷㤰㉡㌳摥㘲㔰て㙣㍣挶愸挱攸搳㍤ㄴ㘲㈵ㄴ〳搵戶ㅡ㐰敤愱㜸㌶ㄸ昴㌹㘴晣㠲㌷挳戹㘴㔸㐲〶挶戵挵㜸㝦㠵㤴挳㜸㡢扤㡣户ㄴ㍣㌰摥㝤づ愱づ攳昵㔱攸㌲ち晤ちㄸ摣挶㘳昰搹㌴㕥㍦㔸㘶㙣㍣㠶慢挵㜸〳ㄴ捣戸㜵㤹昱㔶㠰㝡㘰攳㌱扥つ㐶㥣捡㔳㠸㤵㔰て〱昱㌰摥㜹㘰搰㠳㘴㘴〰摣㠳攱㝣㌲慣㈲〳㘳攲㘲扣㈱愴扣ㄷㄳ捦㐱戸〶散戰攳㈳づ昹ㄱ㔲捣挵㘴㉤攵慦愳晣㙦㠳攸戶攳㘳愰㤹㜶扣〰㉣㌳戶攳㜷㔱㑣散戸㥥㠲扦㠷㔴㤹ㅤ㌷㠰㝡㘰㍢㌲㑣づ㐶㥦扥㤰㐲慣㠴㝡ㅣ㠸㠷㤹㉥〲㠳摥㐸㐶挶搱㍤ㄸ㉥㈶挳㈵㘴㜸〲っ㘲挷昷㈰㌵摤㝣攸㘹捤昷愲㄰慣挹㜸扢㕤㡢㘳㔴㙥㘲㉤㝦つ㄰㝣ㄶっ搳㙣攲攱晡㍢攲㥤戳挰ㅣ㑡㕥㤸㑤ㄵ戱扦收っ扤㈲㔵挴㑥愱㍥〹〰㔴〲㤳㈷挸扥摢㔱愸戹攴捦㥦㕣㤹㔵收攰捦慢捣㜷㝡晣愷㝡㘴㥢戱〰㐷〸攰㐰㑣ㄲㄳ昰㘸攳㤱ㄴ㈴㔰㘶挸捡㡡ㄳ愸搳慡㠷㜵ㅤ㜶愷㥦昷㈷㠴ㄴ㘴㘶挳㘱㌸㠷㡤挲㝦搸愰挴㠰㌳挲昰摣〱㠷㠸㈳捡㕤〷收〸愳っ㈶慤挱㍡㐶ㄹ捣ㄶ戰㑦㡦㔸㈹㜸㘱戳㉣㜴敤㜸戱㉣㈷㌶㌱挷捡挱㔵㠲戵㔹昸捥昱㔸㍥㜱㠴㌸㕥搰捤㡣て㠸て㜵㠸戱ㅢ〸攱攳㜰㤷㄰㤱ㅢ戵㙣晤㌳攴ㅣ捣㈱㐱㈳昸ㅢ㘸敥搲搹㐱㤸㈹㕥㌳㤷㕥㌰㙦㤵㑢㈰つ户㉣攳扣㜵㥦㌶收㐸㠱㔲㔲㥣っ㥤散ㅢ㉤㈰㈸㔳愴挷㙤㘱昲愲敢攴㝡㈳ㅤ攳扤㍦㌸挸ㄶ戶㉥㕥挴㤱㔸㐹〰敦昴ㅤ㌹㍤〴㡢〴慣㕥㔲搲㑦愱㘹收户㜲㈵昸づㅤ㘲慦愲晦㤲昲扣摡慢㙥戹㤹捦㍤扤㍥ㅢ戱㐲㜵捦㐳晣㌴㜱ㅥ捣戵捥ㄳㅤ扥㐹㜳散㠳㐶㜳㠶㤳挹慢摥愶㌱ㄸ搴挰愰㕤扥㠸㡢慦扣㝣摣挸㔷㈷つ㙦戹㤸㐲摣㈳㍤㌹㉢㌹㤸㡤愷挷ㄳ㠶〴㑤散㌹㕢㘲㈷㐷㐴㝦挹㜷㐵㘶㕦㑤㘳ㄷ换㈸㠳昸戸挸扥〸㜹攸㤱㔳ㅤ㐷㑦挹㘴〷ㄹㄱ㙤㔸敦ㅤて㙦づ晡昸㡣摢㤳搹㔳㠷扦昲ㅤぢ愶戶ちㄲ攷㌴㥥㠶㤴㑥攰攴㡤㜳戰つ攵㠶㜲㡣扣㍡㐸攷愵㑣搲ㄱ搱㑦搰搳㥣昸㐲㠸㄰ㅣ㘲㑣昴戱敦攰㜹㈲扤昴㐳㉦㕦戰㙦摥搱挵愵收扢昱㑣㉦㝡㠱㜱㙣昵㈲敡㤰㉤㥣㥣㑥挸㑥㡡㈱㔲晦㔴㥣㔴昱昴㑣戶㙢㕢搰㙢敡㈵愴捣敤㥡搹㥦㍡〵慡戹㕤昳〳㌳ㅦぢ搹戳ㄴ㐹戳㥥㤷㠱㤱慡户〲ㄲ㤱扦㕦〲戱昷㐹㐰挱㉢㜱㥥㙤挸搴㘹㌲扥敡捤㤰㈱㐳ㄶ㈰戸ㅦっ敥㠹愶敡戹ㄲ㠵〷㌳っ搷㠴㌳っ㕢攱㌵つ攱搲㈶捥捤㙡ㄹ㄰〹扦㠶㝣㥤㠳㔸㔸㡤㜷㉤㝣㡡〷㌷㜶〳挱㠳〶ㄲ敡敤慣㝦〷㠰㘲㠸ㄷ扦㍥㥤㘷ち㠸搴㐱捣ㅤ㝤慡㠸っ㌲㥣㠸愵ㄹ㌱挲攱攲㘴ㅡ㜱㔹愲㡣㐶㤹ㄸㅢ㘸㘶㈳㐶㤶换攳愵つ戸て㡤㑢㘵㜹㘸㕣㌷搷㜵㌷㕡㡡㌱㠷㈱挸攰挷摥慡扣晦㕢㉡捦㠶㑦㕤㤴㘴ㄹ㍥㈱〶扤攷慥㑥挵昳戹㐲㉥㔹㙣ㅡ挶㤹㐳ㄳ敦㥡㈷昱搶昶〵㍦ち㠹㥥㜵㔲戱㐰㤶㕦㤶敤攴摤换挸戶㙣㙥㔷㔶㕡ㄳ㉣昰捡㍤㙢搳戵戵慣㠶敦戲㍣敦㠴挹愲っ愲戱戰摥〹愴愱㈶㙡て愸㈸㘳㝥㝣愲㌲㜵ㄱ㘱㤰㡦㑦㤰挱戰㤹㐶摣㈸㕢㡤慡戸㑡㈸㈳㔰㕢㕢戱挵慢㠸搴㤵㙥挶㠶㐲っ搴〵昷㐰㘵昷扥搰扢㄰㥢㌷㘵㔱ㄶ㤶㤱㍤〱扡㥥〴㠸㐴ㄹ愷㘳㠳㐲㤷〱㤹摤扦㙣〴㌷㌶敤㍢㥣ㅣ〵愱换㐱慦〷㕤愶慤昵戸ㄱㅦ扡〲㤴㔹愰㌸㡥㈶㐲敦〳敤㈸搰捡扦昰㡢㌲〰㈸愶攴㔵㐶昹愶捤晣扡敤晤愰㉢〹攲㤱晥〱愶慣戶㈹〶昱㤸㔲敦㠳㤶ㅣ㉥㐸晡㌴挷〰扢㕢㕤づち扢扣扣换ㄸ捡㤳㝡慥〱㠲㉥㘳搸㡥㑦㤴愱㍢㐱ㄸ愷ㄳ㠴戱㍡㍥㡡㈱㌸㜶㥢㥡㠴㌸㥡㔴㑣昳㘱㔰昴ㅥ㠰㐸㤴㔱㌸ㄱ㑡搳㘸摡㐱㔳㜵㑤㕤愳㡣捥㑤㘹㜶ㅣ〴㥡ㅦ扣摤〰扡㍡㠱㠰愴ㅢ㉤㠴愲搵㠹㈴㤱㤰㐱㘵㤵㥡㙤〳戵㔲戳㤳㔰㐰敡昹ㄴ㄰㘸挶㤸ㅡ㥦㈸攳㙡㠲㌴搹挸㝣ぢ㔱愷〲ㄱ捤㔲㑥捤㍥つ慡扥ㄹ㈰ㄲ㘵㐴慣慡㘶㡣㤴㑤㘹㜶㌲敡㌰扦愴扢〳㜴㜵㈶〱㐹㝢㉤㐴㌴㘳戴㑢㌴摢攴愹搹愵㥥㥡㌱收㈵昵摣〵〴㥡㌱扥挵㈷捡ㄸ㤷㈰っ㘸〹挲愰ㄶㅦ搵づ㐴㌴扢挴愹搹摤愰敡㝢〰㈲㔱㠶慢慡㙡挶㌰搶㤴㘶愷㐳愰昹㠱摥㤷㐰㔷㡢〸㐸晡戲㠵㠸㘶㡢㐹㈲㘱戵愷㘶慢㍣㌵㘳㐰㑡敡㜹〰〸㌴㍢㥢㐲昰㐴ㄹ㠰ㄲ攴㕣ㅢ㔹㘲㈱㙡㈹㄰搱㙣搰愹搹㍥㔰昵㠳〰㤱㘸ㅦ㘰㔵捤㤶搹㤹昲㥥㉤㐴ㅤ收搷㝦て㠳慥〶〸㐸㝡挴㐲㐴㌳挶㠹㐴戳㈵㥥㥡㥤攳愹ㄹ愳㐵搲㠸㝦〵〲捤捥愳㄰㍣搱㐱ㅢ㘱㈸㐸㈸っ〷昱㔱っ敤㠸㘶㍤㑥捤ㅥ〵㔵晦ㅢ㐰㈴捡攸㑥㔵捤ㄸ昵㤱㑣搱慣ㄳ〲捤㡦っ扦て扡㕡㑦㐰搲攳ㄶ㈲㥡㌱㜲㈳㥡㉤昴搴慣搹㔳㌳挶㙦愴㥥愷㠰㐰戳㡢㈸〴㑦㤴昱ㅡ㐱㉥戶㤱㑢㉣㐴扤ㄷ㠸㘸㜶㤶㔳戳ㅦ㠲慡㥦〱㠸㐴㌷〱㔶搵㡣ㄱ㤸㈹捤㜸捦搲晣㜴昱㔹搰㠳㥢〱摣㔳扣攳㜸搵攱晡㜳㈷㄰㜵挴㘳㘴戱㌸㉡㜹挱㜸㉣㡤㙦慣搷挲㈹㈸㤲㜴㈴㙣㈵〳愶㙢㜶挰㜵㔲㔴戸㜴ㄳ㤷㉢户つ捡㤷㌹㑢㌷昹㙡攴搰㕣户㐸㜰ㅥ晡㙥㘶戵愰㑢㍣ㄶ搳㠸晥ㄹ㌲戸㠹㡤攱㤷㍣晡㜹㐰㍦㄰晥㘱愱户愸㉦㌰捦㝡㠲㜴㐴㘶敥昵戰攴㥣愹㌳㑡㥥㐶㌷愷攱〰捥攰昰晦攷慣㥥㝢ㅤ捡搰捥㌶㈸搹㐸㤳晡ぢ㉢㥢愳㔱愵挸㐸挲戱㡥户㈷昴㕦愰㔴摤㠳愹愳㍤㕦愹慤㈸㈳〳晣ㄵ㈰㜸愵戸㥦收ㄳ攵㥥㕡㄰㙥愰〵攱㈶㥡㑦㈳户扤㕣摡㐳㤲㍣㡣㈰捡捤㌲愷〷㜳つ㤷搵㕣ㄶ昲ㅤ㌶㝤㈹㌳晢〸㝥つ㔲㌴て㈰慤晦つ㤰㠶㥡攰㑥晣㥣㔳㍤ㄸ攷搸っ㌵挳㘷㉤晢㝡㜱㌹扥㐶㥣攴㘰愸挱〱戵㜹慣ㅢ昰㥦㝤㘸戲昸㙥㌰㔲挱扦㘰㍤散晥㈷挸㠱㐶㡥〱㑤㠹戲摡晦づ昴挶〹㠰㈰㈸慥㡥搸摦ぢㅡ㥦愵〲㝤㘱敢㌷扡戴㜱搲㉥戱㐹捤扦戱㉦昸搳慢摣户搳晥改㤶攴㜷昳昳敦改摤㌷㡦㙥攰挷㝢搵晢㔱愲㜴摢捣昱挹㑢㉤搴昲扣㘹ㄶ戲㌲摣摦晣㐴㍦〰㐹搲㔹㝦〴搲㔰愳慥挱て㍢㑣〵㔰㠲㔶ㄲ挵摥〴愵昱挳〰〷愷搸ㅥ扢㐴㌵挵㙥ㄹ扥昵㤷㑦摤昱㠳摥㤷㑥㙦ぢ摦㜷攲扤扤㡡㥢㐰㉦挵摥㝥戳㡡㘲㙦㔹ㄹ敥㙦㜹愲㌷㐲㤲㈸㔶㠳昱〳挵㍥㠵戴㈸昶〶㑡㤴ㄴ愳攳摢昸㘹扢㤹㘶捦搸㜰㥡ㅥ扢搹㉥㔱㑤戱㜳慦扣㌳戳慤改慡摥晦戹㜲敢㐳挵㑦㡣昵慡㍢㔰挲㑢戱晦慥愶搸敦慤っ昷㌷㍡搱扤㤰㈴㡡搵㤹㡡摤㠵戴㈸昶㕢愷㘲つ㔴散㙥扢㤹戶㑡收敦㌴㡡摤㘳㤷愸愶㤸敦愶愷摦昹晢㉤㡦昵づ㜵敦改摢晣挲敤扤㡡㕢㐰㉦挵㕥慢愶搸慢㔶㠶晢摢㥢攸㤷㈱㐹ㄴ㥢㘳㉡昶〰搲愲搸㉢㑥挵㡥愶㘲晢散㘶捥㔸戱〷敤ㄲ搵ㄴ㝢敢ㅢ敢晦昸搸㡥慦㑤扤㘳て愳㠴㤷㘲㉦㔶㔳散攷戶㘲慥㙦㙡愲摣㍤㡡㘲敦㌰ㄵ攳ㄶ㔰ㄴ㝢摥愹搸㐹㔴散㔱扢㤹㌳㔶㡣㍢㐱㜹㉢慢㈹ㄶ㕥晦攴㌷㍦ㄹ晦㙡敦攵㜳扦戸昲搹换㙥敡㔵摣〰㝡㈹昶㤳㙡㡡晤搸捡㜰㝦㉢ㄳ㝤ㅣ㤲㐴戱㜷㥡㡡㍤㠵戴㈸昶㥦㑥挵㑥愳㘲摣摢ㅤ摣攴挱㡤攰戴㡡扤昴㘰捤〳ㅦ昱敦攸㝤攳㥥㕦㍤扥㝡㜴㕤慦㝡ㄶ㈵扣ㄴ㝢扡㥡㘲㑦㔹ㄹ敥㙦㘰ㄴ㌷㈶昸ㅦ搷ぢ搰㜶慥㝤晣㡢㜲㜷㈲敡㉥〰㔵㉦愴捥晥愸扤㌱㔰戲㕦㘰㤹ㄲ㠵㘵戸㐳㤰㌲敦㈶㝢㡤攲㡡㉥㈶晡㜷愷㠹摡㤰愹㝥㡤慣愹收昳ち戱㜹㝤昸摢搵㥡晦㉤㉢愳攲晡㌰ㄷ摥〳㕤ㅦ㜶晣㕢〸㍣つ〹㈶ㄹ戳愸㑢㥡㘴慥㤵㜲敡㤴㤶戰㑦㍤㙥晢攵昱慦ㄱっ攱㔲㉢敥昸攱ㅦ晢戱愲ㄵ戸散捡㘸㥣㝤㥦㑣㑢㡡㠵㐳挹戵㜹㕣㌰慢㑤づㄶ㜰慥㤲〸攳㙢敡㈲㍥ぢ捡ㅥ〹㥢㘹〴攲〲戰㌷ㅥ昳ㄲ愰㘷っ㡣挱㉤㜷㕣搲攱㐶㑣搹挳㡥慤晢㜹㐹昰搰戶搲愱㙥㌴挷㍥㝤㑦㌸慥扤〶搴愳攸㘲㌳戴戱摢昷戶戴ㄹ㝢㘳摤〳晥搰搹〰㌵㠸㌹挹㐰〵㠸攸㜳㐰㤱ㄸ扤㜹㉡ㄹ攴㜶挴慤ㅣ愳㤲㉢挰攷㜳晤㔳〱㜵㜵搴搸㝥ㄴ㜷〳ㅣ㐵愱㈵攰昵㙥摡㈳㥥㑤敢㘵ㅢ搸戴愹㘶昵㤱㌴〴㡡搹㉣挵捤〴㥢㘶㍦㡡㉢戴㔴搶て挴扢戲㠷㍣㉢㕢㑥挹攵㤵慤㜴㔵挶〵扥慣㌲慥㥡㔲搹㈰㄰敦捡ㅥ昰慣㙣ㄵ㈵㤷㔷戶㥡㈴㠷㘶㕣㜴换㉡攳㑡㈶㤵慤〵攲㕤搹摦㝢㔶㜶〱㈵㤷㔷㌶㑣㤲愳㌲㉥㠴㘵㤵㜱㜵㤱捡㉥〴攲㕤搹扤㥥㤵㙤愴攴昲捡㉥㈱挹㔱ㄹㄷ愷戲捡㌸攳㑢㘵㤷〲昱慥散㑥捦捡㌶㔱㜲㜹㘵㈳㈴㌹㉡攳㠲攱慣㉣捡㔹㔸㈶搱ㄸ㌹㐷〹攲〰ㄱ挵㠹㔸㘶搳㕢㔱ㄷ㌷㜵㘷㘲㔰㠵㜱㐴挵挹㔹㌲㍥㘳㘵㥣㠵っ㥤〴㔵㜱㈲㤶㤶㙦〱搲㘸晦㈳㐴㑤ㄲ敡㉥昸搵愷敤㔶扦摣㝥晣搴ㅢ㤷〲慦收㤴慣㠰㜰㙣㐷昴㌶㤲ㅣ慤收ㅣ捥㔶て摦晣戵愵㙦㜶㙣敡ぢ昲㉤㥤昱ㄴ挲昷攱㄰ㅤ搵っ敡㔱㝣昷㈹㐳㘷㉤㠴〹挵户㤱捤搰㌹㔲昹㈲ち捦㜶ぢㄱㅥ扥㐴挲戳㠳㔴扥㍦挲㤳㜷昲㜰散ぢ㑦㠱㔴づ㝢攱㈹㍡㜹㌸㘴㠵㘷㥣㔴㡥㔶攱搹改攴攱㐸ㄳㅥ㝥摣愵㉥戱㜹㈶㥣㍣ㅣ㈰挲㌳㐹㉡挷㠶挸戹捣挹挳㜱㈰摤晢㈱慢㝢昹㘹㙣搸ㅦ㔲ㅣㅢ㤲㜱戵㤵挱㘳愰㌰㉥㜸㜰扣㐸挶〷慤っ扡㘳晡㑡㔰ㅢ㌹㉡㜸㐵愷昶晢㝥晣愳㌶㠱㕤晥搹㠱㜱晦㙢晥晤㍥摥捣晥㌵㤶晥〸㙥㡥㉢㡥〰㘹搶㔵㐰ㄴ㍢㕦㥡戵ㅢ〸晥㤷㍦㈵㍤㐱戹昶ㄶ〰戸㉦捡ㅥ㤱搱晢〱㈰搸〲㐸㕦㔴㜰戱㑦㠴敢㙡㤳㑢㝡愳㠲㡢扤㈲㕣搷㤸㕣搲ㅦㄵ㕣散ㄷ攱晡戰挹㈵㍤㔲挱挵㥥ㄱ慥㡦㤸㕣搲㈷ㄵ㕣散ㅢ攱扡搶攴㤲㕥愹攰㘲敦〸搷挷㠵慢㤱㠶摤〸㉥晦㠴㡡㙦㑥㙣摥晣㝡㘳愰改㠴挰挵㑢敢㙦晥改户㥥扢昱㠹昷㉥㜹昱㡤㕢㙦㝤攲昹ㅢ扦昳挶㐳愳㑢扥戹㜷敦扦㥣㝦摢㜷㥥㥢㥤扣摤晦挰敢㐳户㕦搱戶敤㡡ㅤ挹ぢ摦戵昲㡡㑢戶㕥搰戶敥愸收㥡㥡摡摡㌳收㍣㝡摣㤹搱摤㍢昶愹㠷㥦㌹㌶慢愴ㄷ搸㡣敢慣㥡戹㠹㠹戲㌷愴ㄹ搷〳搱㌷〰㌴昸ㄵ捤㉥㕤㥦戵扡㝥ㄹ㔸挳戸慤㐳㑢㑢㐶挶㤵㐱攳㑡㐶摡㤵㐱㝢㑡挶㌶㔷〶㑤㈸ㄹ㕢㕤ㄹ戴㥡㘴愴㕣ㄹ㌴㤴㘴㡣㤵㘷㐴愹㔰㤸㥡摤っ㐴摦㐲昰ㄹ㠲㕢〱ㅡ〲㡡㥡㐹戹㜸㔹㌹愵愸慤㘴㡣㕡ㄹ㔱ち戹つ搴㈰㈵㑤昳戱搳搴㘶㐶敡捤昰㘲ち户㌵㤱捣昲散戸昹㙦攳㠴㌲晣攸㈴㝢㤴㜵愹愰戹挴㌳扢㐴㈹昱捥㉡㤱愴捣昱收㈷〳晣㠷㝥挸搲㍣㈵昴㘸㜷㡥昰愳晦搸㠵扥㔳慡㠷㜹散〶搶㠳㉤慣㘶捣ㄸ㌶扦㐲扤ㅤ搶攰愳㜴〹㤳愴愲慤挵攸㜷〰攱摢慤㜴〹㤳愴㘲㐷〸挷㕥㈰ㄲ㌲搷㈵㑣㤲㡡扤㈴ㅣ㥦〳㐲㜳㉡㕤挲㈴愹搸㈳㍤昸搳㜷〲〴搹㠴ㄹ㈸挰敡て㜱㜹昸㍣㙡㔰搴㠳㔵改扢㤸㘲㥢㈵昵〵愶搸㍥㐹摤捤ㄴ㕢㈵㌳㥢㍤㠷㠹收㈲〴㙤㈸㥢搹㤴〸慢愰㡡㔰㔲敦戵㐴㠹〴ㄱ㑥敡摦㍡愸㔱戲挸ぢ㝢ㅦ㄰㐴㍡㤹㈹改扦㤳㜴㤰攴㘹㐶慥㜹㑦㡢挳㠱愱捦㠶㡣昹㍤㠷ㅣ戸攲㥦㥥ㄲ晡搴㜰戳挶昰㙣㤲㥢换㔸㈳㈶㠹戰搱㐴㑢㠳戹捥捡攲攸㍦搸㤱㕣ぢ㑤昸㠷㙤昴扣改〷戳㌹㤰㘷挶㘵㡤攲㉦挲㌲ㄱ晣㘱㠰㑤愱㤲づ搲㜶ぢ慢㔷㔸扡㑦㈳㌷㙦ち㔴昰晦㥤昵敥愷昵搸㌳㑡㑦愱㤲㙥愴㌵㌹㘲慤昸敤晥摥㐶㜲攰㝦㕦挸㝤ㄹ愷敥㝦〱㠳㘸㠴㥢</t>
  </si>
  <si>
    <t>Blue color and Pink color tabs are deliverable B and the Revision Memo for Deliverable B</t>
  </si>
  <si>
    <t>Brown Color tabs are the final conclusions with Crystal ball reports</t>
  </si>
  <si>
    <t>Purple color tabs are the full proforma valuation results and Crystal ball reports</t>
  </si>
  <si>
    <t>Red Color tabs are the simplified proforma valuation result and crystal ball reports</t>
  </si>
  <si>
    <t>Black are the old valuation models</t>
  </si>
  <si>
    <t>Another light blue portion is the key assumptions derivation</t>
  </si>
  <si>
    <t>Part C:</t>
  </si>
  <si>
    <t>VALUATION CONCLUSION (Crystal Ball Ver)</t>
  </si>
  <si>
    <t>Forecast</t>
  </si>
  <si>
    <t>Assumption</t>
  </si>
  <si>
    <t>Revisions</t>
  </si>
  <si>
    <t>Total Enterprise Value</t>
  </si>
  <si>
    <t>open</t>
  </si>
  <si>
    <t>high</t>
  </si>
  <si>
    <t>low</t>
  </si>
  <si>
    <t>close</t>
  </si>
  <si>
    <t>Current Stock Price (12/31/2022)</t>
  </si>
  <si>
    <t>% UP/DOWN</t>
  </si>
  <si>
    <t>Operating Efficiey Ratios</t>
  </si>
  <si>
    <t>ROIC</t>
  </si>
  <si>
    <t>ROS</t>
  </si>
  <si>
    <t>P/B ratio</t>
  </si>
  <si>
    <t>LT Debt to Total Cap</t>
  </si>
  <si>
    <t>Total Debt to Total Cap</t>
  </si>
  <si>
    <t>Total Asset Turnover</t>
  </si>
  <si>
    <t>2023E</t>
  </si>
  <si>
    <t>2018-2022 CAGR</t>
  </si>
  <si>
    <t>ADR</t>
  </si>
  <si>
    <t>OCC</t>
  </si>
  <si>
    <t>ROOMS</t>
  </si>
  <si>
    <t>2018-2022 Fixed</t>
  </si>
  <si>
    <t>Growth from Annual Report</t>
  </si>
  <si>
    <t>We took the average of other four years to be the forecasted 2023-2027 tax rates.</t>
  </si>
  <si>
    <t>Change in uncertain tax positions</t>
  </si>
  <si>
    <t>Scenario for senstivity</t>
  </si>
  <si>
    <t>Beta decreased to 1, 8%</t>
  </si>
  <si>
    <t>Beta increased to 2.4, 12%</t>
  </si>
  <si>
    <t>Population rised to 0.8%/1.4%, 4.25%</t>
  </si>
  <si>
    <t>Population decreased to 0%/0% inflation decreased to 1.25%, 1.25%</t>
  </si>
  <si>
    <t>Share value Pessimistic (Average of all lower than normal prices)</t>
  </si>
  <si>
    <t>Share value Optimistic  (Average of all higher than normal prices)</t>
  </si>
  <si>
    <t>Sensitivity: Simplified</t>
  </si>
  <si>
    <t>Hilton Worldwide Holdings Inc.</t>
  </si>
  <si>
    <t>Hyatt Hotels Corporation</t>
  </si>
  <si>
    <t>Hilton Grand Vacations Inc.</t>
  </si>
  <si>
    <t>Travel + Leisure Co.</t>
  </si>
  <si>
    <t>Norwegian Cruise Line Holdings Ltd.</t>
  </si>
  <si>
    <t>Las Vegas Sands Corp.</t>
  </si>
  <si>
    <t>Choice Hotels International, Inc.</t>
  </si>
  <si>
    <t>Marriott Vacations Worldwide Corporation</t>
  </si>
  <si>
    <t>Accor SA</t>
  </si>
  <si>
    <t>Wyndham Hotels &amp; Resorts, Inc.</t>
  </si>
  <si>
    <t>Marriott International, Inc.</t>
  </si>
  <si>
    <t>Contribution To Variance</t>
  </si>
  <si>
    <t>Rank Correlation</t>
  </si>
  <si>
    <t>Contribution to Variance</t>
  </si>
  <si>
    <t>Neutural</t>
  </si>
  <si>
    <t>Weight of Full Proforma</t>
  </si>
  <si>
    <t>Weight of Multiples</t>
  </si>
  <si>
    <t>Weight of Simplified</t>
  </si>
  <si>
    <t>Correlation Full</t>
  </si>
  <si>
    <t>Correlation Multiple</t>
  </si>
  <si>
    <t>Correlation Simplifed</t>
  </si>
  <si>
    <t>Correlation Multiples</t>
  </si>
  <si>
    <t>Weight of Full</t>
  </si>
  <si>
    <t>Supporting tables and graphs for the report</t>
  </si>
  <si>
    <t>ChatGPT</t>
  </si>
  <si>
    <t>Risks and Mitigation Strategies for Marriott:</t>
  </si>
  <si>
    <t>Risks:</t>
  </si>
  <si>
    <t>Highly competitive industry: Marriott faces competition from major hotel chains, regional chains, independent hotels, and home-sharing services.</t>
  </si>
  <si>
    <t>Economic downturns and global events: Economic conditions, pandemics, natural disasters, geopolitical conflicts, and other events can negatively impact Marriott's business, financial results, and growth.</t>
  </si>
  <si>
    <t>Reduced revenues: Various factors can reduce revenues at Marriott's hotels, impacting their ability to meet expenses and pay amounts owed.</t>
  </si>
  <si>
    <t>Adverse effects on property value: Global events and economic downturns can affect the value of Marriott's owned and leased properties or investments.</t>
  </si>
  <si>
    <t>Difficulty in obtaining financing: Economic conditions can make it harder for hotel owners and franchisees to obtain financing on favorable terms.</t>
  </si>
  <si>
    <t>Hotel construction and opening delays: Economic downturns can cause delays in hotel construction and opening.</t>
  </si>
  <si>
    <t>Decreased rate of new projects: Adverse economic conditions may slow down the rate at which new projects enter Marriott's pipeline.</t>
  </si>
  <si>
    <t>Hotels exiting the system: Various factors can cause hotels to exit Marriott's system.</t>
  </si>
  <si>
    <t>Borrowing challenges: Marriott may face challenges in borrowing or raising cash to preserve financial flexibility, repay maturing debt, and manage debt maturities.</t>
  </si>
  <si>
    <t>Expensive or restrictive borrowing terms: Economic conditions can cause the terms of Marriott's borrowing to be more expensive or restrictive.</t>
  </si>
  <si>
    <t>Adverse effects on employee hiring and retention: Global events and economic downturns can negatively impact associate hiring and retention.</t>
  </si>
  <si>
    <t>Mitigation Strategies:</t>
  </si>
  <si>
    <t>Differentiation: Focus on distinguishing and driving preference for Marriott's lodging products and services, including loyalty programs, direct booking channels, and technology platforms.</t>
  </si>
  <si>
    <t>Financial flexibility: Maintain a strong balance sheet and financial flexibility to navigate economic downturns and other adverse conditions.</t>
  </si>
  <si>
    <t>Diversification: Diversify the portfolio of hotel properties and brands to reduce exposure to specific market risks.</t>
  </si>
  <si>
    <t>Proactive risk management: Continuously monitor global events and economic conditions and develop plans to address potential risks.</t>
  </si>
  <si>
    <t>Strategic partnerships: Establish and maintain strategic partnerships, such as co-branded credit cards, to enhance customer loyalty and generate additional revenue streams.</t>
  </si>
  <si>
    <t>Talent management: Invest in employee development and retention initiatives to maintain a skilled workforce capable of managing various challenges.</t>
  </si>
  <si>
    <t>1. Dependency on capital for hotel owners and franchisees: Owners and franchisees may face difficulty accessing capital for new investments and improvements, which can impact Marriott's growth.</t>
  </si>
  <si>
    <t>2. Real estate investment risks: Factors such as site availability, financing, local approvals, market conditions, and construction costs can affect Marriott's growth through management or franchise agreements.</t>
  </si>
  <si>
    <t>3. Renovation project risks: Marriott may face challenges related to project cost, completion, and resale when acquiring and renovating hotel properties.</t>
  </si>
  <si>
    <t>4. Owned property risks: Owned and leased properties are subject to risks related to real estate investments, such as difficulty in selling properties, income fluctuations, and local market conditions.</t>
  </si>
  <si>
    <t>5. Residential property development risks: Participation in residential property development associated with Marriott's lodging brands can expose the company to additional risks, impacting profits and brand equity.</t>
  </si>
  <si>
    <t>6. Development pipeline uncertainties: Hotels in Marriott's development pipeline may face cancellation or delays in opening, affecting the company's growth prospects.</t>
  </si>
  <si>
    <t>7. Loan and loan guarantee losses: Marriott may suffer losses when hotel owners or franchisees default on loans or fail to reimburse the company for loan guarantees.</t>
  </si>
  <si>
    <t>8. Mortgage loan repayment issues: If hotel owners cannot repay or refinance mortgage loans, Marriott's revenues and profits could decrease, harming the business.</t>
  </si>
  <si>
    <t>9. Disruption in core operational systems: Any disruption in Marriott's reservation, loyalty program, or other core operational systems could adversely affect the company's performance and results.</t>
  </si>
  <si>
    <t>1. Support financing options: Collaborate with hotel owners and franchisees to identify and support financing options that enable investments in property development and improvements.</t>
  </si>
  <si>
    <t>2. Careful selection of projects: Choose real estate development projects strategically, considering factors such as location, market conditions, and potential growth.</t>
  </si>
  <si>
    <t>3. Effective project management: Implement effective project management practices to minimize risks related to renovation activities, such as cost overruns and construction delays.</t>
  </si>
  <si>
    <t>4. Diversification of property portfolio: Diversify the property portfolio to reduce exposure to risks associated with real estate investments.</t>
  </si>
  <si>
    <t>5. Stringent due diligence for residential projects: Perform thorough due diligence before participating in residential property development projects to minimize risks and protect brand equity.</t>
  </si>
  <si>
    <t>6. Monitor development pipeline: Closely monitor the development pipeline to identify and address potential risks that may affect the opening of new hotels.</t>
  </si>
  <si>
    <t>7. Risk assessment for loans and guarantees: Conduct thorough risk assessments before providing loans or loan guarantees to minimize potential losses.</t>
  </si>
  <si>
    <t>8. Collaborate with hotel owners: Work with hotel owners to address mortgage loan repayment issues and prevent negative consequences for Marriott's business.</t>
  </si>
  <si>
    <t>9. Invest in technology and system resilience: Invest in maintaining, upgrading, and ensuring the resilience of core operational systems, such as reservation and loyalty program systems, to prevent disruptions and protect business performance.</t>
  </si>
  <si>
    <t>Failure to keep pace with technology developments, which could impair operations or competitive position.</t>
  </si>
  <si>
    <t>Risks and costs associated with protecting the integrity and security of Company, associate, and guest data.</t>
  </si>
  <si>
    <t>Adverse effects on business due to the Data Security Incident and other information security incidents.</t>
  </si>
  <si>
    <t>Additional cybersecurity incidents could negatively impact the business.</t>
  </si>
  <si>
    <t>Changes in privacy and data security laws could increase operating costs and exposure to payment obligations and litigation.</t>
  </si>
  <si>
    <t>Changes in laws could adversely affect the ability to market products effectively.</t>
  </si>
  <si>
    <t>Regularly refine, update, and replace technologies and systems to stay competitive and prevent obsolescence.</t>
  </si>
  <si>
    <t>Ensure compliance with global laws, governmental regulations, and payment card industry requirements to protect personal data.</t>
  </si>
  <si>
    <t>Address lawsuits, claims, and investigations related to the Data Security Incident and implement enhanced security measures to safeguard systems and data.</t>
  </si>
  <si>
    <t>Continue implementing additional security measures to maintain the confidentiality, security, or availability of data.</t>
  </si>
  <si>
    <t>Comply with changes in applicable data security and privacy laws and regulations, and contractual obligations to avoid increased costs and restricted business operations.</t>
  </si>
  <si>
    <t>Adapt marketing strategies to comply with legal restrictions and maintain effectiveness in attracting new guests and customers.</t>
  </si>
  <si>
    <t>Dependency on capital for hotel owners and franchisees: Owners and franchisees may face difficulty accessing capital for new investments and improvements, which can impact Marriott's growth.</t>
  </si>
  <si>
    <t>Real estate investment risks: Factors such as site availability, financing, local approvals, market conditions, and construction costs can affect Marriott's growth through management or franchise agreements.</t>
  </si>
  <si>
    <t>Renovation project risks: Marriott may face challenges related to project cost, completion, and resale when acquiring and renovating hotel properties.</t>
  </si>
  <si>
    <t>Owned property risks: Owned and leased properties are subject to risks related to real estate investments, such as difficulty in selling properties, income fluctuations, and local market conditions.</t>
  </si>
  <si>
    <t>Residential property development risks: Participation in residential property development associated with Marriott's lodging brands can expose the company to additional risks, impacting profits and brand equity.</t>
  </si>
  <si>
    <t>Development pipeline uncertainties: Hotels in Marriott's development pipeline may face cancellation or delays in opening, affecting the company's growth prospects.</t>
  </si>
  <si>
    <t>Loan and loan guarantee losses: Marriott may suffer losses when hotel owners or franchisees default on loans or fail to reimburse the company for loan guarantees.</t>
  </si>
  <si>
    <t>Mortgage loan repayment issues: If hotel owners cannot repay or refinance mortgage loans, Marriott's revenues and profits could decrease, harming the business.</t>
  </si>
  <si>
    <t>Disruption in core operational systems: Any disruption in Marriott's reservation, loyalty program, or other core operational systems could adversely affect the company's performance and results.</t>
  </si>
  <si>
    <t>+----+----+----+----+----+----+----+----+----+----+</t>
  </si>
  <si>
    <t>|    | 1  | 2  | 3  | 4  | 5  | 6  | 7  | 8  | 9  |</t>
  </si>
  <si>
    <t>+----+----+----+----+----</t>
  </si>
  <si>
    <t>,1,2,3,4,5,6,7,8,9,10</t>
  </si>
  <si>
    <t>1,,,,,,,22,,,</t>
  </si>
  <si>
    <t>2,,,,,,17,,,</t>
  </si>
  <si>
    <t>3,,,,,23,24,25,26,,</t>
  </si>
  <si>
    <t>4,,,,,,21,,,</t>
  </si>
  <si>
    <t>5,,,,,6,7,8,12,</t>
  </si>
  <si>
    <t>give me a 10*10 table with impact on the x axis and liklihood on the y axis, while the risks name in the cells.</t>
  </si>
  <si>
    <t>1. Highly competitive industry: Likelihood: 9, Impact: 8</t>
  </si>
  <si>
    <t>2. Economic downturns and global events: Likelihood: 7, Impact: 9</t>
  </si>
  <si>
    <t>3. Reduced revenues: Likelihood: 6, Impact: 8</t>
  </si>
  <si>
    <t>4. Adverse effects on property value: Likelihood: 6, Impact: 7</t>
  </si>
  <si>
    <t>5. Difficulty in obtaining financing: Likelihood: 6, Impact: 7</t>
  </si>
  <si>
    <t>6. Hotel construction and opening delays: Likelihood: 5, Impact: 6</t>
  </si>
  <si>
    <t>7. Decreased rate of new projects: Likelihood: 5, Impact: 6</t>
  </si>
  <si>
    <t>8. Hotels exiting the system: Likelihood: 5, Impact: 6</t>
  </si>
  <si>
    <t>9. Borrowing challenges: Likelihood: 6, Impact: 7</t>
  </si>
  <si>
    <t>10. Expensive or restrictive borrowing terms: Likelihood: 6, Impact: 7</t>
  </si>
  <si>
    <t>11. Adverse effects on employee hiring and retention: Likelihood: 6, Impact: 7</t>
  </si>
  <si>
    <t>12. Failure to keep pace with technology developments: Likelihood: 5, Impact: 8</t>
  </si>
  <si>
    <t>13. Risks and costs associated with data integrity and security: Likelihood: 7, Impact: 9</t>
  </si>
  <si>
    <t>14. Adverse effects due to Data Security Incident: Likelihood: 5, Impact: 9</t>
  </si>
  <si>
    <t>15. Additional cybersecurity incidents: Likelihood: 7, Impact: 8</t>
  </si>
  <si>
    <t>16. Changes in privacy and data security laws: Likelihood: 7, Impact: 7</t>
  </si>
  <si>
    <t>17. Changes in laws affecting marketing: Likelihood: 5, Impact: 6</t>
  </si>
  <si>
    <t>18. Dependency on capital for hotel owners and franchisees: Likelihood: 6, Impact: 6</t>
  </si>
  <si>
    <t>19. Real estate investment risks: Likelihood: 6, Impact: 7</t>
  </si>
  <si>
    <t>20. Renovation project risks: Likelihood: 5, Impact: 6</t>
  </si>
  <si>
    <t>21. Owned property risks: Likelihood: 6, Impact: 6</t>
  </si>
  <si>
    <t>22. Residential property development risks: Likelihood: 4, Impact: 5</t>
  </si>
  <si>
    <t>23. Development pipeline uncertainties: Likelihood: 5, Impact: 6</t>
  </si>
  <si>
    <t>24. Loan and loan guarantee losses: Likelihood: 5, Impact: 7</t>
  </si>
  <si>
    <t>25. Mortgage loan repayment issues: Likelihood: 5, Impact: 7</t>
  </si>
  <si>
    <t>26. Disruption in core operational systems: Likelihood: 5, Impact: 8</t>
  </si>
  <si>
    <t>Impact</t>
  </si>
  <si>
    <t xml:space="preserve">  1  2  3  4  5  6  7  8  9  10</t>
  </si>
  <si>
    <t xml:space="preserve"> ──────────────────────────────</t>
  </si>
  <si>
    <t xml:space="preserve">1│                           </t>
  </si>
  <si>
    <t xml:space="preserve">2│                           </t>
  </si>
  <si>
    <t xml:space="preserve">3│                           </t>
  </si>
  <si>
    <t xml:space="preserve">4│                           </t>
  </si>
  <si>
    <t xml:space="preserve">5│            22│17│23│20     </t>
  </si>
  <si>
    <t xml:space="preserve">6│      6│ 8│18│19│21│ 5│10│ 3│ </t>
  </si>
  <si>
    <t>7│          4│24│25│ 7│ 9│ 2│13│</t>
  </si>
  <si>
    <t xml:space="preserve">8│          1│12│15│26│       </t>
  </si>
  <si>
    <t xml:space="preserve">9│          14│              </t>
  </si>
  <si>
    <t>10│</t>
  </si>
  <si>
    <t>| Risks Name                                           | Impact | Likelihood |</t>
  </si>
  <si>
    <t>|------------------------------------------------------|--------|------------|</t>
  </si>
  <si>
    <t>| Highly competitive industry                          | 8      | 9          |</t>
  </si>
  <si>
    <t>| Economic downturns and global events                 | 9      | 7          |</t>
  </si>
  <si>
    <t>| Reduced revenues                                     | 8      | 6          |</t>
  </si>
  <si>
    <t>| Adverse effects on property value                    | 7      | 6          |</t>
  </si>
  <si>
    <t>| Difficulty in obtaining financing                    | 7      | 6          |</t>
  </si>
  <si>
    <t>| Hotel construction and opening delays                | 6      | 5          |</t>
  </si>
  <si>
    <t>| Decreased rate of new projects                       | 6      | 5          |</t>
  </si>
  <si>
    <t>| Hotels exiting the system                            | 6      | 5          |</t>
  </si>
  <si>
    <t>| Borrowing challenges                                 | 7      | 6          |</t>
  </si>
  <si>
    <t>| Expensive or restrictive borrowing terms             | 7      | 6          |</t>
  </si>
  <si>
    <t>| Adverse effects on employee hiring and retention     | 7      | 6          |</t>
  </si>
  <si>
    <t>| Failure to keep pace with technology developments    | 8      | 5          |</t>
  </si>
  <si>
    <t>| Risks and costs associated with data integrity and security | 9 | 7     |</t>
  </si>
  <si>
    <t>| Adverse effects due to Data Security Incident        | 9      | 5          |</t>
  </si>
  <si>
    <t>| Additional cybersecurity incidents                    | 8      | 7          |</t>
  </si>
  <si>
    <t>| Changes in privacy and data security laws             | 7      | 7          |</t>
  </si>
  <si>
    <t>| Changes in laws affecting marketing                   | 6      | 5          |</t>
  </si>
  <si>
    <t>| Dependency on capital for hotel owners and franchisees| 6      | 6          |</t>
  </si>
  <si>
    <t>| Real estate investment risks                         | 7      | 6          |</t>
  </si>
  <si>
    <t>| Renovation project risks                             | 6      | 5          |</t>
  </si>
  <si>
    <t>| Owned property risks                                 | 6      | 6          |</t>
  </si>
  <si>
    <t>| Residential property development risks               | 5      | 4          |</t>
  </si>
  <si>
    <t>| Development pipeline uncertainties                   | 6      | 5          |</t>
  </si>
  <si>
    <t>| Loan and loan guarantee losses                       | 7      | 5          |</t>
  </si>
  <si>
    <t>| Mortgage loan repayment issues                       | 7      | 5          |</t>
  </si>
  <si>
    <t>| Disruption in core operational systems               | 8      | 5          |</t>
  </si>
  <si>
    <t>Residential property development risks</t>
  </si>
  <si>
    <t>Development pipeline uncertainties</t>
  </si>
  <si>
    <t>Owned property risks</t>
  </si>
  <si>
    <t>Renovation project risks</t>
  </si>
  <si>
    <t>Dependency on capital for hotel owners and franchisees</t>
  </si>
  <si>
    <t>Changes in laws affecting marketing</t>
  </si>
  <si>
    <t>Hotels exiting the system</t>
  </si>
  <si>
    <t>Decreased rate of new projects</t>
  </si>
  <si>
    <t>Hotel construction and opening delays</t>
  </si>
  <si>
    <t>Mortgage loan repayment issues</t>
  </si>
  <si>
    <t>Loan and loan guarantee losses</t>
  </si>
  <si>
    <t>Highly competitive industry</t>
  </si>
  <si>
    <t>Real estate investment risks</t>
  </si>
  <si>
    <t>Changes in privacy and data security laws</t>
  </si>
  <si>
    <t xml:space="preserve">Economic downturns and global events; </t>
  </si>
  <si>
    <t>Risks and costs associated with data integrity and security</t>
  </si>
  <si>
    <t>Additional cybersecurity incidents</t>
  </si>
  <si>
    <t>Adverse effects on employee hiring and retention</t>
  </si>
  <si>
    <t xml:space="preserve">Difficulty in obtaining financing; </t>
  </si>
  <si>
    <t>Expensive or restrictive borrowing terms</t>
  </si>
  <si>
    <t>Reduced revenues</t>
  </si>
  <si>
    <t>Adverse effects on property value; 
Borrowing challenges; 
Adverse effects on employee hiring and retention</t>
  </si>
  <si>
    <t>Dependency on capital for hotel owners and franchisees; Owned property risks</t>
  </si>
  <si>
    <t>Adverse effects due to Data Security Incident</t>
  </si>
  <si>
    <t>Failure to keep pace with technology developments; Disruption in core operational systems</t>
  </si>
  <si>
    <t>Loan and loan guarantee losses; Mortgage loan repayment issues</t>
  </si>
  <si>
    <t>Hotel construction and opening delays;
Development pipeline uncertainties;
Hotels exiting the system;</t>
  </si>
  <si>
    <t xml:space="preserve">Decreased rate of new projects; </t>
  </si>
  <si>
    <t>Borrowing challenges</t>
  </si>
  <si>
    <t xml:space="preserve">Renovation project risks; </t>
  </si>
  <si>
    <t>Difficulty in obtaining financing</t>
  </si>
  <si>
    <t>Adverse effects on property value</t>
  </si>
  <si>
    <t>Liklihood</t>
  </si>
  <si>
    <t>Disruption in core operational systems</t>
  </si>
  <si>
    <t>Failure to keep pace with technology developments</t>
  </si>
  <si>
    <t>Economic downturns and global events</t>
  </si>
  <si>
    <t>Likelihood</t>
  </si>
  <si>
    <t>Risks Name</t>
  </si>
  <si>
    <t>Marriott's ESG Performance:</t>
  </si>
  <si>
    <t>Environmental:</t>
  </si>
  <si>
    <t>- Global Reduction in Carbon Intensity per Square Meter of Conditioned Space from 2016 Baseline: 25.6%</t>
  </si>
  <si>
    <t>- Global Reduction in Energy Intensity per Square Meter of Conditioned Space from 2016 Baseline: 17.2%</t>
  </si>
  <si>
    <t>- Global Increase in Water Intensity per Occupied Room from 2016 Baseline: 4.7%</t>
  </si>
  <si>
    <t>Social:</t>
  </si>
  <si>
    <t>- U.S. Workforce by Generation: 22% Baby Boomers, 40% Gen X, 49% Millennials, 48% Gen Z</t>
  </si>
  <si>
    <t>- U.S. Workforce by Race/Ethnicity: 31.1% White, 20% Black/African American, 32.6% Hispanic, 0.4% Native American/Alaska Native, 0.8% Native Hawaiian/Pacific Islander, 0.6% Two or more races</t>
  </si>
  <si>
    <t>- U.S. Managers by Race/Ethnicity: 58.3% White, 10.5% Black/African American, 17.6% Hispanic, 0.3% Native American/Alaska Native, 0.6% Native Hawaiian/Pacific Islander, 0.7% Two or more races, 9.4% Asian, 2.6% Unknown</t>
  </si>
  <si>
    <t>- 2021 Contributions: $11.55 million donated through cash contributions, $11.57 million donated through in-kind donations, 66+ million loyalty points donated to support Marriott philanthropic causes</t>
  </si>
  <si>
    <t>- 2021 Volunteerism: Over 850 associates at more than 40 properties worldwide contributed volunteer hours and donations towards human rights and anti-trafficking efforts</t>
  </si>
  <si>
    <t>Governance:</t>
  </si>
  <si>
    <t>- 2021 Training: Nearly 39,000 associates completed the annual Global Privacy training, and over 175,000 associates completed ISPT training</t>
  </si>
  <si>
    <t>- Ethics &amp; Global Compliance Governance Board: Executive-level oversight and strategic risk management with respect to Marriott's Ethics &amp; Global Compliance Program</t>
  </si>
  <si>
    <t>Carbon Intensity</t>
  </si>
  <si>
    <t>Energy Intensity</t>
  </si>
  <si>
    <t>Water Intensity</t>
  </si>
  <si>
    <t>- Investigation and Remediation: Marriott employs a multidisciplinary approach to investigate and address Ethics and Compliance concerns, including discipline and Remediation as needed</t>
  </si>
  <si>
    <t>- risk Assessments: Annual risk assessment of owned, leased, and managed hotels, and a Global anti-corruption property review program and toolkit</t>
  </si>
  <si>
    <t>Baby Boomers</t>
  </si>
  <si>
    <t>Gen Z</t>
  </si>
  <si>
    <t>Gen X</t>
  </si>
  <si>
    <t>White</t>
  </si>
  <si>
    <t>Black/African American</t>
  </si>
  <si>
    <t>Hispanic</t>
  </si>
  <si>
    <t>Native American/Alaska Native</t>
  </si>
  <si>
    <t>Native Hawaiian/Pacific Islander</t>
  </si>
  <si>
    <t>Two or more races</t>
  </si>
  <si>
    <t>Workforce</t>
  </si>
  <si>
    <t>Managers</t>
  </si>
  <si>
    <t>Asian</t>
  </si>
  <si>
    <t>Unknown</t>
  </si>
  <si>
    <t>cash contributions</t>
  </si>
  <si>
    <t>in-kind donations</t>
  </si>
  <si>
    <t>loyalty points donated</t>
  </si>
  <si>
    <t>Global Privacy training</t>
  </si>
  <si>
    <t xml:space="preserve"> ISPT training</t>
  </si>
  <si>
    <t>Managers by Race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</si>
</sst>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7" formatCode="&quot;$&quot;#,##0.00_);\(&quot;$&quot;#,##0.00\)"/>
    <numFmt numFmtId="44" formatCode="_(&quot;$&quot;* #,##0.00_);_(&quot;$&quot;* \(#,##0.00\);_(&quot;$&quot;* &quot;-&quot;??_);_(@_)"/>
    <numFmt numFmtId="43" formatCode="_(* #,##0.00_);_(* \(#,##0.00\);_(* &quot;-&quot;??_);_(@_)"/>
    <numFmt numFmtId="164" formatCode="_(* #,##0_);_(* \(#,##0\);_(* &quot;-&quot;??_);_(@_)"/>
    <numFmt numFmtId="165" formatCode="[$-409]mmmm\ d\,\ yyyy;@"/>
    <numFmt numFmtId="166" formatCode="_(* #,##0.0000_);_(* \(#,##0.0000\);_(* &quot;-&quot;??_);_(@_)"/>
    <numFmt numFmtId="167" formatCode="0.0%"/>
    <numFmt numFmtId="168" formatCode="_(\ #,##0.0#_);_(\(\ #,##0.0#\)_);_(\ &quot; - &quot;_)"/>
    <numFmt numFmtId="169" formatCode="_(\ #,##0.0_);_(\ \(#,##0.0\)_);_(\ &quot; - &quot;_)"/>
    <numFmt numFmtId="170" formatCode="m/d/yyyy;@"/>
    <numFmt numFmtId="171" formatCode="0.00_);\(0.00\)"/>
    <numFmt numFmtId="172" formatCode="0_);\(0\)"/>
    <numFmt numFmtId="173" formatCode="_(&quot;$&quot;* #,##0.0_);_(&quot;$&quot;* \(#,##0.0\);_(&quot;$&quot;* &quot;-&quot;??_);_(@_)"/>
    <numFmt numFmtId="174" formatCode="0.0000"/>
    <numFmt numFmtId="175" formatCode="#,##0.00;\ \(#,##0.00\)"/>
    <numFmt numFmtId="176" formatCode="mmm\-dd\-yyyy"/>
    <numFmt numFmtId="177" formatCode="_(\ #,##0.0##_);_(\ \(#,##0.0##\)_);_(\ &quot; - &quot;_)"/>
    <numFmt numFmtId="178" formatCode="0.000"/>
  </numFmts>
  <fonts count="96">
    <font>
      <sz val="12"/>
      <color theme="1"/>
      <name val="Calibri"/>
      <family val="2"/>
      <charset val="134"/>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9"/>
      <name val="Calibri"/>
      <family val="2"/>
      <charset val="134"/>
      <scheme val="minor"/>
    </font>
    <font>
      <sz val="12"/>
      <color theme="1"/>
      <name val="Calibri"/>
      <family val="2"/>
      <charset val="134"/>
      <scheme val="minor"/>
    </font>
    <font>
      <b/>
      <sz val="13"/>
      <color theme="1"/>
      <name val="Times New Roman"/>
      <family val="1"/>
    </font>
    <font>
      <sz val="13"/>
      <color theme="1"/>
      <name val="Times New Roman"/>
      <family val="1"/>
    </font>
    <font>
      <u/>
      <sz val="12"/>
      <color theme="10"/>
      <name val="Calibri"/>
      <family val="2"/>
      <charset val="134"/>
      <scheme val="minor"/>
    </font>
    <font>
      <u val="singleAccounting"/>
      <sz val="13"/>
      <color theme="1"/>
      <name val="Times New Roman"/>
      <family val="1"/>
    </font>
    <font>
      <b/>
      <u val="doubleAccounting"/>
      <sz val="13"/>
      <color theme="1"/>
      <name val="Times New Roman"/>
      <family val="1"/>
    </font>
    <font>
      <sz val="13"/>
      <name val="Times New Roman"/>
      <family val="1"/>
    </font>
    <font>
      <u val="singleAccounting"/>
      <sz val="13"/>
      <name val="Times New Roman"/>
      <family val="1"/>
    </font>
    <font>
      <sz val="12"/>
      <color theme="1"/>
      <name val="Times New Roman"/>
      <family val="1"/>
    </font>
    <font>
      <b/>
      <sz val="13"/>
      <name val="Times New Roman"/>
      <family val="1"/>
    </font>
    <font>
      <sz val="13"/>
      <color rgb="FF000000"/>
      <name val="Times New Roman"/>
      <family val="1"/>
    </font>
    <font>
      <u/>
      <sz val="13"/>
      <color theme="10"/>
      <name val="Times New Roman"/>
      <family val="1"/>
    </font>
    <font>
      <sz val="13"/>
      <color theme="1"/>
      <name val="Calibri"/>
      <family val="2"/>
      <charset val="134"/>
      <scheme val="minor"/>
    </font>
    <font>
      <sz val="10"/>
      <color theme="1"/>
      <name val="Times New Roman"/>
      <family val="1"/>
    </font>
    <font>
      <b/>
      <sz val="20"/>
      <color theme="1"/>
      <name val="Times New Roman"/>
      <family val="1"/>
    </font>
    <font>
      <b/>
      <u val="singleAccounting"/>
      <sz val="13"/>
      <color theme="1"/>
      <name val="Times New Roman"/>
      <family val="1"/>
    </font>
    <font>
      <u/>
      <sz val="13"/>
      <color theme="1"/>
      <name val="Times New Roman"/>
      <family val="1"/>
    </font>
    <font>
      <u val="double"/>
      <sz val="13"/>
      <color theme="1"/>
      <name val="Times New Roman"/>
      <family val="1"/>
    </font>
    <font>
      <b/>
      <u/>
      <sz val="13"/>
      <color theme="1"/>
      <name val="Times New Roman"/>
      <family val="1"/>
    </font>
    <font>
      <b/>
      <sz val="13"/>
      <color rgb="FF000000"/>
      <name val="Times New Roman"/>
      <family val="1"/>
    </font>
    <font>
      <b/>
      <sz val="13"/>
      <color rgb="FFC00000"/>
      <name val="Times New Roman"/>
      <family val="1"/>
    </font>
    <font>
      <sz val="10"/>
      <color rgb="FF000000"/>
      <name val="Tahoma"/>
      <family val="2"/>
    </font>
    <font>
      <b/>
      <sz val="10"/>
      <color rgb="FF000000"/>
      <name val="Tahoma"/>
      <family val="2"/>
    </font>
    <font>
      <sz val="10"/>
      <color rgb="FF000000"/>
      <name val="Calibri"/>
      <family val="2"/>
      <scheme val="minor"/>
    </font>
    <font>
      <b/>
      <sz val="16"/>
      <color theme="1"/>
      <name val="Times New Roman"/>
      <family val="1"/>
    </font>
    <font>
      <b/>
      <sz val="12"/>
      <color theme="1"/>
      <name val="Times New Roman"/>
      <family val="1"/>
    </font>
    <font>
      <u/>
      <sz val="12"/>
      <color theme="1"/>
      <name val="Times New Roman"/>
      <family val="1"/>
    </font>
    <font>
      <b/>
      <i/>
      <sz val="11"/>
      <color rgb="FF000000"/>
      <name val="Times New Roman"/>
      <family val="1"/>
    </font>
    <font>
      <b/>
      <i/>
      <sz val="11"/>
      <color indexed="8"/>
      <name val="Times New Roman"/>
      <family val="1"/>
    </font>
    <font>
      <b/>
      <sz val="11"/>
      <color indexed="8"/>
      <name val="Times New Roman"/>
      <family val="1"/>
    </font>
    <font>
      <b/>
      <sz val="20"/>
      <color indexed="8"/>
      <name val="Times New Roman"/>
      <family val="1"/>
    </font>
    <font>
      <b/>
      <u/>
      <sz val="12"/>
      <color theme="1"/>
      <name val="Times New Roman"/>
      <family val="1"/>
    </font>
    <font>
      <sz val="20"/>
      <color theme="1"/>
      <name val="Times New Roman"/>
      <family val="1"/>
    </font>
    <font>
      <sz val="10"/>
      <color rgb="FF000000"/>
      <name val="Calibri"/>
      <family val="2"/>
    </font>
    <font>
      <sz val="8"/>
      <name val="Calibri"/>
      <family val="2"/>
      <charset val="134"/>
      <scheme val="minor"/>
    </font>
    <font>
      <i/>
      <sz val="12"/>
      <color theme="1"/>
      <name val="Times New Roman"/>
      <family val="1"/>
    </font>
    <font>
      <u/>
      <sz val="13"/>
      <color theme="4" tint="-0.249977111117893"/>
      <name val="Times New Roman"/>
      <family val="1"/>
    </font>
    <font>
      <b/>
      <sz val="12"/>
      <color theme="1"/>
      <name val="Calibri"/>
      <family val="2"/>
      <scheme val="minor"/>
    </font>
    <font>
      <sz val="11"/>
      <color theme="1"/>
      <name val="Calibri"/>
      <family val="2"/>
      <scheme val="minor"/>
    </font>
    <font>
      <sz val="11"/>
      <color theme="1"/>
      <name val="Times New Roman"/>
      <family val="1"/>
    </font>
    <font>
      <sz val="10"/>
      <name val="Arial"/>
      <family val="2"/>
    </font>
    <font>
      <sz val="1"/>
      <color indexed="9"/>
      <name val="Symbol"/>
      <charset val="2"/>
    </font>
    <font>
      <sz val="12"/>
      <color indexed="8"/>
      <name val="Times New Roman"/>
      <family val="1"/>
    </font>
    <font>
      <sz val="12"/>
      <name val="Times New Roman"/>
      <family val="1"/>
    </font>
    <font>
      <u/>
      <sz val="12"/>
      <color theme="4" tint="-0.249977111117893"/>
      <name val="Times New Roman"/>
      <family val="1"/>
    </font>
    <font>
      <b/>
      <sz val="12"/>
      <color indexed="8"/>
      <name val="Times New Roman"/>
      <family val="1"/>
    </font>
    <font>
      <b/>
      <sz val="12"/>
      <name val="Times New Roman"/>
      <family val="1"/>
    </font>
    <font>
      <sz val="12"/>
      <color rgb="FF000000"/>
      <name val="Times New Roman"/>
      <family val="1"/>
    </font>
    <font>
      <b/>
      <u/>
      <sz val="12"/>
      <color rgb="FF000000"/>
      <name val="Times New Roman"/>
      <family val="1"/>
    </font>
    <font>
      <u/>
      <sz val="12"/>
      <color rgb="FF000000"/>
      <name val="Times New Roman"/>
      <family val="1"/>
    </font>
    <font>
      <sz val="12"/>
      <color rgb="FF000000"/>
      <name val="Calibri"/>
      <family val="2"/>
      <scheme val="minor"/>
    </font>
    <font>
      <b/>
      <sz val="12"/>
      <color indexed="8"/>
      <name val="Arial"/>
      <family val="2"/>
    </font>
    <font>
      <sz val="12"/>
      <color indexed="8"/>
      <name val="Arial"/>
      <family val="2"/>
    </font>
    <font>
      <b/>
      <sz val="16"/>
      <name val="Times New Roman"/>
      <family val="1"/>
    </font>
    <font>
      <b/>
      <sz val="14"/>
      <name val="Arial"/>
      <family val="2"/>
    </font>
    <font>
      <sz val="14"/>
      <name val="Arial"/>
      <family val="2"/>
    </font>
    <font>
      <sz val="12"/>
      <color rgb="FF000000"/>
      <name val="等线"/>
      <family val="4"/>
      <charset val="134"/>
    </font>
    <font>
      <sz val="12"/>
      <color rgb="FFFF0000"/>
      <name val="等线"/>
      <family val="4"/>
      <charset val="134"/>
    </font>
    <font>
      <b/>
      <sz val="12"/>
      <color rgb="FF000000"/>
      <name val="等线"/>
      <family val="4"/>
      <charset val="134"/>
    </font>
    <font>
      <b/>
      <sz val="13"/>
      <color rgb="FFFF0000"/>
      <name val="Times New Roman"/>
      <family val="1"/>
    </font>
    <font>
      <sz val="13"/>
      <color rgb="FFFF0000"/>
      <name val="Times New Roman"/>
      <family val="1"/>
    </font>
    <font>
      <b/>
      <sz val="12"/>
      <color rgb="FFFF0000"/>
      <name val="Times New Roman"/>
      <family val="1"/>
    </font>
    <font>
      <b/>
      <sz val="16"/>
      <color rgb="FFFF0000"/>
      <name val="Times New Roman"/>
      <family val="1"/>
    </font>
    <font>
      <b/>
      <sz val="11"/>
      <color rgb="FFFF0000"/>
      <name val="Times New Roman"/>
      <family val="1"/>
    </font>
    <font>
      <sz val="11"/>
      <name val="Times New Roman"/>
      <family val="1"/>
    </font>
    <font>
      <b/>
      <sz val="11"/>
      <name val="Times New Roman"/>
      <family val="1"/>
    </font>
    <font>
      <sz val="10"/>
      <name val="MS Sans Serif"/>
    </font>
    <font>
      <b/>
      <sz val="10"/>
      <name val="MS Sans Serif"/>
    </font>
    <font>
      <u/>
      <sz val="12"/>
      <color theme="10"/>
      <name val="Times New Roman"/>
      <family val="1"/>
    </font>
    <font>
      <b/>
      <sz val="12"/>
      <color rgb="FF000000"/>
      <name val="Times New Roman"/>
      <family val="1"/>
    </font>
    <font>
      <b/>
      <u val="singleAccounting"/>
      <sz val="12"/>
      <name val="Times New Roman"/>
      <family val="1"/>
    </font>
    <font>
      <b/>
      <u/>
      <sz val="12"/>
      <name val="Times New Roman"/>
      <family val="1"/>
    </font>
    <font>
      <sz val="16"/>
      <color theme="1"/>
      <name val="Times New Roman"/>
      <family val="1"/>
    </font>
    <font>
      <sz val="12"/>
      <color rgb="FF434343"/>
      <name val="Times New Roman"/>
      <family val="1"/>
    </font>
    <font>
      <b/>
      <sz val="12"/>
      <color rgb="FF434343"/>
      <name val="Times New Roman"/>
      <family val="1"/>
    </font>
    <font>
      <sz val="12"/>
      <color theme="1"/>
      <name val="Garamond"/>
      <family val="1"/>
    </font>
    <font>
      <sz val="8"/>
      <color theme="1"/>
      <name val="Times New Roman"/>
      <family val="1"/>
    </font>
    <font>
      <sz val="7"/>
      <color theme="1"/>
      <name val="Garamond"/>
      <family val="1"/>
    </font>
    <font>
      <sz val="9"/>
      <color theme="1"/>
      <name val="Garamond"/>
      <family val="1"/>
    </font>
    <font>
      <b/>
      <sz val="9"/>
      <color theme="1"/>
      <name val="Garamond"/>
      <family val="1"/>
    </font>
    <font>
      <b/>
      <u/>
      <sz val="9"/>
      <color theme="1"/>
      <name val="Garamond"/>
      <family val="1"/>
    </font>
    <font>
      <sz val="8"/>
      <color theme="1"/>
      <name val="Garamond"/>
      <family val="1"/>
    </font>
    <font>
      <b/>
      <sz val="8"/>
      <color theme="1"/>
      <name val="Garamond"/>
      <family val="1"/>
    </font>
    <font>
      <sz val="9"/>
      <name val="Garamond"/>
      <family val="1"/>
    </font>
    <font>
      <sz val="9"/>
      <color rgb="FF000000"/>
      <name val="Garamond"/>
      <family val="1"/>
    </font>
    <font>
      <sz val="9"/>
      <color theme="1"/>
      <name val="Times New Roman"/>
      <family val="1"/>
    </font>
    <font>
      <b/>
      <u/>
      <sz val="8"/>
      <color theme="1"/>
      <name val="Garamond"/>
      <family val="1"/>
    </font>
    <font>
      <sz val="7"/>
      <color theme="0"/>
      <name val="Garamond"/>
      <family val="1"/>
    </font>
    <font>
      <b/>
      <sz val="7"/>
      <name val="Garamond"/>
      <family val="1"/>
    </font>
    <font>
      <b/>
      <sz val="11"/>
      <name val="Calibri"/>
      <family val="2"/>
    </font>
  </fonts>
  <fills count="45">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rgb="FFFFFFFF"/>
      </patternFill>
    </fill>
    <fill>
      <patternFill patternType="solid">
        <fgColor theme="6" tint="0.79998168889431442"/>
        <bgColor theme="0"/>
      </patternFill>
    </fill>
    <fill>
      <patternFill patternType="solid">
        <fgColor theme="6" tint="0.39997558519241921"/>
        <bgColor rgb="FF606060"/>
      </patternFill>
    </fill>
    <fill>
      <patternFill patternType="solid">
        <fgColor theme="6" tint="0.79998168889431442"/>
        <bgColor rgb="FF606060"/>
      </patternFill>
    </fill>
    <fill>
      <patternFill patternType="solid">
        <fgColor rgb="FFB7B7B7"/>
        <bgColor rgb="FFB7B7B7"/>
      </patternFill>
    </fill>
    <fill>
      <patternFill patternType="solid">
        <fgColor rgb="FFFFFFFF"/>
        <bgColor rgb="FFFFFFFF"/>
      </patternFill>
    </fill>
    <fill>
      <patternFill patternType="solid">
        <fgColor rgb="FF999999"/>
        <bgColor rgb="FF999999"/>
      </patternFill>
    </fill>
    <fill>
      <patternFill patternType="solid">
        <fgColor rgb="FFCCCCCC"/>
        <bgColor rgb="FFCCCCCC"/>
      </patternFill>
    </fill>
    <fill>
      <patternFill patternType="solid">
        <fgColor theme="0"/>
        <bgColor rgb="FFCCCCCC"/>
      </patternFill>
    </fill>
    <fill>
      <patternFill patternType="solid">
        <fgColor theme="0"/>
        <bgColor rgb="FFB7B7B7"/>
      </patternFill>
    </fill>
    <fill>
      <patternFill patternType="solid">
        <fgColor theme="0"/>
        <bgColor rgb="FFFFFFFF"/>
      </patternFill>
    </fill>
    <fill>
      <patternFill patternType="solid">
        <fgColor rgb="FFCCFFCC"/>
        <bgColor indexed="64"/>
      </patternFill>
    </fill>
    <fill>
      <patternFill patternType="solid">
        <fgColor rgb="FF00FFFF"/>
        <bgColor indexed="64"/>
      </patternFill>
    </fill>
    <fill>
      <patternFill patternType="solid">
        <fgColor rgb="FF808080"/>
        <bgColor rgb="FF808080"/>
      </patternFill>
    </fill>
    <fill>
      <patternFill patternType="solid">
        <fgColor theme="7" tint="0.39997558519241921"/>
        <bgColor indexed="64"/>
      </patternFill>
    </fill>
    <fill>
      <patternFill patternType="solid">
        <fgColor rgb="FFFFFFFF"/>
        <bgColor rgb="FF000000"/>
      </patternFill>
    </fill>
    <fill>
      <patternFill patternType="solid">
        <fgColor theme="6" tint="0.79998168889431442"/>
        <bgColor rgb="FF000000"/>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EDE0D1"/>
        <bgColor indexed="64"/>
      </patternFill>
    </fill>
    <fill>
      <patternFill patternType="solid">
        <fgColor rgb="FFEDE0D1"/>
        <bgColor rgb="FF000000"/>
      </patternFill>
    </fill>
    <fill>
      <patternFill patternType="solid">
        <fgColor theme="5" tint="-0.499984740745262"/>
        <bgColor indexed="64"/>
      </patternFill>
    </fill>
    <fill>
      <patternFill patternType="solid">
        <fgColor rgb="FFEEE0D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3" tint="-0.499984740745262"/>
        <bgColor theme="0" tint="-0.14999847407452621"/>
      </patternFill>
    </fill>
    <fill>
      <patternFill patternType="solid">
        <fgColor theme="3" tint="-0.499984740745262"/>
        <bgColor indexed="64"/>
      </patternFill>
    </fill>
    <fill>
      <patternFill patternType="solid">
        <fgColor theme="3" tint="-0.249977111117893"/>
        <bgColor theme="0" tint="-0.14999847407452621"/>
      </patternFill>
    </fill>
    <fill>
      <patternFill patternType="solid">
        <fgColor theme="3" tint="-0.249977111117893"/>
        <bgColor indexed="64"/>
      </patternFill>
    </fill>
    <fill>
      <patternFill patternType="solid">
        <fgColor theme="5" tint="0.79998168889431442"/>
        <bgColor theme="0" tint="-0.14999847407452621"/>
      </patternFill>
    </fill>
    <fill>
      <patternFill patternType="solid">
        <fgColor theme="3" tint="0.39997558519241921"/>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EEE0D2"/>
        <bgColor rgb="FF000000"/>
      </patternFill>
    </fill>
  </fills>
  <borders count="23">
    <border>
      <left/>
      <right/>
      <top/>
      <bottom/>
      <diagonal/>
    </border>
    <border>
      <left/>
      <right/>
      <top/>
      <bottom style="thin">
        <color auto="1"/>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auto="1"/>
      </bottom>
      <diagonal/>
    </border>
    <border>
      <left/>
      <right/>
      <top/>
      <bottom style="double">
        <color indexed="64"/>
      </bottom>
      <diagonal/>
    </border>
    <border>
      <left style="thin">
        <color rgb="FF000000"/>
      </left>
      <right style="thin">
        <color rgb="FF000000"/>
      </right>
      <top style="thin">
        <color rgb="FF000000"/>
      </top>
      <bottom style="thin">
        <color rgb="FF000000"/>
      </bottom>
      <diagonal/>
    </border>
    <border>
      <left/>
      <right/>
      <top style="double">
        <color indexed="64"/>
      </top>
      <bottom style="thin">
        <color indexed="64"/>
      </bottom>
      <diagonal/>
    </border>
    <border>
      <left style="thin">
        <color indexed="64"/>
      </left>
      <right style="thin">
        <color indexed="64"/>
      </right>
      <top/>
      <bottom style="thin">
        <color indexed="64"/>
      </bottom>
      <diagonal/>
    </border>
    <border>
      <left/>
      <right style="thin">
        <color theme="7" tint="0.39997558519241921"/>
      </right>
      <top style="thin">
        <color theme="7" tint="0.39997558519241921"/>
      </top>
      <bottom style="thin">
        <color theme="7" tint="0.39997558519241921"/>
      </bottom>
      <diagonal/>
    </border>
    <border>
      <left style="thin">
        <color theme="7" tint="0.39997558519241921"/>
      </left>
      <right/>
      <top style="thin">
        <color theme="7" tint="0.39997558519241921"/>
      </top>
      <bottom style="thin">
        <color theme="7" tint="0.39997558519241921"/>
      </bottom>
      <diagonal/>
    </border>
    <border>
      <left/>
      <right/>
      <top style="thin">
        <color theme="7" tint="0.39997558519241921"/>
      </top>
      <bottom style="thin">
        <color theme="7" tint="0.39997558519241921"/>
      </bottom>
      <diagonal/>
    </border>
  </borders>
  <cellStyleXfs count="12">
    <xf numFmtId="0" fontId="0" fillId="0" borderId="0">
      <alignment vertical="center"/>
    </xf>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9" fillId="0" borderId="0" applyNumberFormat="0" applyFill="0" applyBorder="0" applyAlignment="0" applyProtection="0">
      <alignment vertical="center"/>
    </xf>
    <xf numFmtId="0" fontId="4" fillId="0" borderId="0"/>
    <xf numFmtId="0" fontId="44" fillId="0" borderId="0"/>
    <xf numFmtId="0" fontId="46" fillId="0" borderId="0"/>
    <xf numFmtId="0" fontId="47" fillId="0" borderId="0" applyAlignment="0"/>
    <xf numFmtId="0" fontId="3" fillId="0" borderId="0"/>
    <xf numFmtId="0" fontId="2" fillId="0" borderId="0"/>
    <xf numFmtId="0" fontId="72" fillId="0" borderId="0"/>
  </cellStyleXfs>
  <cellXfs count="750">
    <xf numFmtId="0" fontId="0" fillId="0" borderId="0" xfId="0">
      <alignment vertical="center"/>
    </xf>
    <xf numFmtId="164" fontId="7" fillId="2" borderId="0" xfId="1" applyNumberFormat="1" applyFont="1" applyFill="1" applyBorder="1" applyAlignment="1">
      <alignment vertical="center"/>
    </xf>
    <xf numFmtId="164" fontId="8" fillId="2" borderId="0" xfId="1" applyNumberFormat="1" applyFont="1" applyFill="1" applyBorder="1" applyAlignment="1">
      <alignment vertical="center"/>
    </xf>
    <xf numFmtId="0" fontId="14" fillId="2" borderId="0" xfId="0" applyFont="1" applyFill="1">
      <alignment vertical="center"/>
    </xf>
    <xf numFmtId="164" fontId="7" fillId="3" borderId="0" xfId="1" applyNumberFormat="1" applyFont="1" applyFill="1" applyBorder="1" applyAlignment="1">
      <alignment vertical="center"/>
    </xf>
    <xf numFmtId="165" fontId="8" fillId="3" borderId="0" xfId="1" applyNumberFormat="1" applyFont="1" applyFill="1" applyBorder="1" applyAlignment="1">
      <alignment vertical="center"/>
    </xf>
    <xf numFmtId="164" fontId="8" fillId="3" borderId="0" xfId="1" applyNumberFormat="1" applyFont="1" applyFill="1" applyBorder="1" applyAlignment="1">
      <alignment horizontal="left" vertical="center" indent="1"/>
    </xf>
    <xf numFmtId="164" fontId="8" fillId="3" borderId="0" xfId="1" applyNumberFormat="1" applyFont="1" applyFill="1" applyBorder="1" applyAlignment="1">
      <alignment vertical="center"/>
    </xf>
    <xf numFmtId="164" fontId="8" fillId="3" borderId="0" xfId="1" applyNumberFormat="1" applyFont="1" applyFill="1" applyBorder="1" applyAlignment="1">
      <alignment horizontal="right" vertical="center"/>
    </xf>
    <xf numFmtId="164" fontId="10" fillId="3" borderId="0" xfId="1" applyNumberFormat="1" applyFont="1" applyFill="1" applyBorder="1" applyAlignment="1">
      <alignment vertical="center"/>
    </xf>
    <xf numFmtId="164" fontId="10" fillId="3" borderId="0" xfId="1" applyNumberFormat="1" applyFont="1" applyFill="1" applyBorder="1" applyAlignment="1">
      <alignment horizontal="left" vertical="center"/>
    </xf>
    <xf numFmtId="0" fontId="14" fillId="3" borderId="0" xfId="0" applyFont="1" applyFill="1">
      <alignment vertical="center"/>
    </xf>
    <xf numFmtId="164" fontId="11" fillId="3" borderId="0" xfId="1" applyNumberFormat="1" applyFont="1" applyFill="1" applyBorder="1" applyAlignment="1">
      <alignment vertical="center"/>
    </xf>
    <xf numFmtId="164" fontId="12" fillId="3" borderId="0" xfId="1" applyNumberFormat="1" applyFont="1" applyFill="1" applyBorder="1" applyAlignment="1">
      <alignment horizontal="left" vertical="center" indent="1"/>
    </xf>
    <xf numFmtId="164" fontId="13" fillId="3" borderId="0" xfId="1" applyNumberFormat="1" applyFont="1" applyFill="1" applyBorder="1" applyAlignment="1">
      <alignment vertical="center"/>
    </xf>
    <xf numFmtId="164" fontId="7" fillId="4" borderId="0" xfId="1" applyNumberFormat="1" applyFont="1" applyFill="1" applyBorder="1" applyAlignment="1">
      <alignment vertical="center"/>
    </xf>
    <xf numFmtId="164" fontId="11" fillId="4" borderId="0" xfId="1" applyNumberFormat="1" applyFont="1" applyFill="1" applyBorder="1" applyAlignment="1">
      <alignment vertical="center"/>
    </xf>
    <xf numFmtId="0" fontId="15" fillId="2" borderId="0" xfId="0" applyFont="1" applyFill="1" applyAlignment="1"/>
    <xf numFmtId="0" fontId="12" fillId="2" borderId="0" xfId="0" applyFont="1" applyFill="1" applyAlignment="1"/>
    <xf numFmtId="0" fontId="16" fillId="2" borderId="0" xfId="0" applyFont="1" applyFill="1" applyAlignment="1">
      <alignment horizontal="left" vertical="top"/>
    </xf>
    <xf numFmtId="0" fontId="15" fillId="3" borderId="0" xfId="0" applyFont="1" applyFill="1" applyAlignment="1"/>
    <xf numFmtId="0" fontId="12" fillId="3" borderId="0" xfId="0" applyFont="1" applyFill="1" applyAlignment="1"/>
    <xf numFmtId="0" fontId="16" fillId="3" borderId="0" xfId="0" applyFont="1" applyFill="1" applyAlignment="1">
      <alignment horizontal="left" vertical="top"/>
    </xf>
    <xf numFmtId="164" fontId="17" fillId="3" borderId="0" xfId="4" applyNumberFormat="1" applyFont="1" applyFill="1" applyBorder="1" applyAlignment="1">
      <alignment vertical="center"/>
    </xf>
    <xf numFmtId="164" fontId="17" fillId="2" borderId="0" xfId="4" applyNumberFormat="1" applyFont="1" applyFill="1" applyBorder="1" applyAlignment="1">
      <alignment vertical="center"/>
    </xf>
    <xf numFmtId="49" fontId="12" fillId="2" borderId="0" xfId="0" applyNumberFormat="1" applyFont="1" applyFill="1" applyAlignment="1"/>
    <xf numFmtId="0" fontId="8" fillId="3" borderId="0" xfId="0" applyFont="1" applyFill="1">
      <alignment vertical="center"/>
    </xf>
    <xf numFmtId="0" fontId="8" fillId="2" borderId="0" xfId="0" applyFont="1" applyFill="1">
      <alignment vertical="center"/>
    </xf>
    <xf numFmtId="0" fontId="18" fillId="3" borderId="0" xfId="0" applyFont="1" applyFill="1" applyAlignment="1"/>
    <xf numFmtId="0" fontId="18" fillId="2" borderId="0" xfId="0" applyFont="1" applyFill="1" applyAlignment="1"/>
    <xf numFmtId="164" fontId="8" fillId="2" borderId="0" xfId="1" applyNumberFormat="1" applyFont="1" applyFill="1" applyBorder="1" applyAlignment="1">
      <alignment vertical="center" wrapText="1"/>
    </xf>
    <xf numFmtId="0" fontId="19" fillId="2" borderId="0" xfId="1" applyNumberFormat="1" applyFont="1" applyFill="1" applyBorder="1" applyAlignment="1">
      <alignment vertical="center" wrapText="1"/>
    </xf>
    <xf numFmtId="164" fontId="8" fillId="4" borderId="0" xfId="1" applyNumberFormat="1" applyFont="1" applyFill="1" applyBorder="1" applyAlignment="1">
      <alignment vertical="center"/>
    </xf>
    <xf numFmtId="165" fontId="7" fillId="4" borderId="0" xfId="1" applyNumberFormat="1" applyFont="1" applyFill="1" applyBorder="1" applyAlignment="1">
      <alignment vertical="center"/>
    </xf>
    <xf numFmtId="165" fontId="7" fillId="3" borderId="0" xfId="1" applyNumberFormat="1" applyFont="1" applyFill="1" applyBorder="1" applyAlignment="1">
      <alignment vertical="center"/>
    </xf>
    <xf numFmtId="0" fontId="0" fillId="2" borderId="0" xfId="0" applyFill="1">
      <alignment vertical="center"/>
    </xf>
    <xf numFmtId="164" fontId="21" fillId="4" borderId="0" xfId="1" applyNumberFormat="1" applyFont="1" applyFill="1" applyBorder="1" applyAlignment="1">
      <alignment vertical="center"/>
    </xf>
    <xf numFmtId="164" fontId="21" fillId="3" borderId="0" xfId="1" applyNumberFormat="1" applyFont="1" applyFill="1" applyBorder="1" applyAlignment="1">
      <alignment vertical="center"/>
    </xf>
    <xf numFmtId="164" fontId="10" fillId="3" borderId="0" xfId="1" applyNumberFormat="1" applyFont="1" applyFill="1" applyBorder="1" applyAlignment="1">
      <alignment horizontal="left" vertical="center" indent="1"/>
    </xf>
    <xf numFmtId="0" fontId="22" fillId="3" borderId="0" xfId="0" applyFont="1" applyFill="1">
      <alignment vertical="center"/>
    </xf>
    <xf numFmtId="164" fontId="22" fillId="3" borderId="0" xfId="1" applyNumberFormat="1" applyFont="1" applyFill="1" applyBorder="1" applyAlignment="1">
      <alignment vertical="center"/>
    </xf>
    <xf numFmtId="0" fontId="8" fillId="3" borderId="0" xfId="0" applyFont="1" applyFill="1" applyAlignment="1">
      <alignment vertical="center" wrapText="1"/>
    </xf>
    <xf numFmtId="0" fontId="23" fillId="4" borderId="0" xfId="0" applyFont="1" applyFill="1" applyAlignment="1">
      <alignment vertical="center" wrapText="1"/>
    </xf>
    <xf numFmtId="164" fontId="23" fillId="4" borderId="0" xfId="1" applyNumberFormat="1" applyFont="1" applyFill="1" applyBorder="1" applyAlignment="1">
      <alignment vertical="center"/>
    </xf>
    <xf numFmtId="0" fontId="24" fillId="4" borderId="0" xfId="0" applyFont="1" applyFill="1">
      <alignment vertical="center"/>
    </xf>
    <xf numFmtId="164" fontId="24" fillId="4" borderId="0" xfId="1" applyNumberFormat="1" applyFont="1" applyFill="1" applyBorder="1" applyAlignment="1">
      <alignment vertical="center"/>
    </xf>
    <xf numFmtId="0" fontId="7" fillId="4" borderId="0" xfId="0" applyFont="1" applyFill="1">
      <alignment vertical="center"/>
    </xf>
    <xf numFmtId="0" fontId="8" fillId="4" borderId="0" xfId="0" applyFont="1" applyFill="1">
      <alignment vertical="center"/>
    </xf>
    <xf numFmtId="164" fontId="8" fillId="3" borderId="0" xfId="1" applyNumberFormat="1" applyFont="1" applyFill="1" applyBorder="1" applyAlignment="1">
      <alignment horizontal="left" vertical="center"/>
    </xf>
    <xf numFmtId="166" fontId="10" fillId="3" borderId="0" xfId="1" applyNumberFormat="1" applyFont="1" applyFill="1" applyBorder="1" applyAlignment="1">
      <alignment horizontal="left" vertical="center"/>
    </xf>
    <xf numFmtId="0" fontId="25" fillId="3" borderId="0" xfId="0" applyFont="1" applyFill="1" applyAlignment="1">
      <alignment horizontal="left" vertical="top"/>
    </xf>
    <xf numFmtId="0" fontId="14" fillId="2" borderId="0" xfId="0" applyFont="1" applyFill="1" applyAlignment="1">
      <alignment horizontal="center" vertical="center"/>
    </xf>
    <xf numFmtId="0" fontId="14" fillId="3" borderId="2" xfId="0" applyFont="1" applyFill="1" applyBorder="1" applyAlignment="1">
      <alignment horizontal="right" vertical="center"/>
    </xf>
    <xf numFmtId="0" fontId="14" fillId="3" borderId="0" xfId="0" applyFont="1" applyFill="1" applyAlignment="1">
      <alignment horizontal="center" vertical="center"/>
    </xf>
    <xf numFmtId="0" fontId="14" fillId="3" borderId="0" xfId="0" applyFont="1" applyFill="1" applyAlignment="1">
      <alignment horizontal="left" vertical="center"/>
    </xf>
    <xf numFmtId="164" fontId="7" fillId="4" borderId="0" xfId="1" applyNumberFormat="1" applyFont="1" applyFill="1" applyBorder="1" applyAlignment="1">
      <alignment horizontal="left" vertical="center"/>
    </xf>
    <xf numFmtId="0" fontId="8" fillId="3" borderId="0" xfId="0" applyFont="1" applyFill="1" applyAlignment="1">
      <alignment horizontal="left" vertical="center"/>
    </xf>
    <xf numFmtId="9" fontId="14" fillId="2" borderId="0" xfId="3" applyFont="1" applyFill="1" applyBorder="1" applyAlignment="1">
      <alignment vertical="center"/>
    </xf>
    <xf numFmtId="9" fontId="12" fillId="3" borderId="0" xfId="3" applyFont="1" applyFill="1" applyBorder="1" applyAlignment="1"/>
    <xf numFmtId="9" fontId="7" fillId="4" borderId="0" xfId="3" applyFont="1" applyFill="1" applyBorder="1" applyAlignment="1">
      <alignment horizontal="right" vertical="center"/>
    </xf>
    <xf numFmtId="9" fontId="7" fillId="3" borderId="0" xfId="3" applyFont="1" applyFill="1" applyBorder="1" applyAlignment="1">
      <alignment vertical="center"/>
    </xf>
    <xf numFmtId="9" fontId="7" fillId="4" borderId="0" xfId="3" applyFont="1" applyFill="1" applyBorder="1" applyAlignment="1">
      <alignment vertical="center"/>
    </xf>
    <xf numFmtId="9" fontId="8" fillId="3" borderId="0" xfId="3" applyFont="1" applyFill="1" applyBorder="1" applyAlignment="1">
      <alignment vertical="center"/>
    </xf>
    <xf numFmtId="9" fontId="21" fillId="3" borderId="0" xfId="3" applyFont="1" applyFill="1" applyBorder="1" applyAlignment="1">
      <alignment vertical="center"/>
    </xf>
    <xf numFmtId="9" fontId="8" fillId="4" borderId="0" xfId="3" applyFont="1" applyFill="1" applyBorder="1" applyAlignment="1">
      <alignment vertical="center"/>
    </xf>
    <xf numFmtId="9" fontId="15" fillId="3" borderId="0" xfId="3" applyFont="1" applyFill="1" applyBorder="1" applyAlignment="1"/>
    <xf numFmtId="9" fontId="25" fillId="3" borderId="0" xfId="3" applyFont="1" applyFill="1" applyBorder="1" applyAlignment="1">
      <alignment horizontal="left" vertical="top"/>
    </xf>
    <xf numFmtId="9" fontId="16" fillId="3" borderId="0" xfId="3" applyFont="1" applyFill="1" applyBorder="1" applyAlignment="1">
      <alignment horizontal="left" vertical="top"/>
    </xf>
    <xf numFmtId="9" fontId="17" fillId="3" borderId="0" xfId="3" applyFont="1" applyFill="1" applyBorder="1" applyAlignment="1">
      <alignment vertical="center"/>
    </xf>
    <xf numFmtId="9" fontId="14" fillId="3" borderId="0" xfId="3" applyFont="1" applyFill="1" applyBorder="1" applyAlignment="1">
      <alignment vertical="center"/>
    </xf>
    <xf numFmtId="0" fontId="14" fillId="2" borderId="0" xfId="0" applyFont="1" applyFill="1" applyAlignment="1">
      <alignment horizontal="left" vertical="center"/>
    </xf>
    <xf numFmtId="0" fontId="14" fillId="2" borderId="0" xfId="0" applyFont="1" applyFill="1" applyAlignment="1">
      <alignment vertical="top" wrapText="1"/>
    </xf>
    <xf numFmtId="9" fontId="14" fillId="2" borderId="0" xfId="3" applyFont="1" applyFill="1" applyAlignment="1">
      <alignment vertical="center"/>
    </xf>
    <xf numFmtId="0" fontId="14" fillId="2" borderId="0" xfId="0" applyFont="1" applyFill="1" applyAlignment="1"/>
    <xf numFmtId="9" fontId="14" fillId="2" borderId="0" xfId="3" applyFont="1" applyFill="1" applyAlignment="1">
      <alignment vertical="top" wrapText="1"/>
    </xf>
    <xf numFmtId="0" fontId="14" fillId="2" borderId="0" xfId="0" applyFont="1" applyFill="1" applyAlignment="1">
      <alignment horizontal="left" vertical="top" wrapText="1"/>
    </xf>
    <xf numFmtId="0" fontId="14" fillId="3" borderId="0" xfId="0" applyFont="1" applyFill="1" applyAlignment="1"/>
    <xf numFmtId="9" fontId="14" fillId="3" borderId="0" xfId="3" applyFont="1" applyFill="1" applyAlignment="1">
      <alignment horizontal="left" vertical="center"/>
    </xf>
    <xf numFmtId="0" fontId="14" fillId="3" borderId="2" xfId="0" applyFont="1" applyFill="1" applyBorder="1">
      <alignment vertical="center"/>
    </xf>
    <xf numFmtId="44" fontId="14" fillId="3" borderId="0" xfId="2" applyFont="1" applyFill="1" applyBorder="1" applyAlignment="1">
      <alignment vertical="center"/>
    </xf>
    <xf numFmtId="10" fontId="14" fillId="3" borderId="0" xfId="0" applyNumberFormat="1" applyFont="1" applyFill="1">
      <alignment vertical="center"/>
    </xf>
    <xf numFmtId="9" fontId="14" fillId="3" borderId="0" xfId="0" applyNumberFormat="1" applyFont="1" applyFill="1">
      <alignment vertical="center"/>
    </xf>
    <xf numFmtId="0" fontId="14" fillId="2" borderId="0" xfId="0" applyFont="1" applyFill="1" applyAlignment="1">
      <alignment horizontal="right" vertical="center"/>
    </xf>
    <xf numFmtId="1" fontId="14" fillId="3" borderId="2" xfId="3" applyNumberFormat="1" applyFont="1" applyFill="1" applyBorder="1" applyAlignment="1">
      <alignment horizontal="right" vertical="center"/>
    </xf>
    <xf numFmtId="0" fontId="31" fillId="3" borderId="0" xfId="0" applyFont="1" applyFill="1">
      <alignment vertical="center"/>
    </xf>
    <xf numFmtId="0" fontId="31" fillId="4" borderId="0" xfId="0" applyFont="1" applyFill="1" applyAlignment="1">
      <alignment horizontal="center" vertical="center"/>
    </xf>
    <xf numFmtId="0" fontId="31" fillId="4" borderId="0" xfId="0" applyFont="1" applyFill="1">
      <alignment vertical="center"/>
    </xf>
    <xf numFmtId="9" fontId="32" fillId="3" borderId="0" xfId="2" applyNumberFormat="1" applyFont="1" applyFill="1" applyBorder="1" applyAlignment="1">
      <alignment vertical="center"/>
    </xf>
    <xf numFmtId="9" fontId="32" fillId="3" borderId="0" xfId="3" applyFont="1" applyFill="1" applyBorder="1" applyAlignment="1">
      <alignment vertical="center"/>
    </xf>
    <xf numFmtId="9" fontId="32" fillId="3" borderId="0" xfId="0" applyNumberFormat="1" applyFont="1" applyFill="1">
      <alignment vertical="center"/>
    </xf>
    <xf numFmtId="0" fontId="32" fillId="2" borderId="0" xfId="0" applyFont="1" applyFill="1">
      <alignment vertical="center"/>
    </xf>
    <xf numFmtId="0" fontId="32" fillId="3" borderId="0" xfId="0" applyFont="1" applyFill="1">
      <alignment vertical="center"/>
    </xf>
    <xf numFmtId="0" fontId="33" fillId="3" borderId="0" xfId="0" applyFont="1" applyFill="1" applyAlignment="1"/>
    <xf numFmtId="0" fontId="31" fillId="3" borderId="0" xfId="0" applyFont="1" applyFill="1" applyAlignment="1"/>
    <xf numFmtId="0" fontId="34" fillId="3" borderId="0" xfId="0" applyFont="1" applyFill="1" applyAlignment="1"/>
    <xf numFmtId="0" fontId="31" fillId="2" borderId="0" xfId="0" applyFont="1" applyFill="1">
      <alignment vertical="center"/>
    </xf>
    <xf numFmtId="0" fontId="35" fillId="3" borderId="0" xfId="0" applyFont="1" applyFill="1" applyAlignment="1"/>
    <xf numFmtId="0" fontId="35" fillId="4" borderId="0" xfId="0" applyFont="1" applyFill="1" applyAlignment="1"/>
    <xf numFmtId="0" fontId="31" fillId="3" borderId="0" xfId="0" applyFont="1" applyFill="1" applyAlignment="1">
      <alignment horizontal="right"/>
    </xf>
    <xf numFmtId="0" fontId="35" fillId="4" borderId="0" xfId="0" applyFont="1" applyFill="1" applyAlignment="1">
      <alignment horizontal="center"/>
    </xf>
    <xf numFmtId="0" fontId="31" fillId="4" borderId="0" xfId="0" applyFont="1" applyFill="1" applyAlignment="1">
      <alignment horizontal="center"/>
    </xf>
    <xf numFmtId="0" fontId="31" fillId="4" borderId="0" xfId="0" applyFont="1" applyFill="1" applyAlignment="1"/>
    <xf numFmtId="0" fontId="37" fillId="4" borderId="0" xfId="0" applyFont="1" applyFill="1">
      <alignment vertical="center"/>
    </xf>
    <xf numFmtId="0" fontId="14" fillId="4" borderId="0" xfId="0" applyFont="1" applyFill="1" applyAlignment="1"/>
    <xf numFmtId="4" fontId="14" fillId="4" borderId="0" xfId="0" applyNumberFormat="1" applyFont="1" applyFill="1" applyAlignment="1"/>
    <xf numFmtId="9" fontId="14" fillId="2" borderId="0" xfId="3" applyFont="1" applyFill="1" applyBorder="1" applyAlignment="1">
      <alignment horizontal="center" vertical="center"/>
    </xf>
    <xf numFmtId="0" fontId="7" fillId="4" borderId="0" xfId="1" applyNumberFormat="1" applyFont="1" applyFill="1" applyBorder="1" applyAlignment="1">
      <alignment horizontal="center" vertical="center"/>
    </xf>
    <xf numFmtId="0" fontId="8" fillId="3" borderId="0" xfId="0" applyFont="1" applyFill="1" applyAlignment="1"/>
    <xf numFmtId="0" fontId="8" fillId="2" borderId="0" xfId="0" applyFont="1" applyFill="1" applyAlignment="1"/>
    <xf numFmtId="164" fontId="11" fillId="4" borderId="0" xfId="1" applyNumberFormat="1" applyFont="1" applyFill="1" applyBorder="1" applyAlignment="1">
      <alignment horizontal="left" vertical="center"/>
    </xf>
    <xf numFmtId="164" fontId="11" fillId="3" borderId="0" xfId="1" applyNumberFormat="1" applyFont="1" applyFill="1" applyBorder="1" applyAlignment="1">
      <alignment horizontal="left" vertical="center"/>
    </xf>
    <xf numFmtId="0" fontId="8" fillId="3" borderId="0" xfId="0" applyFont="1" applyFill="1" applyAlignment="1">
      <alignment horizontal="left"/>
    </xf>
    <xf numFmtId="9" fontId="8" fillId="3" borderId="0" xfId="3" applyFont="1" applyFill="1" applyBorder="1" applyAlignment="1">
      <alignment horizontal="center" vertical="center"/>
    </xf>
    <xf numFmtId="9" fontId="8" fillId="4" borderId="0" xfId="3" applyFont="1" applyFill="1" applyBorder="1" applyAlignment="1">
      <alignment horizontal="center" vertical="center"/>
    </xf>
    <xf numFmtId="9" fontId="8" fillId="3" borderId="0" xfId="3" applyFont="1" applyFill="1" applyAlignment="1">
      <alignment horizontal="center" vertical="center"/>
    </xf>
    <xf numFmtId="9" fontId="8" fillId="4" borderId="0" xfId="3" applyFont="1" applyFill="1" applyAlignment="1">
      <alignment horizontal="center" vertical="center"/>
    </xf>
    <xf numFmtId="0" fontId="14" fillId="4" borderId="0" xfId="0" applyFont="1" applyFill="1" applyAlignment="1">
      <alignment horizontal="center" vertical="center"/>
    </xf>
    <xf numFmtId="14" fontId="8" fillId="2" borderId="0" xfId="0" applyNumberFormat="1" applyFont="1" applyFill="1">
      <alignment vertical="center"/>
    </xf>
    <xf numFmtId="0" fontId="16" fillId="2" borderId="0" xfId="0" applyFont="1" applyFill="1">
      <alignment vertical="center"/>
    </xf>
    <xf numFmtId="0" fontId="7" fillId="2" borderId="0" xfId="0" applyFont="1" applyFill="1">
      <alignment vertical="center"/>
    </xf>
    <xf numFmtId="0" fontId="8" fillId="5" borderId="0" xfId="0" applyFont="1" applyFill="1">
      <alignment vertical="center"/>
    </xf>
    <xf numFmtId="0" fontId="8" fillId="6" borderId="0" xfId="0" applyFont="1" applyFill="1">
      <alignment vertical="center"/>
    </xf>
    <xf numFmtId="0" fontId="8" fillId="7" borderId="0" xfId="0" applyFont="1" applyFill="1">
      <alignment vertical="center"/>
    </xf>
    <xf numFmtId="0" fontId="7" fillId="3" borderId="0" xfId="0" applyFont="1" applyFill="1">
      <alignment vertical="center"/>
    </xf>
    <xf numFmtId="0" fontId="12" fillId="3" borderId="0" xfId="0" applyFont="1" applyFill="1">
      <alignment vertical="center"/>
    </xf>
    <xf numFmtId="0" fontId="15" fillId="3" borderId="0" xfId="0" applyFont="1" applyFill="1">
      <alignment vertical="center"/>
    </xf>
    <xf numFmtId="0" fontId="30" fillId="3" borderId="0" xfId="0" applyFont="1" applyFill="1">
      <alignment vertical="center"/>
    </xf>
    <xf numFmtId="14" fontId="8" fillId="3" borderId="0" xfId="0" applyNumberFormat="1" applyFont="1" applyFill="1" applyAlignment="1">
      <alignment horizontal="left" vertical="center"/>
    </xf>
    <xf numFmtId="1" fontId="8" fillId="3" borderId="0" xfId="0" applyNumberFormat="1" applyFont="1" applyFill="1">
      <alignment vertical="center"/>
    </xf>
    <xf numFmtId="9" fontId="8" fillId="2" borderId="0" xfId="3" applyFont="1" applyFill="1" applyBorder="1" applyAlignment="1">
      <alignment horizontal="center" vertical="center"/>
    </xf>
    <xf numFmtId="164" fontId="8" fillId="3" borderId="0" xfId="3" applyNumberFormat="1" applyFont="1" applyFill="1" applyBorder="1" applyAlignment="1">
      <alignment horizontal="center" vertical="center"/>
    </xf>
    <xf numFmtId="164" fontId="10" fillId="4" borderId="0" xfId="3" applyNumberFormat="1" applyFont="1" applyFill="1" applyBorder="1" applyAlignment="1">
      <alignment horizontal="center" vertical="center"/>
    </xf>
    <xf numFmtId="0" fontId="18" fillId="4" borderId="0" xfId="0" applyFont="1" applyFill="1">
      <alignment vertical="center"/>
    </xf>
    <xf numFmtId="164" fontId="14" fillId="3" borderId="0" xfId="1" applyNumberFormat="1" applyFont="1" applyFill="1" applyBorder="1" applyAlignment="1">
      <alignment horizontal="center" vertical="center"/>
    </xf>
    <xf numFmtId="164" fontId="7" fillId="4" borderId="0" xfId="1" applyNumberFormat="1" applyFont="1" applyFill="1" applyBorder="1" applyAlignment="1">
      <alignment horizontal="center" vertical="center"/>
    </xf>
    <xf numFmtId="0" fontId="14" fillId="2" borderId="0" xfId="5" applyFont="1" applyFill="1" applyAlignment="1">
      <alignment vertical="center"/>
    </xf>
    <xf numFmtId="0" fontId="31" fillId="3" borderId="0" xfId="5" applyFont="1" applyFill="1" applyAlignment="1">
      <alignment vertical="center"/>
    </xf>
    <xf numFmtId="0" fontId="31" fillId="4" borderId="4" xfId="0" applyFont="1" applyFill="1" applyBorder="1">
      <alignment vertical="center"/>
    </xf>
    <xf numFmtId="0" fontId="14" fillId="4" borderId="5" xfId="0" applyFont="1" applyFill="1" applyBorder="1">
      <alignment vertical="center"/>
    </xf>
    <xf numFmtId="0" fontId="14" fillId="4" borderId="6" xfId="0" applyFont="1" applyFill="1" applyBorder="1">
      <alignment vertical="center"/>
    </xf>
    <xf numFmtId="0" fontId="31" fillId="3" borderId="7" xfId="0" applyFont="1" applyFill="1" applyBorder="1">
      <alignment vertical="center"/>
    </xf>
    <xf numFmtId="0" fontId="31" fillId="3" borderId="7" xfId="0" applyFont="1" applyFill="1" applyBorder="1" applyAlignment="1"/>
    <xf numFmtId="167" fontId="32" fillId="3" borderId="0" xfId="3" applyNumberFormat="1" applyFont="1" applyFill="1" applyBorder="1" applyAlignment="1">
      <alignment vertical="center"/>
    </xf>
    <xf numFmtId="0" fontId="31" fillId="3" borderId="9" xfId="0" applyFont="1" applyFill="1" applyBorder="1" applyAlignment="1"/>
    <xf numFmtId="0" fontId="14" fillId="3" borderId="10" xfId="0" applyFont="1" applyFill="1" applyBorder="1">
      <alignment vertical="center"/>
    </xf>
    <xf numFmtId="167" fontId="32" fillId="3" borderId="10" xfId="3" applyNumberFormat="1" applyFont="1" applyFill="1" applyBorder="1" applyAlignment="1">
      <alignment vertical="center"/>
    </xf>
    <xf numFmtId="4" fontId="37" fillId="4" borderId="3" xfId="0" applyNumberFormat="1" applyFont="1" applyFill="1" applyBorder="1" applyAlignment="1"/>
    <xf numFmtId="164" fontId="8" fillId="3" borderId="0" xfId="3" applyNumberFormat="1" applyFont="1" applyFill="1" applyBorder="1" applyAlignment="1">
      <alignment vertical="center"/>
    </xf>
    <xf numFmtId="0" fontId="31" fillId="4" borderId="0" xfId="1" applyNumberFormat="1" applyFont="1" applyFill="1" applyBorder="1" applyAlignment="1">
      <alignment horizontal="center" vertical="center"/>
    </xf>
    <xf numFmtId="164" fontId="14" fillId="4" borderId="0" xfId="1" applyNumberFormat="1" applyFont="1" applyFill="1" applyBorder="1" applyAlignment="1">
      <alignment horizontal="center" vertical="center"/>
    </xf>
    <xf numFmtId="2" fontId="14" fillId="2" borderId="0" xfId="5" applyNumberFormat="1" applyFont="1" applyFill="1" applyAlignment="1">
      <alignment vertical="center"/>
    </xf>
    <xf numFmtId="2" fontId="14" fillId="3" borderId="0" xfId="5" applyNumberFormat="1" applyFont="1" applyFill="1" applyAlignment="1">
      <alignment vertical="center"/>
    </xf>
    <xf numFmtId="4" fontId="14" fillId="3" borderId="0" xfId="5" applyNumberFormat="1" applyFont="1" applyFill="1" applyAlignment="1">
      <alignment vertical="center"/>
    </xf>
    <xf numFmtId="10" fontId="14" fillId="3" borderId="0" xfId="5" applyNumberFormat="1" applyFont="1" applyFill="1" applyAlignment="1">
      <alignment vertical="center"/>
    </xf>
    <xf numFmtId="0" fontId="14" fillId="3" borderId="0" xfId="0" applyFont="1" applyFill="1" applyAlignment="1">
      <alignment horizontal="left" wrapText="1"/>
    </xf>
    <xf numFmtId="9" fontId="14" fillId="3" borderId="0" xfId="3" applyFont="1" applyFill="1" applyBorder="1" applyAlignment="1">
      <alignment horizontal="center" vertical="center"/>
    </xf>
    <xf numFmtId="164" fontId="14" fillId="2" borderId="0" xfId="0" applyNumberFormat="1" applyFont="1" applyFill="1">
      <alignment vertical="center"/>
    </xf>
    <xf numFmtId="2" fontId="14" fillId="3" borderId="0" xfId="5" applyNumberFormat="1" applyFont="1" applyFill="1" applyAlignment="1">
      <alignment horizontal="center" vertical="center"/>
    </xf>
    <xf numFmtId="9" fontId="14" fillId="3" borderId="0" xfId="3" applyFont="1" applyFill="1" applyAlignment="1">
      <alignment vertical="center"/>
    </xf>
    <xf numFmtId="0" fontId="14" fillId="2" borderId="0" xfId="5" applyFont="1" applyFill="1" applyAlignment="1">
      <alignment horizontal="center" vertical="center"/>
    </xf>
    <xf numFmtId="10" fontId="14" fillId="3" borderId="0" xfId="5" applyNumberFormat="1" applyFont="1" applyFill="1" applyAlignment="1">
      <alignment horizontal="center" vertical="center"/>
    </xf>
    <xf numFmtId="0" fontId="38" fillId="2" borderId="0" xfId="5" applyFont="1" applyFill="1" applyAlignment="1">
      <alignment horizontal="center" vertical="center"/>
    </xf>
    <xf numFmtId="0" fontId="38" fillId="3" borderId="0" xfId="5" applyFont="1" applyFill="1" applyAlignment="1">
      <alignment horizontal="center" vertical="center"/>
    </xf>
    <xf numFmtId="4" fontId="14" fillId="2" borderId="0" xfId="5" applyNumberFormat="1" applyFont="1" applyFill="1" applyAlignment="1">
      <alignment vertical="center"/>
    </xf>
    <xf numFmtId="10" fontId="14" fillId="2" borderId="0" xfId="5" applyNumberFormat="1" applyFont="1" applyFill="1" applyAlignment="1">
      <alignment vertical="center"/>
    </xf>
    <xf numFmtId="10" fontId="14" fillId="2" borderId="0" xfId="5" applyNumberFormat="1" applyFont="1" applyFill="1" applyAlignment="1">
      <alignment horizontal="center" vertical="center"/>
    </xf>
    <xf numFmtId="0" fontId="38" fillId="4" borderId="0" xfId="5" applyFont="1" applyFill="1" applyAlignment="1">
      <alignment horizontal="center" vertical="center"/>
    </xf>
    <xf numFmtId="10" fontId="41" fillId="3" borderId="0" xfId="5" applyNumberFormat="1" applyFont="1" applyFill="1" applyAlignment="1">
      <alignment horizontal="right" vertical="center"/>
    </xf>
    <xf numFmtId="2" fontId="31" fillId="3" borderId="0" xfId="5" applyNumberFormat="1" applyFont="1" applyFill="1" applyAlignment="1">
      <alignment vertical="center"/>
    </xf>
    <xf numFmtId="2" fontId="14" fillId="3" borderId="15" xfId="5" applyNumberFormat="1" applyFont="1" applyFill="1" applyBorder="1" applyAlignment="1">
      <alignment vertical="center"/>
    </xf>
    <xf numFmtId="0" fontId="14" fillId="3" borderId="2" xfId="0" applyFont="1" applyFill="1" applyBorder="1" applyAlignment="1">
      <alignment horizontal="center" vertical="center"/>
    </xf>
    <xf numFmtId="0" fontId="14" fillId="3" borderId="15" xfId="5" applyFont="1" applyFill="1" applyBorder="1" applyAlignment="1">
      <alignment horizontal="center" vertical="center"/>
    </xf>
    <xf numFmtId="0" fontId="14" fillId="3" borderId="0" xfId="5" applyFont="1" applyFill="1" applyAlignment="1">
      <alignment horizontal="center" vertical="center"/>
    </xf>
    <xf numFmtId="164" fontId="8" fillId="3" borderId="3" xfId="1" applyNumberFormat="1" applyFont="1" applyFill="1" applyBorder="1" applyAlignment="1">
      <alignment horizontal="left" vertical="center" indent="1"/>
    </xf>
    <xf numFmtId="164" fontId="8" fillId="3" borderId="12" xfId="1" applyNumberFormat="1" applyFont="1" applyFill="1" applyBorder="1" applyAlignment="1">
      <alignment vertical="center"/>
    </xf>
    <xf numFmtId="164" fontId="8" fillId="3" borderId="13" xfId="1" applyNumberFormat="1" applyFont="1" applyFill="1" applyBorder="1" applyAlignment="1">
      <alignment vertical="center"/>
    </xf>
    <xf numFmtId="164" fontId="8" fillId="3" borderId="14" xfId="1" applyNumberFormat="1" applyFont="1" applyFill="1" applyBorder="1" applyAlignment="1">
      <alignment vertical="center"/>
    </xf>
    <xf numFmtId="164" fontId="12" fillId="3" borderId="3" xfId="1" applyNumberFormat="1" applyFont="1" applyFill="1" applyBorder="1" applyAlignment="1">
      <alignment horizontal="left" vertical="center" indent="1"/>
    </xf>
    <xf numFmtId="0" fontId="14" fillId="3" borderId="1" xfId="0" applyFont="1" applyFill="1" applyBorder="1" applyAlignment="1">
      <alignment horizontal="center" vertical="center"/>
    </xf>
    <xf numFmtId="0" fontId="14" fillId="3" borderId="0" xfId="1" applyNumberFormat="1" applyFont="1" applyFill="1" applyBorder="1" applyAlignment="1">
      <alignment horizontal="center" vertical="center"/>
    </xf>
    <xf numFmtId="0" fontId="8" fillId="3" borderId="0" xfId="0" applyFont="1" applyFill="1" applyAlignment="1">
      <alignment horizontal="center" vertical="center"/>
    </xf>
    <xf numFmtId="0" fontId="7" fillId="3" borderId="0" xfId="0" applyFont="1" applyFill="1" applyAlignment="1"/>
    <xf numFmtId="9" fontId="8" fillId="3" borderId="0" xfId="3" applyFont="1" applyFill="1" applyBorder="1" applyAlignment="1"/>
    <xf numFmtId="9" fontId="7" fillId="3" borderId="0" xfId="3" applyFont="1" applyFill="1" applyBorder="1" applyAlignment="1"/>
    <xf numFmtId="9" fontId="22" fillId="3" borderId="0" xfId="3" applyFont="1" applyFill="1" applyBorder="1" applyAlignment="1">
      <alignment vertical="center"/>
    </xf>
    <xf numFmtId="0" fontId="7" fillId="3" borderId="0" xfId="0" applyFont="1" applyFill="1" applyAlignment="1">
      <alignment horizontal="left" vertical="top"/>
    </xf>
    <xf numFmtId="9" fontId="7" fillId="3" borderId="0" xfId="3" applyFont="1" applyFill="1" applyBorder="1" applyAlignment="1">
      <alignment horizontal="left" vertical="top"/>
    </xf>
    <xf numFmtId="0" fontId="8" fillId="3" borderId="0" xfId="0" applyFont="1" applyFill="1" applyAlignment="1">
      <alignment horizontal="left" vertical="top"/>
    </xf>
    <xf numFmtId="9" fontId="8" fillId="3" borderId="0" xfId="3" applyFont="1" applyFill="1" applyBorder="1" applyAlignment="1">
      <alignment horizontal="left" vertical="top"/>
    </xf>
    <xf numFmtId="2" fontId="14" fillId="8" borderId="0" xfId="5" applyNumberFormat="1" applyFont="1" applyFill="1" applyAlignment="1">
      <alignment horizontal="right" vertical="center"/>
    </xf>
    <xf numFmtId="2" fontId="31" fillId="11" borderId="0" xfId="5" applyNumberFormat="1" applyFont="1" applyFill="1" applyAlignment="1">
      <alignment vertical="center"/>
    </xf>
    <xf numFmtId="2" fontId="31" fillId="9" borderId="0" xfId="5" applyNumberFormat="1" applyFont="1" applyFill="1" applyAlignment="1">
      <alignment vertical="center"/>
    </xf>
    <xf numFmtId="0" fontId="7" fillId="2" borderId="0" xfId="0" applyFont="1" applyFill="1" applyAlignment="1"/>
    <xf numFmtId="164" fontId="22" fillId="2" borderId="0" xfId="4" applyNumberFormat="1" applyFont="1" applyFill="1" applyBorder="1" applyAlignment="1">
      <alignment vertical="center"/>
    </xf>
    <xf numFmtId="0" fontId="8" fillId="2" borderId="0" xfId="0" applyFont="1" applyFill="1" applyAlignment="1">
      <alignment horizontal="left" vertical="top"/>
    </xf>
    <xf numFmtId="164" fontId="42" fillId="3" borderId="0" xfId="4" applyNumberFormat="1" applyFont="1" applyFill="1" applyBorder="1" applyAlignment="1">
      <alignment vertical="center"/>
    </xf>
    <xf numFmtId="10" fontId="14" fillId="2" borderId="0" xfId="0" applyNumberFormat="1" applyFont="1" applyFill="1">
      <alignment vertical="center"/>
    </xf>
    <xf numFmtId="0" fontId="14" fillId="3" borderId="8" xfId="0" applyFont="1" applyFill="1" applyBorder="1">
      <alignment vertical="center"/>
    </xf>
    <xf numFmtId="0" fontId="31" fillId="3" borderId="0" xfId="0" applyFont="1" applyFill="1" applyAlignment="1">
      <alignment horizontal="center" vertical="center"/>
    </xf>
    <xf numFmtId="164" fontId="8" fillId="3" borderId="0" xfId="3" applyNumberFormat="1" applyFont="1" applyFill="1" applyBorder="1" applyAlignment="1">
      <alignment horizontal="left" vertical="center"/>
    </xf>
    <xf numFmtId="43" fontId="14" fillId="2" borderId="0" xfId="0" applyNumberFormat="1" applyFont="1" applyFill="1">
      <alignment vertical="center"/>
    </xf>
    <xf numFmtId="0" fontId="14" fillId="3" borderId="0" xfId="5" applyFont="1" applyFill="1" applyAlignment="1">
      <alignment vertical="center"/>
    </xf>
    <xf numFmtId="0" fontId="48" fillId="2" borderId="0" xfId="7" applyFont="1" applyFill="1" applyAlignment="1">
      <alignment horizontal="left" vertical="top"/>
    </xf>
    <xf numFmtId="0" fontId="49" fillId="2" borderId="0" xfId="7" applyFont="1" applyFill="1"/>
    <xf numFmtId="9" fontId="31" fillId="3" borderId="0" xfId="3" applyFont="1" applyFill="1" applyBorder="1" applyAlignment="1"/>
    <xf numFmtId="170" fontId="14" fillId="3" borderId="0" xfId="1" applyNumberFormat="1" applyFont="1" applyFill="1" applyBorder="1" applyAlignment="1">
      <alignment vertical="center"/>
    </xf>
    <xf numFmtId="164" fontId="50" fillId="3" borderId="0" xfId="4" applyNumberFormat="1" applyFont="1" applyFill="1" applyBorder="1" applyAlignment="1">
      <alignment vertical="center"/>
    </xf>
    <xf numFmtId="164" fontId="14" fillId="3" borderId="0" xfId="1" applyNumberFormat="1" applyFont="1" applyFill="1" applyBorder="1" applyAlignment="1">
      <alignment vertical="center"/>
    </xf>
    <xf numFmtId="9" fontId="14" fillId="3" borderId="0" xfId="3" applyFont="1" applyFill="1" applyBorder="1" applyAlignment="1"/>
    <xf numFmtId="0" fontId="31" fillId="3" borderId="0" xfId="0" applyFont="1" applyFill="1" applyAlignment="1">
      <alignment horizontal="left" vertical="top"/>
    </xf>
    <xf numFmtId="0" fontId="14" fillId="3" borderId="0" xfId="0" applyFont="1" applyFill="1" applyAlignment="1">
      <alignment horizontal="left" vertical="top"/>
    </xf>
    <xf numFmtId="9" fontId="14" fillId="3" borderId="0" xfId="3" applyFont="1" applyFill="1" applyBorder="1" applyAlignment="1">
      <alignment horizontal="left" vertical="top"/>
    </xf>
    <xf numFmtId="0" fontId="14" fillId="2" borderId="0" xfId="8" applyFont="1" applyFill="1" applyAlignment="1"/>
    <xf numFmtId="0" fontId="49" fillId="2" borderId="0" xfId="0" applyFont="1" applyFill="1" applyAlignment="1"/>
    <xf numFmtId="0" fontId="3" fillId="0" borderId="0" xfId="9" applyAlignment="1">
      <alignment vertical="center"/>
    </xf>
    <xf numFmtId="0" fontId="31" fillId="12" borderId="0" xfId="9" applyFont="1" applyFill="1" applyAlignment="1">
      <alignment vertical="center"/>
    </xf>
    <xf numFmtId="0" fontId="14" fillId="0" borderId="0" xfId="9" applyFont="1" applyAlignment="1">
      <alignment vertical="center"/>
    </xf>
    <xf numFmtId="0" fontId="53" fillId="13" borderId="0" xfId="9" applyFont="1" applyFill="1" applyAlignment="1">
      <alignment horizontal="left" vertical="center"/>
    </xf>
    <xf numFmtId="3" fontId="53" fillId="13" borderId="0" xfId="9" applyNumberFormat="1" applyFont="1" applyFill="1" applyAlignment="1">
      <alignment vertical="center"/>
    </xf>
    <xf numFmtId="0" fontId="14" fillId="13" borderId="0" xfId="9" applyFont="1" applyFill="1" applyAlignment="1">
      <alignment horizontal="left" vertical="center"/>
    </xf>
    <xf numFmtId="0" fontId="14" fillId="13" borderId="17" xfId="9" applyFont="1" applyFill="1" applyBorder="1" applyAlignment="1">
      <alignment horizontal="left" vertical="center"/>
    </xf>
    <xf numFmtId="0" fontId="14" fillId="12" borderId="0" xfId="9" applyFont="1" applyFill="1" applyAlignment="1">
      <alignment vertical="center"/>
    </xf>
    <xf numFmtId="0" fontId="14" fillId="13" borderId="0" xfId="9" applyFont="1" applyFill="1" applyAlignment="1">
      <alignment vertical="center"/>
    </xf>
    <xf numFmtId="0" fontId="14" fillId="14" borderId="0" xfId="9" applyFont="1" applyFill="1" applyAlignment="1">
      <alignment vertical="center"/>
    </xf>
    <xf numFmtId="0" fontId="31" fillId="14" borderId="0" xfId="9" applyFont="1" applyFill="1" applyAlignment="1">
      <alignment vertical="center"/>
    </xf>
    <xf numFmtId="0" fontId="54" fillId="15" borderId="0" xfId="9" applyFont="1" applyFill="1" applyAlignment="1">
      <alignment vertical="center"/>
    </xf>
    <xf numFmtId="3" fontId="55" fillId="13" borderId="0" xfId="9" applyNumberFormat="1" applyFont="1" applyFill="1" applyAlignment="1">
      <alignment vertical="center"/>
    </xf>
    <xf numFmtId="0" fontId="31" fillId="15" borderId="0" xfId="9" applyFont="1" applyFill="1" applyAlignment="1">
      <alignment vertical="center"/>
    </xf>
    <xf numFmtId="0" fontId="3" fillId="12" borderId="0" xfId="9" applyFill="1" applyAlignment="1">
      <alignment vertical="center"/>
    </xf>
    <xf numFmtId="0" fontId="56" fillId="13" borderId="0" xfId="9" applyFont="1" applyFill="1" applyAlignment="1">
      <alignment vertical="center"/>
    </xf>
    <xf numFmtId="9" fontId="0" fillId="0" borderId="0" xfId="0" applyNumberFormat="1">
      <alignment vertical="center"/>
    </xf>
    <xf numFmtId="9" fontId="30" fillId="4" borderId="0" xfId="3" applyFont="1" applyFill="1" applyBorder="1" applyAlignment="1">
      <alignment vertical="center"/>
    </xf>
    <xf numFmtId="164" fontId="20" fillId="3" borderId="0" xfId="1" applyNumberFormat="1" applyFont="1" applyFill="1" applyBorder="1" applyAlignment="1">
      <alignment vertical="center"/>
    </xf>
    <xf numFmtId="0" fontId="8" fillId="3" borderId="1" xfId="1" applyNumberFormat="1" applyFont="1" applyFill="1" applyBorder="1" applyAlignment="1">
      <alignment vertical="center" wrapText="1"/>
    </xf>
    <xf numFmtId="164" fontId="30" fillId="4" borderId="0" xfId="1" applyNumberFormat="1" applyFont="1" applyFill="1" applyBorder="1" applyAlignment="1">
      <alignment vertical="center"/>
    </xf>
    <xf numFmtId="164" fontId="10" fillId="2" borderId="0" xfId="3" applyNumberFormat="1" applyFont="1" applyFill="1" applyBorder="1" applyAlignment="1">
      <alignment horizontal="center" vertical="center"/>
    </xf>
    <xf numFmtId="0" fontId="31" fillId="2" borderId="0" xfId="0" applyFont="1" applyFill="1" applyAlignment="1"/>
    <xf numFmtId="0" fontId="57" fillId="2" borderId="0" xfId="0" applyFont="1" applyFill="1" applyAlignment="1">
      <alignment horizontal="right" vertical="top" wrapText="1"/>
    </xf>
    <xf numFmtId="168" fontId="58" fillId="2" borderId="0" xfId="0" applyNumberFormat="1" applyFont="1" applyFill="1" applyAlignment="1">
      <alignment horizontal="right" vertical="top" wrapText="1"/>
    </xf>
    <xf numFmtId="0" fontId="57" fillId="2" borderId="0" xfId="0" applyFont="1" applyFill="1" applyAlignment="1">
      <alignment vertical="top" wrapText="1"/>
    </xf>
    <xf numFmtId="0" fontId="49" fillId="2" borderId="0" xfId="5" applyFont="1" applyFill="1" applyAlignment="1">
      <alignment horizontal="center" vertical="top"/>
    </xf>
    <xf numFmtId="164" fontId="14" fillId="0" borderId="0" xfId="9" applyNumberFormat="1" applyFont="1" applyAlignment="1">
      <alignment vertical="center"/>
    </xf>
    <xf numFmtId="164" fontId="53" fillId="13" borderId="0" xfId="9" applyNumberFormat="1" applyFont="1" applyFill="1" applyAlignment="1">
      <alignment vertical="center"/>
    </xf>
    <xf numFmtId="3" fontId="14" fillId="0" borderId="0" xfId="9" applyNumberFormat="1" applyFont="1" applyAlignment="1">
      <alignment vertical="center"/>
    </xf>
    <xf numFmtId="0" fontId="3" fillId="16" borderId="0" xfId="9" applyFill="1" applyAlignment="1">
      <alignment vertical="center"/>
    </xf>
    <xf numFmtId="0" fontId="3" fillId="2" borderId="0" xfId="9" applyFill="1" applyAlignment="1">
      <alignment vertical="center"/>
    </xf>
    <xf numFmtId="164" fontId="3" fillId="2" borderId="0" xfId="9" applyNumberFormat="1" applyFill="1" applyAlignment="1">
      <alignment vertical="center"/>
    </xf>
    <xf numFmtId="0" fontId="3" fillId="17" borderId="0" xfId="9" applyFill="1" applyAlignment="1">
      <alignment vertical="center"/>
    </xf>
    <xf numFmtId="3" fontId="3" fillId="2" borderId="0" xfId="9" applyNumberFormat="1" applyFill="1" applyAlignment="1">
      <alignment vertical="center"/>
    </xf>
    <xf numFmtId="0" fontId="56" fillId="18" borderId="0" xfId="9" applyFont="1" applyFill="1" applyAlignment="1">
      <alignment vertical="center"/>
    </xf>
    <xf numFmtId="0" fontId="43" fillId="17" borderId="0" xfId="9" applyFont="1" applyFill="1" applyAlignment="1">
      <alignment vertical="center"/>
    </xf>
    <xf numFmtId="0" fontId="31" fillId="4" borderId="16" xfId="0" applyFont="1" applyFill="1" applyBorder="1">
      <alignment vertical="center"/>
    </xf>
    <xf numFmtId="10" fontId="31" fillId="4" borderId="16" xfId="0" applyNumberFormat="1" applyFont="1" applyFill="1" applyBorder="1">
      <alignment vertical="center"/>
    </xf>
    <xf numFmtId="10" fontId="14" fillId="3" borderId="10" xfId="0" applyNumberFormat="1" applyFont="1" applyFill="1" applyBorder="1">
      <alignment vertical="center"/>
    </xf>
    <xf numFmtId="9" fontId="14" fillId="3" borderId="10" xfId="0" applyNumberFormat="1" applyFont="1" applyFill="1" applyBorder="1">
      <alignment vertical="center"/>
    </xf>
    <xf numFmtId="0" fontId="14" fillId="3" borderId="11" xfId="0" applyFont="1" applyFill="1" applyBorder="1">
      <alignment vertical="center"/>
    </xf>
    <xf numFmtId="0" fontId="61" fillId="19" borderId="0" xfId="5" applyFont="1" applyFill="1"/>
    <xf numFmtId="0" fontId="60" fillId="19" borderId="0" xfId="5" applyFont="1" applyFill="1"/>
    <xf numFmtId="37" fontId="61" fillId="0" borderId="0" xfId="5" applyNumberFormat="1" applyFont="1"/>
    <xf numFmtId="4" fontId="61" fillId="20" borderId="0" xfId="5" applyNumberFormat="1" applyFont="1" applyFill="1"/>
    <xf numFmtId="0" fontId="8" fillId="2" borderId="0" xfId="1" applyNumberFormat="1" applyFont="1" applyFill="1" applyBorder="1" applyAlignment="1">
      <alignment vertical="center"/>
    </xf>
    <xf numFmtId="0" fontId="8" fillId="2" borderId="0" xfId="1" applyNumberFormat="1" applyFont="1" applyFill="1" applyBorder="1" applyAlignment="1">
      <alignment vertical="center" wrapText="1"/>
    </xf>
    <xf numFmtId="0" fontId="2" fillId="0" borderId="0" xfId="10" applyAlignment="1">
      <alignment vertical="center"/>
    </xf>
    <xf numFmtId="0" fontId="31" fillId="12" borderId="0" xfId="10" applyFont="1" applyFill="1" applyAlignment="1">
      <alignment vertical="center"/>
    </xf>
    <xf numFmtId="0" fontId="14" fillId="0" borderId="0" xfId="10" applyFont="1" applyAlignment="1">
      <alignment vertical="center"/>
    </xf>
    <xf numFmtId="0" fontId="53" fillId="13" borderId="0" xfId="10" applyFont="1" applyFill="1" applyAlignment="1">
      <alignment horizontal="left" vertical="center"/>
    </xf>
    <xf numFmtId="3" fontId="53" fillId="13" borderId="0" xfId="10" applyNumberFormat="1" applyFont="1" applyFill="1" applyAlignment="1">
      <alignment vertical="center"/>
    </xf>
    <xf numFmtId="0" fontId="14" fillId="13" borderId="0" xfId="10" applyFont="1" applyFill="1" applyAlignment="1">
      <alignment horizontal="left" vertical="center"/>
    </xf>
    <xf numFmtId="0" fontId="14" fillId="13" borderId="17" xfId="10" applyFont="1" applyFill="1" applyBorder="1" applyAlignment="1">
      <alignment horizontal="left" vertical="center"/>
    </xf>
    <xf numFmtId="0" fontId="53" fillId="13" borderId="0" xfId="10" applyFont="1" applyFill="1" applyAlignment="1">
      <alignment vertical="center"/>
    </xf>
    <xf numFmtId="0" fontId="14" fillId="12" borderId="0" xfId="10" applyFont="1" applyFill="1" applyAlignment="1">
      <alignment vertical="center"/>
    </xf>
    <xf numFmtId="0" fontId="14" fillId="13" borderId="0" xfId="10" applyFont="1" applyFill="1" applyAlignment="1">
      <alignment vertical="center"/>
    </xf>
    <xf numFmtId="0" fontId="14" fillId="14" borderId="0" xfId="10" applyFont="1" applyFill="1" applyAlignment="1">
      <alignment vertical="center"/>
    </xf>
    <xf numFmtId="3" fontId="14" fillId="0" borderId="0" xfId="10" applyNumberFormat="1" applyFont="1" applyAlignment="1">
      <alignment vertical="center"/>
    </xf>
    <xf numFmtId="0" fontId="14" fillId="0" borderId="0" xfId="10" applyFont="1" applyAlignment="1">
      <alignment horizontal="right" vertical="center"/>
    </xf>
    <xf numFmtId="0" fontId="53" fillId="13" borderId="0" xfId="10" applyFont="1" applyFill="1" applyAlignment="1">
      <alignment horizontal="right" vertical="center"/>
    </xf>
    <xf numFmtId="0" fontId="31" fillId="14" borderId="0" xfId="10" applyFont="1" applyFill="1" applyAlignment="1">
      <alignment vertical="center"/>
    </xf>
    <xf numFmtId="0" fontId="54" fillId="15" borderId="0" xfId="10" applyFont="1" applyFill="1" applyAlignment="1">
      <alignment vertical="center"/>
    </xf>
    <xf numFmtId="3" fontId="55" fillId="13" borderId="0" xfId="10" applyNumberFormat="1" applyFont="1" applyFill="1" applyAlignment="1">
      <alignment vertical="center"/>
    </xf>
    <xf numFmtId="0" fontId="31" fillId="15" borderId="0" xfId="10" applyFont="1" applyFill="1" applyAlignment="1">
      <alignment vertical="center"/>
    </xf>
    <xf numFmtId="0" fontId="43" fillId="15" borderId="0" xfId="10" applyFont="1" applyFill="1" applyAlignment="1">
      <alignment vertical="center"/>
    </xf>
    <xf numFmtId="0" fontId="43" fillId="12" borderId="0" xfId="10" applyFont="1" applyFill="1" applyAlignment="1">
      <alignment vertical="center"/>
    </xf>
    <xf numFmtId="0" fontId="2" fillId="12" borderId="0" xfId="10" applyFill="1" applyAlignment="1">
      <alignment vertical="center"/>
    </xf>
    <xf numFmtId="0" fontId="56" fillId="13" borderId="0" xfId="10" applyFont="1" applyFill="1" applyAlignment="1">
      <alignment vertical="center"/>
    </xf>
    <xf numFmtId="0" fontId="56" fillId="12" borderId="0" xfId="10" applyFont="1" applyFill="1" applyAlignment="1">
      <alignment vertical="center"/>
    </xf>
    <xf numFmtId="0" fontId="2" fillId="13" borderId="0" xfId="10" applyFill="1" applyAlignment="1">
      <alignment vertical="center"/>
    </xf>
    <xf numFmtId="0" fontId="43" fillId="14" borderId="0" xfId="10" applyFont="1" applyFill="1" applyAlignment="1">
      <alignment vertical="center"/>
    </xf>
    <xf numFmtId="0" fontId="43" fillId="13" borderId="0" xfId="10" applyFont="1" applyFill="1" applyAlignment="1">
      <alignment vertical="center"/>
    </xf>
    <xf numFmtId="0" fontId="62" fillId="0" borderId="0" xfId="10" applyFont="1" applyAlignment="1">
      <alignment vertical="center"/>
    </xf>
    <xf numFmtId="164" fontId="63" fillId="0" borderId="0" xfId="10" applyNumberFormat="1" applyFont="1" applyAlignment="1">
      <alignment horizontal="right" vertical="center"/>
    </xf>
    <xf numFmtId="164" fontId="62" fillId="0" borderId="0" xfId="10" applyNumberFormat="1" applyFont="1" applyAlignment="1">
      <alignment horizontal="right" vertical="center"/>
    </xf>
    <xf numFmtId="0" fontId="62" fillId="0" borderId="0" xfId="10" applyFont="1" applyAlignment="1">
      <alignment horizontal="right" vertical="center"/>
    </xf>
    <xf numFmtId="0" fontId="64" fillId="21" borderId="0" xfId="10" applyFont="1" applyFill="1" applyAlignment="1">
      <alignment vertical="center"/>
    </xf>
    <xf numFmtId="0" fontId="1" fillId="0" borderId="0" xfId="9" applyFont="1" applyAlignment="1">
      <alignment vertical="center"/>
    </xf>
    <xf numFmtId="164" fontId="65" fillId="2" borderId="0" xfId="1" applyNumberFormat="1" applyFont="1" applyFill="1" applyBorder="1" applyAlignment="1">
      <alignment vertical="center"/>
    </xf>
    <xf numFmtId="0" fontId="67" fillId="2" borderId="0" xfId="0" applyFont="1" applyFill="1">
      <alignment vertical="center"/>
    </xf>
    <xf numFmtId="0" fontId="68" fillId="2" borderId="0" xfId="0" applyFont="1" applyFill="1">
      <alignment vertical="center"/>
    </xf>
    <xf numFmtId="164" fontId="66" fillId="2" borderId="0" xfId="1" applyNumberFormat="1" applyFont="1" applyFill="1" applyBorder="1" applyAlignment="1">
      <alignment vertical="center"/>
    </xf>
    <xf numFmtId="0" fontId="14" fillId="2" borderId="0" xfId="3" applyNumberFormat="1" applyFont="1" applyFill="1" applyAlignment="1">
      <alignment vertical="top" wrapText="1"/>
    </xf>
    <xf numFmtId="164" fontId="65" fillId="23" borderId="0" xfId="0" applyNumberFormat="1" applyFont="1" applyFill="1">
      <alignment vertical="center"/>
    </xf>
    <xf numFmtId="164" fontId="8" fillId="22" borderId="0" xfId="1" applyNumberFormat="1" applyFont="1" applyFill="1" applyBorder="1" applyAlignment="1">
      <alignment horizontal="left" vertical="center" indent="1"/>
    </xf>
    <xf numFmtId="164" fontId="8" fillId="22" borderId="0" xfId="1" applyNumberFormat="1" applyFont="1" applyFill="1" applyBorder="1" applyAlignment="1">
      <alignment vertical="center"/>
    </xf>
    <xf numFmtId="9" fontId="8" fillId="22" borderId="0" xfId="3" applyFont="1" applyFill="1" applyBorder="1" applyAlignment="1">
      <alignment vertical="center"/>
    </xf>
    <xf numFmtId="9" fontId="8" fillId="22" borderId="0" xfId="3" applyFont="1" applyFill="1" applyBorder="1" applyAlignment="1">
      <alignment horizontal="center" vertical="center"/>
    </xf>
    <xf numFmtId="164" fontId="8" fillId="22" borderId="0" xfId="3" applyNumberFormat="1" applyFont="1" applyFill="1" applyBorder="1" applyAlignment="1">
      <alignment horizontal="left" vertical="center"/>
    </xf>
    <xf numFmtId="164" fontId="8" fillId="22" borderId="0" xfId="1" applyNumberFormat="1" applyFont="1" applyFill="1" applyBorder="1" applyAlignment="1">
      <alignment horizontal="left" vertical="center"/>
    </xf>
    <xf numFmtId="0" fontId="14" fillId="22" borderId="0" xfId="0" applyFont="1" applyFill="1" applyAlignment="1">
      <alignment horizontal="center" vertical="center"/>
    </xf>
    <xf numFmtId="0" fontId="8" fillId="22" borderId="0" xfId="3" applyNumberFormat="1" applyFont="1" applyFill="1" applyBorder="1" applyAlignment="1">
      <alignment horizontal="center" vertical="center"/>
    </xf>
    <xf numFmtId="9" fontId="8" fillId="22" borderId="0" xfId="3" applyFont="1" applyFill="1" applyAlignment="1">
      <alignment horizontal="center" vertical="center"/>
    </xf>
    <xf numFmtId="0" fontId="8" fillId="3" borderId="0" xfId="0" applyFont="1" applyFill="1" applyAlignment="1">
      <alignment horizontal="left" vertical="center" wrapText="1"/>
    </xf>
    <xf numFmtId="164" fontId="8" fillId="22" borderId="0" xfId="3" applyNumberFormat="1" applyFont="1" applyFill="1" applyAlignment="1">
      <alignment horizontal="center" vertical="center"/>
    </xf>
    <xf numFmtId="167" fontId="22" fillId="2" borderId="0" xfId="3" applyNumberFormat="1" applyFont="1" applyFill="1" applyBorder="1" applyAlignment="1">
      <alignment vertical="center"/>
    </xf>
    <xf numFmtId="10" fontId="8" fillId="2" borderId="0" xfId="0" applyNumberFormat="1" applyFont="1" applyFill="1">
      <alignment vertical="center"/>
    </xf>
    <xf numFmtId="9" fontId="8" fillId="2" borderId="0" xfId="0" applyNumberFormat="1" applyFont="1" applyFill="1">
      <alignment vertical="center"/>
    </xf>
    <xf numFmtId="10" fontId="7" fillId="2" borderId="0" xfId="0" applyNumberFormat="1" applyFont="1" applyFill="1">
      <alignment vertical="center"/>
    </xf>
    <xf numFmtId="3" fontId="8" fillId="2" borderId="0" xfId="0" applyNumberFormat="1" applyFont="1" applyFill="1" applyAlignment="1"/>
    <xf numFmtId="10" fontId="8" fillId="2" borderId="0" xfId="3" applyNumberFormat="1" applyFont="1" applyFill="1"/>
    <xf numFmtId="0" fontId="7" fillId="3" borderId="0" xfId="0" applyFont="1" applyFill="1" applyAlignment="1">
      <alignment horizontal="center" vertical="center"/>
    </xf>
    <xf numFmtId="167" fontId="22" fillId="3" borderId="0" xfId="3" applyNumberFormat="1" applyFont="1" applyFill="1" applyBorder="1" applyAlignment="1">
      <alignment vertical="center"/>
    </xf>
    <xf numFmtId="10" fontId="8" fillId="3" borderId="0" xfId="0" applyNumberFormat="1" applyFont="1" applyFill="1">
      <alignment vertical="center"/>
    </xf>
    <xf numFmtId="9" fontId="8" fillId="3" borderId="0" xfId="0" applyNumberFormat="1" applyFont="1" applyFill="1">
      <alignment vertical="center"/>
    </xf>
    <xf numFmtId="0" fontId="7" fillId="3" borderId="16" xfId="0" applyFont="1" applyFill="1" applyBorder="1">
      <alignment vertical="center"/>
    </xf>
    <xf numFmtId="10" fontId="7" fillId="3" borderId="16" xfId="0" applyNumberFormat="1" applyFont="1" applyFill="1" applyBorder="1">
      <alignment vertical="center"/>
    </xf>
    <xf numFmtId="3" fontId="8" fillId="3" borderId="0" xfId="0" applyNumberFormat="1" applyFont="1" applyFill="1" applyAlignment="1"/>
    <xf numFmtId="10" fontId="8" fillId="3" borderId="0" xfId="3" applyNumberFormat="1" applyFont="1" applyFill="1"/>
    <xf numFmtId="0" fontId="15" fillId="4" borderId="0" xfId="0" applyFont="1" applyFill="1" applyAlignment="1">
      <alignment horizontal="center"/>
    </xf>
    <xf numFmtId="3" fontId="8" fillId="3" borderId="16" xfId="0" applyNumberFormat="1" applyFont="1" applyFill="1" applyBorder="1" applyAlignment="1"/>
    <xf numFmtId="0" fontId="15" fillId="3" borderId="0" xfId="0" applyFont="1" applyFill="1" applyAlignment="1">
      <alignment wrapText="1"/>
    </xf>
    <xf numFmtId="0" fontId="15" fillId="3" borderId="16" xfId="0" applyFont="1" applyFill="1" applyBorder="1" applyAlignment="1"/>
    <xf numFmtId="2" fontId="7" fillId="3" borderId="16" xfId="0" applyNumberFormat="1" applyFont="1" applyFill="1" applyBorder="1" applyAlignment="1"/>
    <xf numFmtId="172" fontId="60" fillId="2" borderId="0" xfId="5" applyNumberFormat="1" applyFont="1" applyFill="1" applyAlignment="1">
      <alignment horizontal="center"/>
    </xf>
    <xf numFmtId="172" fontId="60" fillId="2" borderId="0" xfId="5" applyNumberFormat="1" applyFont="1" applyFill="1"/>
    <xf numFmtId="3" fontId="60" fillId="2" borderId="0" xfId="5" applyNumberFormat="1" applyFont="1" applyFill="1"/>
    <xf numFmtId="0" fontId="61" fillId="2" borderId="0" xfId="5" applyFont="1" applyFill="1"/>
    <xf numFmtId="3" fontId="61" fillId="2" borderId="0" xfId="5" quotePrefix="1" applyNumberFormat="1" applyFont="1" applyFill="1"/>
    <xf numFmtId="172" fontId="61" fillId="2" borderId="0" xfId="5" applyNumberFormat="1" applyFont="1" applyFill="1"/>
    <xf numFmtId="3" fontId="61" fillId="2" borderId="0" xfId="5" applyNumberFormat="1" applyFont="1" applyFill="1"/>
    <xf numFmtId="0" fontId="8" fillId="2" borderId="0" xfId="0" applyFont="1" applyFill="1" applyAlignment="1">
      <alignment vertical="center" wrapText="1"/>
    </xf>
    <xf numFmtId="43" fontId="14" fillId="3" borderId="0" xfId="0" applyNumberFormat="1" applyFont="1" applyFill="1">
      <alignment vertical="center"/>
    </xf>
    <xf numFmtId="9" fontId="8" fillId="2" borderId="0" xfId="3" applyFont="1" applyFill="1" applyBorder="1" applyAlignment="1">
      <alignment vertical="center"/>
    </xf>
    <xf numFmtId="172" fontId="12" fillId="24" borderId="0" xfId="0" applyNumberFormat="1" applyFont="1" applyFill="1" applyAlignment="1"/>
    <xf numFmtId="164" fontId="8" fillId="3" borderId="0" xfId="0" applyNumberFormat="1" applyFont="1" applyFill="1">
      <alignment vertical="center"/>
    </xf>
    <xf numFmtId="172" fontId="12" fillId="3" borderId="0" xfId="0" applyNumberFormat="1" applyFont="1" applyFill="1" applyAlignment="1"/>
    <xf numFmtId="43" fontId="8" fillId="3" borderId="0" xfId="0" applyNumberFormat="1" applyFont="1" applyFill="1">
      <alignment vertical="center"/>
    </xf>
    <xf numFmtId="172" fontId="12" fillId="3" borderId="16" xfId="0" applyNumberFormat="1" applyFont="1" applyFill="1" applyBorder="1" applyAlignment="1"/>
    <xf numFmtId="43" fontId="8" fillId="3" borderId="16" xfId="0" applyNumberFormat="1" applyFont="1" applyFill="1" applyBorder="1">
      <alignment vertical="center"/>
    </xf>
    <xf numFmtId="172" fontId="12" fillId="2" borderId="0" xfId="0" applyNumberFormat="1" applyFont="1" applyFill="1" applyAlignment="1"/>
    <xf numFmtId="43" fontId="8" fillId="2" borderId="0" xfId="0" applyNumberFormat="1" applyFont="1" applyFill="1">
      <alignment vertical="center"/>
    </xf>
    <xf numFmtId="172" fontId="15" fillId="3" borderId="0" xfId="0" applyNumberFormat="1" applyFont="1" applyFill="1" applyAlignment="1"/>
    <xf numFmtId="172" fontId="15" fillId="4" borderId="0" xfId="5" applyNumberFormat="1" applyFont="1" applyFill="1"/>
    <xf numFmtId="172" fontId="15" fillId="4" borderId="0" xfId="5" applyNumberFormat="1" applyFont="1" applyFill="1" applyAlignment="1">
      <alignment horizontal="center"/>
    </xf>
    <xf numFmtId="0" fontId="12" fillId="3" borderId="0" xfId="5" applyFont="1" applyFill="1"/>
    <xf numFmtId="164" fontId="12" fillId="3" borderId="0" xfId="1" applyNumberFormat="1" applyFont="1" applyFill="1"/>
    <xf numFmtId="0" fontId="12" fillId="3" borderId="16" xfId="5" applyFont="1" applyFill="1" applyBorder="1"/>
    <xf numFmtId="164" fontId="12" fillId="3" borderId="16" xfId="1" applyNumberFormat="1" applyFont="1" applyFill="1" applyBorder="1"/>
    <xf numFmtId="0" fontId="12" fillId="2" borderId="0" xfId="5" applyFont="1" applyFill="1"/>
    <xf numFmtId="0" fontId="15" fillId="3" borderId="0" xfId="5" applyFont="1" applyFill="1"/>
    <xf numFmtId="43" fontId="12" fillId="3" borderId="0" xfId="1" applyFont="1" applyFill="1"/>
    <xf numFmtId="0" fontId="15" fillId="3" borderId="16" xfId="5" applyFont="1" applyFill="1" applyBorder="1"/>
    <xf numFmtId="43" fontId="15" fillId="3" borderId="16" xfId="1" applyFont="1" applyFill="1" applyBorder="1"/>
    <xf numFmtId="0" fontId="51" fillId="3" borderId="0" xfId="0" applyFont="1" applyFill="1" applyAlignment="1">
      <alignment horizontal="left" vertical="top" wrapText="1"/>
    </xf>
    <xf numFmtId="0" fontId="51" fillId="3" borderId="0" xfId="0" applyFont="1" applyFill="1" applyAlignment="1">
      <alignment horizontal="right" vertical="top" wrapText="1"/>
    </xf>
    <xf numFmtId="0" fontId="48" fillId="3" borderId="0" xfId="0" applyFont="1" applyFill="1" applyAlignment="1">
      <alignment horizontal="left" vertical="top" wrapText="1"/>
    </xf>
    <xf numFmtId="0" fontId="51" fillId="3" borderId="0" xfId="0" applyFont="1" applyFill="1" applyAlignment="1">
      <alignment vertical="top" wrapText="1"/>
    </xf>
    <xf numFmtId="171" fontId="51" fillId="3" borderId="0" xfId="0" applyNumberFormat="1" applyFont="1" applyFill="1" applyAlignment="1">
      <alignment vertical="top" wrapText="1"/>
    </xf>
    <xf numFmtId="171" fontId="51" fillId="3" borderId="0" xfId="0" applyNumberFormat="1" applyFont="1" applyFill="1" applyAlignment="1">
      <alignment horizontal="right" vertical="top" wrapText="1"/>
    </xf>
    <xf numFmtId="0" fontId="59" fillId="2" borderId="0" xfId="7" applyFont="1" applyFill="1" applyAlignment="1">
      <alignment vertical="center"/>
    </xf>
    <xf numFmtId="0" fontId="59" fillId="2" borderId="0" xfId="5" applyFont="1" applyFill="1"/>
    <xf numFmtId="0" fontId="14" fillId="3" borderId="1" xfId="0" applyFont="1" applyFill="1" applyBorder="1">
      <alignment vertical="center"/>
    </xf>
    <xf numFmtId="0" fontId="49" fillId="3" borderId="0" xfId="7" applyFont="1" applyFill="1"/>
    <xf numFmtId="0" fontId="31" fillId="3" borderId="0" xfId="0" applyFont="1" applyFill="1" applyAlignment="1">
      <alignment horizontal="center" vertical="top"/>
    </xf>
    <xf numFmtId="0" fontId="52" fillId="3" borderId="0" xfId="5" applyFont="1" applyFill="1" applyAlignment="1">
      <alignment horizontal="center" vertical="top"/>
    </xf>
    <xf numFmtId="2" fontId="49" fillId="3" borderId="0" xfId="7" applyNumberFormat="1" applyFont="1" applyFill="1"/>
    <xf numFmtId="0" fontId="51" fillId="3" borderId="0" xfId="5" applyFont="1" applyFill="1" applyAlignment="1">
      <alignment horizontal="left" vertical="top" wrapText="1"/>
    </xf>
    <xf numFmtId="2" fontId="49" fillId="3" borderId="3" xfId="7" applyNumberFormat="1" applyFont="1" applyFill="1" applyBorder="1"/>
    <xf numFmtId="0" fontId="52" fillId="3" borderId="0" xfId="5" applyFont="1" applyFill="1"/>
    <xf numFmtId="2" fontId="49" fillId="3" borderId="0" xfId="5" applyNumberFormat="1" applyFont="1" applyFill="1" applyAlignment="1">
      <alignment horizontal="right" vertical="top"/>
    </xf>
    <xf numFmtId="0" fontId="49" fillId="3" borderId="0" xfId="5" applyFont="1" applyFill="1" applyAlignment="1">
      <alignment horizontal="right" vertical="top"/>
    </xf>
    <xf numFmtId="169" fontId="48" fillId="3" borderId="0" xfId="5" applyNumberFormat="1" applyFont="1" applyFill="1" applyAlignment="1">
      <alignment horizontal="right" vertical="top" wrapText="1"/>
    </xf>
    <xf numFmtId="43" fontId="49" fillId="3" borderId="0" xfId="5" applyNumberFormat="1" applyFont="1" applyFill="1" applyAlignment="1">
      <alignment horizontal="right" vertical="top"/>
    </xf>
    <xf numFmtId="9" fontId="49" fillId="3" borderId="0" xfId="3" applyFont="1" applyFill="1" applyAlignment="1">
      <alignment horizontal="right" vertical="top"/>
    </xf>
    <xf numFmtId="0" fontId="52" fillId="3" borderId="1" xfId="5" applyFont="1" applyFill="1" applyBorder="1"/>
    <xf numFmtId="0" fontId="52" fillId="4" borderId="16" xfId="5" applyFont="1" applyFill="1" applyBorder="1"/>
    <xf numFmtId="2" fontId="52" fillId="4" borderId="16" xfId="5" applyNumberFormat="1" applyFont="1" applyFill="1" applyBorder="1" applyAlignment="1">
      <alignment horizontal="center" vertical="top"/>
    </xf>
    <xf numFmtId="43" fontId="48" fillId="3" borderId="0" xfId="1" applyFont="1" applyFill="1" applyAlignment="1">
      <alignment horizontal="right" vertical="center" wrapText="1"/>
    </xf>
    <xf numFmtId="43" fontId="49" fillId="3" borderId="0" xfId="1" applyFont="1" applyFill="1" applyAlignment="1">
      <alignment horizontal="right" vertical="center"/>
    </xf>
    <xf numFmtId="9" fontId="14" fillId="2" borderId="0" xfId="3" applyFont="1" applyFill="1" applyBorder="1" applyAlignment="1"/>
    <xf numFmtId="164" fontId="14" fillId="2" borderId="0" xfId="1" applyNumberFormat="1" applyFont="1" applyFill="1" applyBorder="1" applyAlignment="1">
      <alignment vertical="center"/>
    </xf>
    <xf numFmtId="0" fontId="14" fillId="2" borderId="0" xfId="0" applyFont="1" applyFill="1" applyAlignment="1">
      <alignment horizontal="left" vertical="top"/>
    </xf>
    <xf numFmtId="9" fontId="14" fillId="2" borderId="0" xfId="3" applyFont="1" applyFill="1" applyBorder="1" applyAlignment="1">
      <alignment horizontal="left" vertical="top"/>
    </xf>
    <xf numFmtId="164" fontId="50" fillId="2" borderId="0" xfId="4" applyNumberFormat="1" applyFont="1" applyFill="1" applyBorder="1" applyAlignment="1">
      <alignment vertical="center"/>
    </xf>
    <xf numFmtId="9" fontId="32" fillId="2" borderId="0" xfId="3" applyFont="1" applyFill="1" applyBorder="1" applyAlignment="1">
      <alignment vertical="center"/>
    </xf>
    <xf numFmtId="164" fontId="32" fillId="2" borderId="0" xfId="4" applyNumberFormat="1" applyFont="1" applyFill="1" applyBorder="1" applyAlignment="1">
      <alignment vertical="center"/>
    </xf>
    <xf numFmtId="43" fontId="48" fillId="3" borderId="0" xfId="1" applyFont="1" applyFill="1" applyAlignment="1">
      <alignment horizontal="right" vertical="top" wrapText="1"/>
    </xf>
    <xf numFmtId="43" fontId="51" fillId="3" borderId="0" xfId="1" applyFont="1" applyFill="1" applyAlignment="1">
      <alignment vertical="top" wrapText="1"/>
    </xf>
    <xf numFmtId="0" fontId="7" fillId="2" borderId="0" xfId="5" applyFont="1" applyFill="1" applyAlignment="1">
      <alignment horizontal="left" vertical="center"/>
    </xf>
    <xf numFmtId="2" fontId="8" fillId="2" borderId="0" xfId="5" applyNumberFormat="1" applyFont="1" applyFill="1" applyAlignment="1">
      <alignment horizontal="left" vertical="center"/>
    </xf>
    <xf numFmtId="0" fontId="8" fillId="2" borderId="0" xfId="5" applyFont="1" applyFill="1" applyAlignment="1">
      <alignment horizontal="left" vertical="center"/>
    </xf>
    <xf numFmtId="0" fontId="8" fillId="2" borderId="0" xfId="6" applyFont="1" applyFill="1" applyAlignment="1">
      <alignment horizontal="left" vertical="center"/>
    </xf>
    <xf numFmtId="0" fontId="8" fillId="3" borderId="0" xfId="6" applyFont="1" applyFill="1" applyAlignment="1">
      <alignment horizontal="left" vertical="center"/>
    </xf>
    <xf numFmtId="0" fontId="8" fillId="2" borderId="0" xfId="0" applyFont="1" applyFill="1" applyAlignment="1">
      <alignment horizontal="left" vertical="center"/>
    </xf>
    <xf numFmtId="10" fontId="7" fillId="3" borderId="16" xfId="3" applyNumberFormat="1" applyFont="1" applyFill="1" applyBorder="1" applyAlignment="1">
      <alignment horizontal="left" vertical="center"/>
    </xf>
    <xf numFmtId="2" fontId="8" fillId="2" borderId="0" xfId="6" applyNumberFormat="1" applyFont="1" applyFill="1" applyAlignment="1">
      <alignment horizontal="left" vertical="center"/>
    </xf>
    <xf numFmtId="0" fontId="8" fillId="0" borderId="0" xfId="0" applyFont="1" applyAlignment="1">
      <alignment horizontal="left" vertical="center"/>
    </xf>
    <xf numFmtId="49" fontId="8" fillId="3" borderId="0" xfId="0" applyNumberFormat="1" applyFont="1" applyFill="1" applyAlignment="1">
      <alignment horizontal="left" vertical="center"/>
    </xf>
    <xf numFmtId="2" fontId="8" fillId="3" borderId="0" xfId="0" applyNumberFormat="1" applyFont="1" applyFill="1" applyAlignment="1">
      <alignment horizontal="left" vertical="center"/>
    </xf>
    <xf numFmtId="0" fontId="7" fillId="4" borderId="0" xfId="6" applyFont="1" applyFill="1" applyAlignment="1">
      <alignment horizontal="left" vertical="center"/>
    </xf>
    <xf numFmtId="0" fontId="7" fillId="4" borderId="16" xfId="6" applyFont="1" applyFill="1" applyBorder="1" applyAlignment="1">
      <alignment horizontal="left" vertical="center"/>
    </xf>
    <xf numFmtId="10" fontId="7" fillId="4" borderId="16" xfId="3" applyNumberFormat="1" applyFont="1" applyFill="1" applyBorder="1" applyAlignment="1">
      <alignment horizontal="center" vertical="center"/>
    </xf>
    <xf numFmtId="43" fontId="8" fillId="3" borderId="0" xfId="1" applyFont="1" applyFill="1" applyAlignment="1">
      <alignment horizontal="left" vertical="center"/>
    </xf>
    <xf numFmtId="43" fontId="8" fillId="3" borderId="0" xfId="0" applyNumberFormat="1" applyFont="1" applyFill="1" applyAlignment="1">
      <alignment horizontal="left" vertical="center"/>
    </xf>
    <xf numFmtId="0" fontId="8" fillId="3" borderId="0" xfId="6" applyFont="1" applyFill="1" applyAlignment="1">
      <alignment horizontal="right" vertical="center"/>
    </xf>
    <xf numFmtId="49" fontId="7" fillId="4" borderId="0" xfId="6" applyNumberFormat="1" applyFont="1" applyFill="1" applyAlignment="1">
      <alignment horizontal="left" vertical="center"/>
    </xf>
    <xf numFmtId="0" fontId="8" fillId="3" borderId="0" xfId="0" applyFont="1" applyFill="1" applyAlignment="1">
      <alignment horizontal="right" vertical="center"/>
    </xf>
    <xf numFmtId="0" fontId="8" fillId="3" borderId="0" xfId="6" applyFont="1" applyFill="1" applyAlignment="1">
      <alignment horizontal="center" vertical="center"/>
    </xf>
    <xf numFmtId="0" fontId="7" fillId="3" borderId="0" xfId="0" applyFont="1" applyFill="1" applyAlignment="1">
      <alignment horizontal="right" vertical="center"/>
    </xf>
    <xf numFmtId="9" fontId="8" fillId="3" borderId="0" xfId="3" applyFont="1" applyFill="1" applyBorder="1" applyAlignment="1">
      <alignment horizontal="right" vertical="center"/>
    </xf>
    <xf numFmtId="9" fontId="7" fillId="3" borderId="0" xfId="3" applyFont="1" applyFill="1" applyBorder="1" applyAlignment="1">
      <alignment horizontal="right" vertical="center"/>
    </xf>
    <xf numFmtId="164" fontId="14" fillId="3" borderId="0" xfId="1" applyNumberFormat="1" applyFont="1" applyFill="1" applyAlignment="1">
      <alignment vertical="center"/>
    </xf>
    <xf numFmtId="164" fontId="14" fillId="2" borderId="0" xfId="1" applyNumberFormat="1" applyFont="1" applyFill="1" applyAlignment="1">
      <alignment vertical="center"/>
    </xf>
    <xf numFmtId="164" fontId="14" fillId="3" borderId="0" xfId="1" applyNumberFormat="1" applyFont="1" applyFill="1" applyAlignment="1">
      <alignment horizontal="center" vertical="center"/>
    </xf>
    <xf numFmtId="167" fontId="14" fillId="3" borderId="0" xfId="3" applyNumberFormat="1" applyFont="1" applyFill="1" applyAlignment="1">
      <alignment vertical="center"/>
    </xf>
    <xf numFmtId="10" fontId="70" fillId="2" borderId="0" xfId="5" applyNumberFormat="1" applyFont="1" applyFill="1"/>
    <xf numFmtId="173" fontId="70" fillId="2" borderId="0" xfId="5" applyNumberFormat="1" applyFont="1" applyFill="1"/>
    <xf numFmtId="173" fontId="45" fillId="2" borderId="0" xfId="0" applyNumberFormat="1" applyFont="1" applyFill="1">
      <alignment vertical="center"/>
    </xf>
    <xf numFmtId="173" fontId="45" fillId="2" borderId="0" xfId="3" applyNumberFormat="1" applyFont="1" applyFill="1" applyBorder="1" applyAlignment="1">
      <alignment vertical="center"/>
    </xf>
    <xf numFmtId="173" fontId="70" fillId="2" borderId="0" xfId="5" applyNumberFormat="1" applyFont="1" applyFill="1" applyAlignment="1">
      <alignment horizontal="center"/>
    </xf>
    <xf numFmtId="10" fontId="70" fillId="2" borderId="0" xfId="3" applyNumberFormat="1" applyFont="1" applyFill="1"/>
    <xf numFmtId="173" fontId="71" fillId="2" borderId="0" xfId="5" applyNumberFormat="1" applyFont="1" applyFill="1"/>
    <xf numFmtId="43" fontId="7" fillId="3" borderId="0" xfId="0" applyNumberFormat="1" applyFont="1" applyFill="1">
      <alignment vertical="center"/>
    </xf>
    <xf numFmtId="0" fontId="51" fillId="3" borderId="1" xfId="0" applyFont="1" applyFill="1" applyBorder="1" applyAlignment="1">
      <alignment horizontal="left" vertical="top" wrapText="1"/>
    </xf>
    <xf numFmtId="2" fontId="49" fillId="3" borderId="1" xfId="7" applyNumberFormat="1" applyFont="1" applyFill="1" applyBorder="1"/>
    <xf numFmtId="43" fontId="49" fillId="3" borderId="1" xfId="7" applyNumberFormat="1" applyFont="1" applyFill="1" applyBorder="1"/>
    <xf numFmtId="43" fontId="48" fillId="3" borderId="1" xfId="1" applyFont="1" applyFill="1" applyBorder="1" applyAlignment="1">
      <alignment horizontal="right" vertical="top" wrapText="1"/>
    </xf>
    <xf numFmtId="43" fontId="48" fillId="3" borderId="1" xfId="1" applyFont="1" applyFill="1" applyBorder="1" applyAlignment="1">
      <alignment vertical="top" wrapText="1"/>
    </xf>
    <xf numFmtId="0" fontId="48" fillId="3" borderId="1" xfId="0" applyFont="1" applyFill="1" applyBorder="1" applyAlignment="1">
      <alignment horizontal="left" vertical="top" wrapText="1"/>
    </xf>
    <xf numFmtId="9" fontId="49" fillId="2" borderId="0" xfId="7" applyNumberFormat="1" applyFont="1" applyFill="1"/>
    <xf numFmtId="2" fontId="52" fillId="3" borderId="1" xfId="5" applyNumberFormat="1" applyFont="1" applyFill="1" applyBorder="1" applyAlignment="1">
      <alignment horizontal="right" vertical="top"/>
    </xf>
    <xf numFmtId="9" fontId="49" fillId="3" borderId="0" xfId="3" applyFont="1" applyFill="1"/>
    <xf numFmtId="9" fontId="49" fillId="3" borderId="0" xfId="7" applyNumberFormat="1" applyFont="1" applyFill="1"/>
    <xf numFmtId="0" fontId="49" fillId="4" borderId="0" xfId="5" applyFont="1" applyFill="1" applyAlignment="1">
      <alignment horizontal="center" vertical="top"/>
    </xf>
    <xf numFmtId="172" fontId="15" fillId="3" borderId="1" xfId="0" applyNumberFormat="1" applyFont="1" applyFill="1" applyBorder="1" applyAlignment="1"/>
    <xf numFmtId="2" fontId="52" fillId="3" borderId="1" xfId="7" applyNumberFormat="1" applyFont="1" applyFill="1" applyBorder="1" applyAlignment="1">
      <alignment horizontal="center" vertical="top"/>
    </xf>
    <xf numFmtId="2" fontId="52" fillId="3" borderId="1" xfId="7" applyNumberFormat="1" applyFont="1" applyFill="1" applyBorder="1" applyAlignment="1">
      <alignment horizontal="center" vertical="center"/>
    </xf>
    <xf numFmtId="2" fontId="7" fillId="3" borderId="1" xfId="0" applyNumberFormat="1" applyFont="1" applyFill="1" applyBorder="1" applyAlignment="1"/>
    <xf numFmtId="172" fontId="15" fillId="3" borderId="18" xfId="0" applyNumberFormat="1" applyFont="1" applyFill="1" applyBorder="1" applyAlignment="1"/>
    <xf numFmtId="2" fontId="7" fillId="3" borderId="18" xfId="0" applyNumberFormat="1" applyFont="1" applyFill="1" applyBorder="1" applyAlignment="1"/>
    <xf numFmtId="2" fontId="14" fillId="3" borderId="0" xfId="0" applyNumberFormat="1" applyFont="1" applyFill="1">
      <alignment vertical="center"/>
    </xf>
    <xf numFmtId="2" fontId="31" fillId="3" borderId="16" xfId="0" applyNumberFormat="1" applyFont="1" applyFill="1" applyBorder="1">
      <alignment vertical="center"/>
    </xf>
    <xf numFmtId="0" fontId="43" fillId="0" borderId="0" xfId="0" applyFont="1">
      <alignment vertical="center"/>
    </xf>
    <xf numFmtId="0" fontId="0" fillId="0" borderId="0" xfId="0" quotePrefix="1">
      <alignment vertical="center"/>
    </xf>
    <xf numFmtId="3" fontId="0" fillId="0" borderId="0" xfId="0" applyNumberFormat="1">
      <alignment vertical="center"/>
    </xf>
    <xf numFmtId="4" fontId="0" fillId="0" borderId="0" xfId="0" applyNumberFormat="1">
      <alignment vertical="center"/>
    </xf>
    <xf numFmtId="0" fontId="72" fillId="0" borderId="0" xfId="11"/>
    <xf numFmtId="0" fontId="72" fillId="0" borderId="0" xfId="11" applyAlignment="1">
      <alignment horizontal="right" vertical="top"/>
    </xf>
    <xf numFmtId="0" fontId="72" fillId="0" borderId="0" xfId="11" applyAlignment="1">
      <alignment horizontal="center"/>
    </xf>
    <xf numFmtId="0" fontId="73" fillId="0" borderId="0" xfId="11" applyFont="1" applyAlignment="1">
      <alignment horizontal="center"/>
    </xf>
    <xf numFmtId="0" fontId="72" fillId="0" borderId="0" xfId="11" applyAlignment="1">
      <alignment horizontal="right"/>
    </xf>
    <xf numFmtId="10" fontId="72" fillId="0" borderId="0" xfId="11" applyNumberFormat="1" applyAlignment="1">
      <alignment horizontal="right"/>
    </xf>
    <xf numFmtId="0" fontId="73" fillId="0" borderId="0" xfId="11" applyFont="1" applyAlignment="1">
      <alignment horizontal="right" vertical="top"/>
    </xf>
    <xf numFmtId="0" fontId="73" fillId="0" borderId="0" xfId="11" applyFont="1"/>
    <xf numFmtId="167" fontId="72" fillId="0" borderId="0" xfId="11" applyNumberFormat="1" applyAlignment="1">
      <alignment horizontal="right"/>
    </xf>
    <xf numFmtId="9" fontId="72" fillId="0" borderId="0" xfId="11" applyNumberFormat="1" applyAlignment="1">
      <alignment horizontal="right"/>
    </xf>
    <xf numFmtId="2" fontId="72" fillId="0" borderId="0" xfId="11" applyNumberFormat="1"/>
    <xf numFmtId="174" fontId="72" fillId="0" borderId="0" xfId="11" applyNumberFormat="1"/>
    <xf numFmtId="4" fontId="72" fillId="0" borderId="0" xfId="11" applyNumberFormat="1"/>
    <xf numFmtId="2" fontId="72" fillId="0" borderId="0" xfId="11" applyNumberFormat="1" applyAlignment="1">
      <alignment horizontal="right"/>
    </xf>
    <xf numFmtId="3" fontId="72" fillId="0" borderId="0" xfId="11" applyNumberFormat="1"/>
    <xf numFmtId="175" fontId="72" fillId="0" borderId="0" xfId="11" applyNumberFormat="1"/>
    <xf numFmtId="175" fontId="72" fillId="0" borderId="0" xfId="11" applyNumberFormat="1" applyAlignment="1">
      <alignment horizontal="right"/>
    </xf>
    <xf numFmtId="10" fontId="72" fillId="0" borderId="0" xfId="11" applyNumberFormat="1"/>
    <xf numFmtId="7" fontId="72" fillId="0" borderId="0" xfId="11" applyNumberFormat="1"/>
    <xf numFmtId="0" fontId="73" fillId="0" borderId="0" xfId="11" applyFont="1" applyAlignment="1">
      <alignment horizontal="right"/>
    </xf>
    <xf numFmtId="0" fontId="52" fillId="3" borderId="0" xfId="0" applyFont="1" applyFill="1" applyAlignment="1"/>
    <xf numFmtId="164" fontId="74" fillId="3" borderId="0" xfId="4" applyNumberFormat="1" applyFont="1" applyFill="1" applyBorder="1" applyAlignment="1">
      <alignment vertical="center"/>
    </xf>
    <xf numFmtId="0" fontId="75" fillId="3" borderId="0" xfId="0" applyFont="1" applyFill="1" applyAlignment="1">
      <alignment horizontal="left" vertical="top"/>
    </xf>
    <xf numFmtId="0" fontId="53" fillId="3" borderId="0" xfId="0" applyFont="1" applyFill="1" applyAlignment="1">
      <alignment horizontal="left" vertical="top"/>
    </xf>
    <xf numFmtId="9" fontId="14" fillId="2" borderId="0" xfId="0" applyNumberFormat="1" applyFont="1" applyFill="1">
      <alignment vertical="center"/>
    </xf>
    <xf numFmtId="10" fontId="14" fillId="2" borderId="0" xfId="3" applyNumberFormat="1" applyFont="1" applyFill="1" applyAlignment="1">
      <alignment vertical="center"/>
    </xf>
    <xf numFmtId="10" fontId="14" fillId="3" borderId="0" xfId="3" applyNumberFormat="1" applyFont="1" applyFill="1" applyAlignment="1">
      <alignment vertical="center"/>
    </xf>
    <xf numFmtId="0" fontId="37" fillId="3" borderId="0" xfId="0" applyFont="1" applyFill="1">
      <alignment vertical="center"/>
    </xf>
    <xf numFmtId="10" fontId="37" fillId="3" borderId="0" xfId="0" applyNumberFormat="1" applyFont="1" applyFill="1">
      <alignment vertical="center"/>
    </xf>
    <xf numFmtId="10" fontId="31" fillId="3" borderId="0" xfId="3" applyNumberFormat="1" applyFont="1" applyFill="1" applyAlignment="1">
      <alignment vertical="center"/>
    </xf>
    <xf numFmtId="0" fontId="76" fillId="3" borderId="0" xfId="0" applyFont="1" applyFill="1" applyAlignment="1">
      <alignment horizontal="center" vertical="top" wrapText="1"/>
    </xf>
    <xf numFmtId="0" fontId="76" fillId="3" borderId="0" xfId="0" applyFont="1" applyFill="1" applyAlignment="1">
      <alignment horizontal="right" vertical="top" wrapText="1"/>
    </xf>
    <xf numFmtId="0" fontId="76" fillId="3" borderId="0" xfId="0" applyFont="1" applyFill="1" applyAlignment="1">
      <alignment horizontal="left" vertical="top" wrapText="1"/>
    </xf>
    <xf numFmtId="176" fontId="49" fillId="3" borderId="0" xfId="0" applyNumberFormat="1" applyFont="1" applyFill="1" applyAlignment="1">
      <alignment horizontal="center" vertical="top" wrapText="1"/>
    </xf>
    <xf numFmtId="177" fontId="49" fillId="3" borderId="0" xfId="0" applyNumberFormat="1" applyFont="1" applyFill="1" applyAlignment="1">
      <alignment horizontal="center" vertical="top" wrapText="1"/>
    </xf>
    <xf numFmtId="168" fontId="49" fillId="3" borderId="0" xfId="0" applyNumberFormat="1" applyFont="1" applyFill="1" applyAlignment="1">
      <alignment horizontal="center" vertical="top" wrapText="1"/>
    </xf>
    <xf numFmtId="0" fontId="49" fillId="3" borderId="0" xfId="0" applyFont="1" applyFill="1" applyAlignment="1">
      <alignment horizontal="center" vertical="top" wrapText="1"/>
    </xf>
    <xf numFmtId="0" fontId="49" fillId="3" borderId="0" xfId="0" applyFont="1" applyFill="1" applyAlignment="1">
      <alignment horizontal="left" vertical="top" wrapText="1"/>
    </xf>
    <xf numFmtId="0" fontId="77" fillId="3" borderId="0" xfId="0" applyFont="1" applyFill="1" applyAlignment="1">
      <alignment horizontal="center" vertical="top" wrapText="1"/>
    </xf>
    <xf numFmtId="0" fontId="37" fillId="3" borderId="0" xfId="0" applyFont="1" applyFill="1" applyAlignment="1">
      <alignment horizontal="center" vertical="top" wrapText="1"/>
    </xf>
    <xf numFmtId="0" fontId="37" fillId="3" borderId="0" xfId="0" applyFont="1" applyFill="1" applyAlignment="1">
      <alignment vertical="top"/>
    </xf>
    <xf numFmtId="0" fontId="49" fillId="3" borderId="0" xfId="0" applyFont="1" applyFill="1">
      <alignment vertical="center"/>
    </xf>
    <xf numFmtId="0" fontId="77" fillId="3" borderId="0" xfId="0" applyFont="1" applyFill="1">
      <alignment vertical="center"/>
    </xf>
    <xf numFmtId="10" fontId="77" fillId="3" borderId="0" xfId="3" applyNumberFormat="1" applyFont="1" applyFill="1" applyAlignment="1">
      <alignment vertical="center"/>
    </xf>
    <xf numFmtId="0" fontId="14" fillId="4" borderId="0" xfId="0" applyFont="1" applyFill="1">
      <alignment vertical="center"/>
    </xf>
    <xf numFmtId="0" fontId="78" fillId="2" borderId="0" xfId="0" applyFont="1" applyFill="1">
      <alignment vertical="center"/>
    </xf>
    <xf numFmtId="0" fontId="74" fillId="3" borderId="0" xfId="4" applyFont="1" applyFill="1" applyAlignment="1">
      <alignment vertical="top"/>
    </xf>
    <xf numFmtId="10" fontId="37" fillId="3" borderId="0" xfId="3" applyNumberFormat="1" applyFont="1" applyFill="1" applyAlignment="1">
      <alignment vertical="center"/>
    </xf>
    <xf numFmtId="10" fontId="14" fillId="3" borderId="0" xfId="3" applyNumberFormat="1" applyFont="1" applyFill="1" applyBorder="1" applyAlignment="1">
      <alignment vertical="center"/>
    </xf>
    <xf numFmtId="0" fontId="14" fillId="3" borderId="0" xfId="3" applyNumberFormat="1" applyFont="1" applyFill="1" applyBorder="1" applyAlignment="1">
      <alignment vertical="center"/>
    </xf>
    <xf numFmtId="10" fontId="37" fillId="3" borderId="0" xfId="3" applyNumberFormat="1" applyFont="1" applyFill="1" applyBorder="1" applyAlignment="1">
      <alignment vertical="center"/>
    </xf>
    <xf numFmtId="0" fontId="79" fillId="3" borderId="0" xfId="0" applyFont="1" applyFill="1" applyAlignment="1">
      <alignment horizontal="left"/>
    </xf>
    <xf numFmtId="43" fontId="14" fillId="3" borderId="0" xfId="1" applyFont="1" applyFill="1" applyAlignment="1">
      <alignment vertical="center"/>
    </xf>
    <xf numFmtId="10" fontId="31" fillId="4" borderId="0" xfId="3" applyNumberFormat="1" applyFont="1" applyFill="1" applyBorder="1" applyAlignment="1">
      <alignment vertical="center"/>
    </xf>
    <xf numFmtId="10" fontId="31" fillId="4" borderId="16" xfId="3" applyNumberFormat="1" applyFont="1" applyFill="1" applyBorder="1" applyAlignment="1">
      <alignment vertical="center"/>
    </xf>
    <xf numFmtId="0" fontId="14" fillId="4" borderId="16" xfId="0" applyFont="1" applyFill="1" applyBorder="1">
      <alignment vertical="center"/>
    </xf>
    <xf numFmtId="0" fontId="80" fillId="3" borderId="0" xfId="0" applyFont="1" applyFill="1" applyAlignment="1">
      <alignment horizontal="left"/>
    </xf>
    <xf numFmtId="0" fontId="79" fillId="3" borderId="0" xfId="0" applyFont="1" applyFill="1" applyAlignment="1">
      <alignment horizontal="center"/>
    </xf>
    <xf numFmtId="1" fontId="79" fillId="3" borderId="0" xfId="1" applyNumberFormat="1" applyFont="1" applyFill="1" applyBorder="1" applyAlignment="1">
      <alignment horizontal="center"/>
    </xf>
    <xf numFmtId="10" fontId="14" fillId="3" borderId="0" xfId="3" applyNumberFormat="1" applyFont="1" applyFill="1" applyBorder="1" applyAlignment="1">
      <alignment horizontal="center" vertical="center"/>
    </xf>
    <xf numFmtId="10" fontId="14" fillId="3" borderId="0" xfId="0" applyNumberFormat="1" applyFont="1" applyFill="1" applyAlignment="1">
      <alignment horizontal="center" vertical="center"/>
    </xf>
    <xf numFmtId="10" fontId="31" fillId="4" borderId="16" xfId="0" applyNumberFormat="1" applyFont="1" applyFill="1" applyBorder="1" applyAlignment="1">
      <alignment horizontal="center" vertical="center"/>
    </xf>
    <xf numFmtId="0" fontId="74" fillId="3" borderId="0" xfId="4" applyFont="1" applyFill="1">
      <alignment vertical="center"/>
    </xf>
    <xf numFmtId="43" fontId="14" fillId="3" borderId="0" xfId="1" applyFont="1" applyFill="1" applyAlignment="1">
      <alignment horizontal="center" vertical="center"/>
    </xf>
    <xf numFmtId="178" fontId="14" fillId="3" borderId="0" xfId="0" applyNumberFormat="1" applyFont="1" applyFill="1">
      <alignment vertical="center"/>
    </xf>
    <xf numFmtId="178" fontId="37" fillId="3" borderId="0" xfId="3" applyNumberFormat="1" applyFont="1" applyFill="1" applyAlignment="1">
      <alignment vertical="center"/>
    </xf>
    <xf numFmtId="178" fontId="37" fillId="3" borderId="0" xfId="0" applyNumberFormat="1" applyFont="1" applyFill="1">
      <alignment vertical="center"/>
    </xf>
    <xf numFmtId="0" fontId="31" fillId="3" borderId="12" xfId="0" applyFont="1" applyFill="1" applyBorder="1">
      <alignment vertical="center"/>
    </xf>
    <xf numFmtId="10" fontId="31" fillId="3" borderId="14" xfId="3" applyNumberFormat="1" applyFont="1" applyFill="1" applyBorder="1" applyAlignment="1">
      <alignment vertical="center"/>
    </xf>
    <xf numFmtId="0" fontId="72" fillId="0" borderId="0" xfId="11" applyAlignment="1">
      <alignment wrapText="1"/>
    </xf>
    <xf numFmtId="0" fontId="14" fillId="3" borderId="15" xfId="0" applyFont="1" applyFill="1" applyBorder="1" applyAlignment="1">
      <alignment horizontal="center" vertical="center"/>
    </xf>
    <xf numFmtId="0" fontId="14" fillId="3" borderId="15" xfId="0" applyFont="1" applyFill="1" applyBorder="1">
      <alignment vertical="center"/>
    </xf>
    <xf numFmtId="10" fontId="8" fillId="25" borderId="0" xfId="0" applyNumberFormat="1" applyFont="1" applyFill="1">
      <alignment vertical="center"/>
    </xf>
    <xf numFmtId="167" fontId="22" fillId="25" borderId="0" xfId="3" applyNumberFormat="1" applyFont="1" applyFill="1" applyBorder="1" applyAlignment="1">
      <alignment vertical="center"/>
    </xf>
    <xf numFmtId="43" fontId="15" fillId="26" borderId="16" xfId="1" applyFont="1" applyFill="1" applyBorder="1"/>
    <xf numFmtId="2" fontId="7" fillId="26" borderId="16" xfId="0" applyNumberFormat="1" applyFont="1" applyFill="1" applyBorder="1" applyAlignment="1"/>
    <xf numFmtId="10" fontId="8" fillId="25" borderId="0" xfId="3" applyNumberFormat="1" applyFont="1" applyFill="1"/>
    <xf numFmtId="9" fontId="8" fillId="25" borderId="0" xfId="3" applyFont="1" applyFill="1" applyBorder="1" applyAlignment="1">
      <alignment vertical="center"/>
    </xf>
    <xf numFmtId="9" fontId="8" fillId="25" borderId="0" xfId="3" applyFont="1" applyFill="1" applyAlignment="1">
      <alignment horizontal="center" vertical="center"/>
    </xf>
    <xf numFmtId="9" fontId="8" fillId="25" borderId="0" xfId="3" applyFont="1" applyFill="1" applyBorder="1" applyAlignment="1">
      <alignment horizontal="center" vertical="center"/>
    </xf>
    <xf numFmtId="0" fontId="7" fillId="4" borderId="0" xfId="5" applyFont="1" applyFill="1" applyAlignment="1">
      <alignment horizontal="center" vertical="center"/>
    </xf>
    <xf numFmtId="2" fontId="31" fillId="26" borderId="16" xfId="0" applyNumberFormat="1" applyFont="1" applyFill="1" applyBorder="1">
      <alignment vertical="center"/>
    </xf>
    <xf numFmtId="167" fontId="14" fillId="25" borderId="0" xfId="3" applyNumberFormat="1" applyFont="1" applyFill="1" applyAlignment="1">
      <alignment vertical="center"/>
    </xf>
    <xf numFmtId="0" fontId="12" fillId="26" borderId="0" xfId="0" applyFont="1" applyFill="1" applyAlignment="1"/>
    <xf numFmtId="164" fontId="8" fillId="25" borderId="0" xfId="1" applyNumberFormat="1" applyFont="1" applyFill="1" applyBorder="1" applyAlignment="1">
      <alignment vertical="center"/>
    </xf>
    <xf numFmtId="2" fontId="49" fillId="25" borderId="0" xfId="5" applyNumberFormat="1" applyFont="1" applyFill="1" applyAlignment="1">
      <alignment horizontal="right" vertical="top"/>
    </xf>
    <xf numFmtId="9" fontId="49" fillId="25" borderId="0" xfId="3" applyFont="1" applyFill="1" applyAlignment="1">
      <alignment horizontal="right" vertical="top"/>
    </xf>
    <xf numFmtId="2" fontId="52" fillId="26" borderId="16" xfId="5" applyNumberFormat="1" applyFont="1" applyFill="1" applyBorder="1" applyAlignment="1">
      <alignment horizontal="center" vertical="top"/>
    </xf>
    <xf numFmtId="0" fontId="16" fillId="27" borderId="0" xfId="0" applyFont="1" applyFill="1" applyAlignment="1">
      <alignment horizontal="left" vertical="top"/>
    </xf>
    <xf numFmtId="0" fontId="14" fillId="2" borderId="0" xfId="5" applyFont="1" applyFill="1" applyAlignment="1">
      <alignment horizontal="center" vertical="center" wrapText="1"/>
    </xf>
    <xf numFmtId="0" fontId="31" fillId="3" borderId="4" xfId="0" applyFont="1" applyFill="1" applyBorder="1">
      <alignment vertical="center"/>
    </xf>
    <xf numFmtId="0" fontId="31" fillId="3" borderId="5" xfId="0" applyFont="1" applyFill="1" applyBorder="1">
      <alignment vertical="center"/>
    </xf>
    <xf numFmtId="0" fontId="31" fillId="3" borderId="6" xfId="0" applyFont="1" applyFill="1" applyBorder="1">
      <alignment vertical="center"/>
    </xf>
    <xf numFmtId="10" fontId="31" fillId="3" borderId="0" xfId="3" applyNumberFormat="1" applyFont="1" applyFill="1" applyBorder="1" applyAlignment="1">
      <alignment vertical="center"/>
    </xf>
    <xf numFmtId="10" fontId="31" fillId="3" borderId="8" xfId="3" applyNumberFormat="1" applyFont="1" applyFill="1" applyBorder="1" applyAlignment="1">
      <alignment vertical="center"/>
    </xf>
    <xf numFmtId="2" fontId="31" fillId="3" borderId="9" xfId="0" applyNumberFormat="1" applyFont="1" applyFill="1" applyBorder="1">
      <alignment vertical="center"/>
    </xf>
    <xf numFmtId="2" fontId="31" fillId="3" borderId="10" xfId="0" applyNumberFormat="1" applyFont="1" applyFill="1" applyBorder="1">
      <alignment vertical="center"/>
    </xf>
    <xf numFmtId="2" fontId="31" fillId="3" borderId="11" xfId="0" applyNumberFormat="1" applyFont="1" applyFill="1" applyBorder="1">
      <alignment vertical="center"/>
    </xf>
    <xf numFmtId="2" fontId="14" fillId="3" borderId="0" xfId="5" applyNumberFormat="1" applyFont="1" applyFill="1" applyAlignment="1">
      <alignment horizontal="right" vertical="center"/>
    </xf>
    <xf numFmtId="0" fontId="38" fillId="2" borderId="0" xfId="5" applyFont="1" applyFill="1" applyAlignment="1">
      <alignment vertical="center"/>
    </xf>
    <xf numFmtId="0" fontId="31" fillId="4" borderId="0" xfId="5" applyFont="1" applyFill="1" applyAlignment="1">
      <alignment horizontal="center" vertical="center"/>
    </xf>
    <xf numFmtId="2" fontId="82" fillId="2" borderId="0" xfId="5" applyNumberFormat="1" applyFont="1" applyFill="1" applyAlignment="1">
      <alignment vertical="center"/>
    </xf>
    <xf numFmtId="0" fontId="82" fillId="2" borderId="0" xfId="5" applyFont="1" applyFill="1" applyAlignment="1">
      <alignment horizontal="center" vertical="center"/>
    </xf>
    <xf numFmtId="2" fontId="82" fillId="2" borderId="0" xfId="5" applyNumberFormat="1" applyFont="1" applyFill="1" applyAlignment="1">
      <alignment horizontal="center" vertical="center"/>
    </xf>
    <xf numFmtId="10" fontId="82" fillId="2" borderId="0" xfId="5" applyNumberFormat="1" applyFont="1" applyFill="1" applyAlignment="1">
      <alignment horizontal="center" vertical="center"/>
    </xf>
    <xf numFmtId="2" fontId="82" fillId="28" borderId="0" xfId="5" applyNumberFormat="1" applyFont="1" applyFill="1" applyAlignment="1">
      <alignment horizontal="center" vertical="center"/>
    </xf>
    <xf numFmtId="0" fontId="81" fillId="2" borderId="0" xfId="5" applyFont="1" applyFill="1" applyAlignment="1">
      <alignment vertical="center"/>
    </xf>
    <xf numFmtId="9" fontId="81" fillId="2" borderId="0" xfId="5" applyNumberFormat="1" applyFont="1" applyFill="1" applyAlignment="1">
      <alignment vertical="center"/>
    </xf>
    <xf numFmtId="0" fontId="81" fillId="2" borderId="0" xfId="5" applyFont="1" applyFill="1" applyAlignment="1">
      <alignment vertical="center" wrapText="1"/>
    </xf>
    <xf numFmtId="0" fontId="81" fillId="28" borderId="0" xfId="5" applyFont="1" applyFill="1" applyAlignment="1">
      <alignment vertical="center"/>
    </xf>
    <xf numFmtId="9" fontId="81" fillId="28" borderId="0" xfId="5" applyNumberFormat="1" applyFont="1" applyFill="1" applyAlignment="1">
      <alignment vertical="center"/>
    </xf>
    <xf numFmtId="0" fontId="83" fillId="2" borderId="0" xfId="5" applyFont="1" applyFill="1" applyAlignment="1">
      <alignment vertical="center"/>
    </xf>
    <xf numFmtId="0" fontId="83" fillId="2" borderId="0" xfId="5" applyFont="1" applyFill="1" applyAlignment="1">
      <alignment horizontal="center" vertical="center"/>
    </xf>
    <xf numFmtId="0" fontId="83" fillId="28" borderId="0" xfId="5" applyFont="1" applyFill="1" applyAlignment="1">
      <alignment vertical="center"/>
    </xf>
    <xf numFmtId="0" fontId="83" fillId="28" borderId="0" xfId="5" applyFont="1" applyFill="1" applyAlignment="1">
      <alignment horizontal="center" vertical="center"/>
    </xf>
    <xf numFmtId="0" fontId="38" fillId="2" borderId="0" xfId="5" applyFont="1" applyFill="1" applyAlignment="1">
      <alignment horizontal="left" vertical="center"/>
    </xf>
    <xf numFmtId="0" fontId="14" fillId="2" borderId="0" xfId="5" applyFont="1" applyFill="1" applyAlignment="1">
      <alignment horizontal="left" vertical="center"/>
    </xf>
    <xf numFmtId="0" fontId="83" fillId="28" borderId="0" xfId="5" applyFont="1" applyFill="1" applyAlignment="1">
      <alignment horizontal="left" vertical="center"/>
    </xf>
    <xf numFmtId="0" fontId="83" fillId="2" borderId="0" xfId="5" applyFont="1" applyFill="1" applyAlignment="1">
      <alignment horizontal="left" vertical="center"/>
    </xf>
    <xf numFmtId="0" fontId="81" fillId="2" borderId="0" xfId="5" applyFont="1" applyFill="1" applyAlignment="1">
      <alignment horizontal="left" vertical="center"/>
    </xf>
    <xf numFmtId="0" fontId="84" fillId="2" borderId="0" xfId="5" applyFont="1" applyFill="1" applyAlignment="1">
      <alignment horizontal="left" vertical="center"/>
    </xf>
    <xf numFmtId="0" fontId="84" fillId="2" borderId="0" xfId="5" applyFont="1" applyFill="1" applyAlignment="1">
      <alignment horizontal="center" vertical="center"/>
    </xf>
    <xf numFmtId="9" fontId="84" fillId="2" borderId="0" xfId="5" applyNumberFormat="1" applyFont="1" applyFill="1" applyAlignment="1">
      <alignment horizontal="center" vertical="center"/>
    </xf>
    <xf numFmtId="10" fontId="84" fillId="2" borderId="0" xfId="5" applyNumberFormat="1" applyFont="1" applyFill="1" applyAlignment="1">
      <alignment horizontal="center" vertical="center"/>
    </xf>
    <xf numFmtId="0" fontId="87" fillId="2" borderId="0" xfId="5" applyFont="1" applyFill="1" applyAlignment="1">
      <alignment horizontal="left" vertical="center"/>
    </xf>
    <xf numFmtId="173" fontId="83" fillId="2" borderId="0" xfId="5" applyNumberFormat="1" applyFont="1" applyFill="1" applyAlignment="1">
      <alignment horizontal="center" vertical="center"/>
    </xf>
    <xf numFmtId="10" fontId="83" fillId="2" borderId="0" xfId="5" applyNumberFormat="1" applyFont="1" applyFill="1" applyAlignment="1">
      <alignment horizontal="center" vertical="center"/>
    </xf>
    <xf numFmtId="1" fontId="83" fillId="2" borderId="0" xfId="5" applyNumberFormat="1" applyFont="1" applyFill="1" applyAlignment="1">
      <alignment horizontal="center" vertical="center"/>
    </xf>
    <xf numFmtId="0" fontId="87" fillId="28" borderId="0" xfId="5" applyFont="1" applyFill="1" applyAlignment="1">
      <alignment horizontal="center" vertical="center"/>
    </xf>
    <xf numFmtId="0" fontId="81" fillId="2" borderId="0" xfId="0" applyFont="1" applyFill="1">
      <alignment vertical="center"/>
    </xf>
    <xf numFmtId="2" fontId="81" fillId="2" borderId="0" xfId="3" applyNumberFormat="1" applyFont="1" applyFill="1" applyAlignment="1">
      <alignment vertical="center"/>
    </xf>
    <xf numFmtId="167" fontId="81" fillId="2" borderId="0" xfId="3" applyNumberFormat="1" applyFont="1" applyFill="1" applyAlignment="1">
      <alignment vertical="center"/>
    </xf>
    <xf numFmtId="0" fontId="81" fillId="28" borderId="0" xfId="0" applyFont="1" applyFill="1">
      <alignment vertical="center"/>
    </xf>
    <xf numFmtId="167" fontId="81" fillId="28" borderId="0" xfId="3" applyNumberFormat="1" applyFont="1" applyFill="1" applyAlignment="1">
      <alignment vertical="center"/>
    </xf>
    <xf numFmtId="2" fontId="81" fillId="28" borderId="0" xfId="3" applyNumberFormat="1" applyFont="1" applyFill="1" applyAlignment="1">
      <alignment vertical="center"/>
    </xf>
    <xf numFmtId="2" fontId="84" fillId="2" borderId="0" xfId="0" applyNumberFormat="1" applyFont="1" applyFill="1" applyAlignment="1">
      <alignment horizontal="center" vertical="center"/>
    </xf>
    <xf numFmtId="0" fontId="84" fillId="2" borderId="0" xfId="0" applyFont="1" applyFill="1" applyAlignment="1">
      <alignment horizontal="center" vertical="center"/>
    </xf>
    <xf numFmtId="2" fontId="89" fillId="2" borderId="0" xfId="7" applyNumberFormat="1" applyFont="1" applyFill="1" applyAlignment="1">
      <alignment horizontal="center"/>
    </xf>
    <xf numFmtId="2" fontId="89" fillId="2" borderId="3" xfId="7" applyNumberFormat="1" applyFont="1" applyFill="1" applyBorder="1" applyAlignment="1">
      <alignment horizontal="center"/>
    </xf>
    <xf numFmtId="2" fontId="49" fillId="3" borderId="0" xfId="7" applyNumberFormat="1" applyFont="1" applyFill="1" applyAlignment="1">
      <alignment horizontal="center"/>
    </xf>
    <xf numFmtId="0" fontId="49" fillId="3" borderId="0" xfId="7" applyFont="1" applyFill="1" applyAlignment="1">
      <alignment horizontal="center"/>
    </xf>
    <xf numFmtId="2" fontId="49" fillId="3" borderId="1" xfId="7" applyNumberFormat="1" applyFont="1" applyFill="1" applyBorder="1" applyAlignment="1">
      <alignment horizontal="center"/>
    </xf>
    <xf numFmtId="43" fontId="49" fillId="3" borderId="1" xfId="7" applyNumberFormat="1" applyFont="1" applyFill="1" applyBorder="1" applyAlignment="1">
      <alignment horizontal="center"/>
    </xf>
    <xf numFmtId="2" fontId="49" fillId="3" borderId="3" xfId="7" applyNumberFormat="1" applyFont="1" applyFill="1" applyBorder="1" applyAlignment="1">
      <alignment horizontal="center"/>
    </xf>
    <xf numFmtId="2" fontId="31" fillId="3" borderId="0" xfId="5" applyNumberFormat="1" applyFont="1" applyFill="1" applyAlignment="1">
      <alignment vertical="center" wrapText="1"/>
    </xf>
    <xf numFmtId="2" fontId="14" fillId="3" borderId="0" xfId="5" applyNumberFormat="1" applyFont="1" applyFill="1" applyAlignment="1">
      <alignment vertical="center" wrapText="1"/>
    </xf>
    <xf numFmtId="0" fontId="14" fillId="2" borderId="0" xfId="5" applyFont="1" applyFill="1" applyAlignment="1">
      <alignment vertical="center" wrapText="1"/>
    </xf>
    <xf numFmtId="0" fontId="14" fillId="2" borderId="0" xfId="5" applyFont="1" applyFill="1" applyAlignment="1">
      <alignment horizontal="left" vertical="center" wrapText="1"/>
    </xf>
    <xf numFmtId="0" fontId="81" fillId="2" borderId="0" xfId="0" applyFont="1" applyFill="1" applyAlignment="1">
      <alignment vertical="center" wrapText="1"/>
    </xf>
    <xf numFmtId="167" fontId="81" fillId="2" borderId="0" xfId="3" applyNumberFormat="1" applyFont="1" applyFill="1" applyAlignment="1">
      <alignment vertical="center" wrapText="1"/>
    </xf>
    <xf numFmtId="2" fontId="81" fillId="2" borderId="0" xfId="3" applyNumberFormat="1" applyFont="1" applyFill="1" applyAlignment="1">
      <alignment vertical="center" wrapText="1"/>
    </xf>
    <xf numFmtId="0" fontId="85" fillId="2" borderId="0" xfId="0" applyFont="1" applyFill="1" applyAlignment="1">
      <alignment vertical="center" wrapText="1"/>
    </xf>
    <xf numFmtId="0" fontId="85" fillId="2" borderId="0" xfId="0" applyFont="1" applyFill="1" applyAlignment="1">
      <alignment horizontal="center" vertical="center" wrapText="1"/>
    </xf>
    <xf numFmtId="2" fontId="86" fillId="2" borderId="22" xfId="0" applyNumberFormat="1" applyFont="1" applyFill="1" applyBorder="1" applyAlignment="1">
      <alignment horizontal="center" vertical="center"/>
    </xf>
    <xf numFmtId="43" fontId="86" fillId="2" borderId="20" xfId="0" applyNumberFormat="1" applyFont="1" applyFill="1" applyBorder="1" applyAlignment="1">
      <alignment horizontal="center" vertical="center"/>
    </xf>
    <xf numFmtId="0" fontId="38" fillId="2" borderId="0" xfId="5" applyFont="1" applyFill="1" applyAlignment="1">
      <alignment vertical="center" wrapText="1"/>
    </xf>
    <xf numFmtId="0" fontId="84" fillId="2" borderId="0" xfId="0" applyFont="1" applyFill="1" applyAlignment="1">
      <alignment vertical="center" wrapText="1"/>
    </xf>
    <xf numFmtId="0" fontId="86" fillId="2" borderId="21" xfId="0" applyFont="1" applyFill="1" applyBorder="1" applyAlignment="1">
      <alignment vertical="center" wrapText="1"/>
    </xf>
    <xf numFmtId="0" fontId="49" fillId="3" borderId="0" xfId="7" applyFont="1" applyFill="1" applyAlignment="1">
      <alignment wrapText="1"/>
    </xf>
    <xf numFmtId="0" fontId="31" fillId="3" borderId="0" xfId="0" applyFont="1" applyFill="1" applyAlignment="1">
      <alignment wrapText="1"/>
    </xf>
    <xf numFmtId="0" fontId="52" fillId="3" borderId="0" xfId="5" applyFont="1" applyFill="1" applyAlignment="1">
      <alignment wrapText="1"/>
    </xf>
    <xf numFmtId="9" fontId="81" fillId="2" borderId="0" xfId="3" applyFont="1" applyFill="1" applyBorder="1" applyAlignment="1">
      <alignment vertical="center"/>
    </xf>
    <xf numFmtId="2" fontId="81" fillId="2" borderId="0" xfId="5" applyNumberFormat="1" applyFont="1" applyFill="1" applyAlignment="1">
      <alignment vertical="center"/>
    </xf>
    <xf numFmtId="0" fontId="90" fillId="23" borderId="0" xfId="0" applyFont="1" applyFill="1">
      <alignment vertical="center"/>
    </xf>
    <xf numFmtId="0" fontId="91" fillId="2" borderId="0" xfId="5" applyFont="1" applyFill="1" applyAlignment="1">
      <alignment horizontal="center" vertical="center"/>
    </xf>
    <xf numFmtId="9" fontId="90" fillId="23" borderId="0" xfId="0" applyNumberFormat="1" applyFont="1" applyFill="1">
      <alignment vertical="center"/>
    </xf>
    <xf numFmtId="2" fontId="90" fillId="23" borderId="0" xfId="0" applyNumberFormat="1" applyFont="1" applyFill="1">
      <alignment vertical="center"/>
    </xf>
    <xf numFmtId="0" fontId="90" fillId="29" borderId="0" xfId="0" applyFont="1" applyFill="1">
      <alignment vertical="center"/>
    </xf>
    <xf numFmtId="9" fontId="90" fillId="29" borderId="0" xfId="0" applyNumberFormat="1" applyFont="1" applyFill="1">
      <alignment vertical="center"/>
    </xf>
    <xf numFmtId="2" fontId="90" fillId="29" borderId="0" xfId="0" applyNumberFormat="1" applyFont="1" applyFill="1">
      <alignment vertical="center"/>
    </xf>
    <xf numFmtId="0" fontId="90" fillId="23" borderId="0" xfId="0" applyFont="1" applyFill="1" applyAlignment="1">
      <alignment vertical="center" wrapText="1"/>
    </xf>
    <xf numFmtId="0" fontId="87" fillId="2" borderId="0" xfId="5" applyFont="1" applyFill="1" applyAlignment="1">
      <alignment horizontal="center" vertical="center"/>
    </xf>
    <xf numFmtId="2" fontId="87" fillId="2" borderId="0" xfId="5" applyNumberFormat="1" applyFont="1" applyFill="1" applyAlignment="1">
      <alignment horizontal="center" vertical="center"/>
    </xf>
    <xf numFmtId="10" fontId="87" fillId="2" borderId="0" xfId="5" applyNumberFormat="1" applyFont="1" applyFill="1" applyAlignment="1">
      <alignment horizontal="center" vertical="center"/>
    </xf>
    <xf numFmtId="2" fontId="92" fillId="28" borderId="0" xfId="5" applyNumberFormat="1" applyFont="1" applyFill="1" applyAlignment="1">
      <alignment horizontal="left" vertical="center"/>
    </xf>
    <xf numFmtId="2" fontId="92" fillId="28" borderId="0" xfId="5" applyNumberFormat="1" applyFont="1" applyFill="1" applyAlignment="1">
      <alignment horizontal="center" vertical="center"/>
    </xf>
    <xf numFmtId="0" fontId="87" fillId="28" borderId="0" xfId="5" applyFont="1" applyFill="1" applyAlignment="1">
      <alignment horizontal="left" vertical="center"/>
    </xf>
    <xf numFmtId="167" fontId="88" fillId="2" borderId="0" xfId="5" applyNumberFormat="1" applyFont="1" applyFill="1" applyAlignment="1">
      <alignment horizontal="center" vertical="center"/>
    </xf>
    <xf numFmtId="2" fontId="0" fillId="2" borderId="0" xfId="0" applyNumberFormat="1" applyFill="1">
      <alignment vertical="center"/>
    </xf>
    <xf numFmtId="2" fontId="8" fillId="2" borderId="0" xfId="1" applyNumberFormat="1" applyFont="1" applyFill="1" applyBorder="1" applyAlignment="1">
      <alignment vertical="center"/>
    </xf>
    <xf numFmtId="2" fontId="14" fillId="2" borderId="0" xfId="0" applyNumberFormat="1" applyFont="1" applyFill="1">
      <alignment vertical="center"/>
    </xf>
    <xf numFmtId="0" fontId="53" fillId="24" borderId="0" xfId="0" applyFont="1" applyFill="1">
      <alignment vertical="center"/>
    </xf>
    <xf numFmtId="0" fontId="44" fillId="0" borderId="0" xfId="6"/>
    <xf numFmtId="0" fontId="83" fillId="0" borderId="0" xfId="6" applyFont="1"/>
    <xf numFmtId="0" fontId="93" fillId="30" borderId="0" xfId="6" applyFont="1" applyFill="1" applyAlignment="1">
      <alignment vertical="center" wrapText="1"/>
    </xf>
    <xf numFmtId="0" fontId="94" fillId="31" borderId="0" xfId="6" applyFont="1" applyFill="1" applyAlignment="1">
      <alignment horizontal="center" vertical="center"/>
    </xf>
    <xf numFmtId="0" fontId="93" fillId="32" borderId="0" xfId="6" applyFont="1" applyFill="1" applyAlignment="1">
      <alignment vertical="center" wrapText="1"/>
    </xf>
    <xf numFmtId="0" fontId="93" fillId="33" borderId="0" xfId="6" applyFont="1" applyFill="1" applyAlignment="1">
      <alignment vertical="center" wrapText="1"/>
    </xf>
    <xf numFmtId="0" fontId="93" fillId="34" borderId="0" xfId="6" applyFont="1" applyFill="1" applyAlignment="1">
      <alignment vertical="center" wrapText="1"/>
    </xf>
    <xf numFmtId="0" fontId="93" fillId="35" borderId="0" xfId="6" applyFont="1" applyFill="1" applyAlignment="1">
      <alignment vertical="center" wrapText="1"/>
    </xf>
    <xf numFmtId="0" fontId="93" fillId="36" borderId="0" xfId="6" applyFont="1" applyFill="1" applyAlignment="1">
      <alignment vertical="center" wrapText="1"/>
    </xf>
    <xf numFmtId="0" fontId="93" fillId="37" borderId="0" xfId="6" applyFont="1" applyFill="1" applyAlignment="1">
      <alignment vertical="center" wrapText="1"/>
    </xf>
    <xf numFmtId="0" fontId="93" fillId="38" borderId="0" xfId="6" applyFont="1" applyFill="1" applyAlignment="1">
      <alignment vertical="center" wrapText="1"/>
    </xf>
    <xf numFmtId="0" fontId="93" fillId="39" borderId="0" xfId="6" applyFont="1" applyFill="1" applyAlignment="1">
      <alignment vertical="center" wrapText="1"/>
    </xf>
    <xf numFmtId="0" fontId="93" fillId="40" borderId="0" xfId="6" applyFont="1" applyFill="1" applyAlignment="1">
      <alignment vertical="center" wrapText="1"/>
    </xf>
    <xf numFmtId="0" fontId="93" fillId="41" borderId="0" xfId="6" applyFont="1" applyFill="1" applyAlignment="1">
      <alignment vertical="center" wrapText="1"/>
    </xf>
    <xf numFmtId="0" fontId="93" fillId="42" borderId="0" xfId="6" applyFont="1" applyFill="1" applyAlignment="1">
      <alignment vertical="center" wrapText="1"/>
    </xf>
    <xf numFmtId="0" fontId="93" fillId="43" borderId="0" xfId="6" applyFont="1" applyFill="1" applyAlignment="1">
      <alignment vertical="center" wrapText="1"/>
    </xf>
    <xf numFmtId="0" fontId="90" fillId="44" borderId="0" xfId="6" applyFont="1" applyFill="1" applyAlignment="1">
      <alignment vertical="center"/>
    </xf>
    <xf numFmtId="0" fontId="95" fillId="0" borderId="19" xfId="6" applyFont="1" applyBorder="1" applyAlignment="1">
      <alignment horizontal="center" vertical="top"/>
    </xf>
    <xf numFmtId="0" fontId="14" fillId="2" borderId="0" xfId="5" quotePrefix="1" applyFont="1" applyFill="1" applyAlignment="1">
      <alignment vertical="center" wrapText="1"/>
    </xf>
    <xf numFmtId="10" fontId="14" fillId="2" borderId="0" xfId="5" applyNumberFormat="1" applyFont="1" applyFill="1" applyAlignment="1">
      <alignment horizontal="center" vertical="center" wrapText="1"/>
    </xf>
    <xf numFmtId="9" fontId="14" fillId="2" borderId="0" xfId="5" applyNumberFormat="1" applyFont="1" applyFill="1" applyAlignment="1">
      <alignment horizontal="center" vertical="center" wrapText="1"/>
    </xf>
    <xf numFmtId="0" fontId="7" fillId="4" borderId="0" xfId="0" applyFont="1" applyFill="1" applyAlignment="1">
      <alignment horizontal="center" vertical="center"/>
    </xf>
    <xf numFmtId="0" fontId="8" fillId="3" borderId="0" xfId="0" applyFont="1" applyFill="1" applyAlignment="1">
      <alignment horizontal="left" vertical="center" wrapText="1"/>
    </xf>
    <xf numFmtId="0" fontId="20" fillId="4" borderId="0" xfId="0" applyFont="1" applyFill="1" applyAlignment="1">
      <alignment horizontal="center" vertical="center"/>
    </xf>
    <xf numFmtId="164" fontId="69" fillId="2" borderId="0" xfId="1" applyNumberFormat="1" applyFont="1" applyFill="1" applyBorder="1" applyAlignment="1">
      <alignment horizontal="left" vertical="top" wrapText="1"/>
    </xf>
    <xf numFmtId="0" fontId="8" fillId="2" borderId="0" xfId="1" applyNumberFormat="1" applyFont="1" applyFill="1" applyBorder="1" applyAlignment="1">
      <alignment horizontal="left" vertical="top" wrapText="1"/>
    </xf>
    <xf numFmtId="164" fontId="20" fillId="3" borderId="0" xfId="1" applyNumberFormat="1" applyFont="1" applyFill="1" applyBorder="1" applyAlignment="1">
      <alignment horizontal="center" vertical="center"/>
    </xf>
    <xf numFmtId="164" fontId="7" fillId="3" borderId="0" xfId="1" applyNumberFormat="1" applyFont="1" applyFill="1" applyBorder="1" applyAlignment="1">
      <alignment horizontal="center" vertical="center"/>
    </xf>
    <xf numFmtId="0" fontId="20" fillId="4" borderId="0" xfId="5" applyFont="1" applyFill="1" applyAlignment="1">
      <alignment horizontal="center" vertical="center"/>
    </xf>
    <xf numFmtId="0" fontId="8" fillId="3" borderId="0" xfId="5" applyFont="1" applyFill="1" applyAlignment="1">
      <alignment horizontal="left" vertical="center" wrapText="1"/>
    </xf>
    <xf numFmtId="0" fontId="14" fillId="2" borderId="0" xfId="5" applyFont="1" applyFill="1" applyAlignment="1">
      <alignment horizontal="center" vertical="center" wrapText="1"/>
    </xf>
    <xf numFmtId="0" fontId="20" fillId="3" borderId="0" xfId="5" applyFont="1" applyFill="1" applyAlignment="1">
      <alignment horizontal="center" vertical="center"/>
    </xf>
    <xf numFmtId="0" fontId="31" fillId="4" borderId="0" xfId="5" applyFont="1" applyFill="1" applyAlignment="1">
      <alignment horizontal="center" vertical="center"/>
    </xf>
    <xf numFmtId="0" fontId="14" fillId="3" borderId="0" xfId="5" applyFont="1" applyFill="1" applyAlignment="1">
      <alignment horizontal="left" vertical="center" wrapText="1"/>
    </xf>
    <xf numFmtId="0" fontId="31" fillId="3" borderId="0" xfId="5" applyFont="1" applyFill="1" applyAlignment="1">
      <alignment horizontal="center" vertical="center" wrapText="1"/>
    </xf>
    <xf numFmtId="2" fontId="31" fillId="10" borderId="0" xfId="5" applyNumberFormat="1" applyFont="1" applyFill="1" applyAlignment="1">
      <alignment horizontal="center" vertical="center"/>
    </xf>
    <xf numFmtId="0" fontId="81" fillId="2" borderId="0" xfId="0" applyFont="1" applyFill="1" applyAlignment="1">
      <alignment horizontal="center" vertical="center"/>
    </xf>
    <xf numFmtId="0" fontId="59" fillId="4" borderId="0" xfId="7" applyFont="1" applyFill="1" applyAlignment="1">
      <alignment horizontal="center" vertical="center"/>
    </xf>
    <xf numFmtId="0" fontId="84" fillId="28" borderId="0" xfId="5" applyFont="1" applyFill="1" applyAlignment="1">
      <alignment horizontal="center" vertical="center"/>
    </xf>
    <xf numFmtId="0" fontId="30" fillId="4" borderId="0" xfId="0" applyFont="1" applyFill="1" applyAlignment="1">
      <alignment horizontal="center" vertical="center"/>
    </xf>
    <xf numFmtId="9" fontId="30" fillId="4" borderId="0" xfId="3" applyFont="1" applyFill="1" applyBorder="1" applyAlignment="1">
      <alignment horizontal="center" vertical="center"/>
    </xf>
    <xf numFmtId="0" fontId="19" fillId="3" borderId="0" xfId="1" applyNumberFormat="1" applyFont="1" applyFill="1" applyBorder="1" applyAlignment="1">
      <alignment horizontal="left" vertical="center" wrapText="1"/>
    </xf>
    <xf numFmtId="164" fontId="7" fillId="4" borderId="0" xfId="1" applyNumberFormat="1" applyFont="1" applyFill="1" applyBorder="1" applyAlignment="1">
      <alignment horizontal="center" vertical="center"/>
    </xf>
    <xf numFmtId="164" fontId="8" fillId="3" borderId="0" xfId="1" applyNumberFormat="1" applyFont="1" applyFill="1" applyBorder="1" applyAlignment="1">
      <alignment horizontal="center" vertical="center"/>
    </xf>
    <xf numFmtId="0" fontId="14" fillId="3" borderId="2" xfId="1" applyNumberFormat="1" applyFont="1" applyFill="1" applyBorder="1" applyAlignment="1">
      <alignment horizontal="left" vertical="center" wrapText="1"/>
    </xf>
    <xf numFmtId="0" fontId="14" fillId="3" borderId="0" xfId="1" applyNumberFormat="1" applyFont="1" applyFill="1" applyBorder="1" applyAlignment="1">
      <alignment horizontal="left" vertical="center" wrapText="1"/>
    </xf>
    <xf numFmtId="0" fontId="14" fillId="3" borderId="1" xfId="1" applyNumberFormat="1" applyFont="1" applyFill="1" applyBorder="1" applyAlignment="1">
      <alignment horizontal="left" vertical="center" wrapText="1"/>
    </xf>
    <xf numFmtId="0" fontId="14" fillId="3" borderId="2" xfId="0" applyFont="1" applyFill="1" applyBorder="1" applyAlignment="1">
      <alignment horizontal="center" vertical="center"/>
    </xf>
    <xf numFmtId="0" fontId="14" fillId="3" borderId="0" xfId="0" applyFont="1" applyFill="1" applyAlignment="1">
      <alignment horizontal="center" vertical="center"/>
    </xf>
    <xf numFmtId="0" fontId="14" fillId="3" borderId="1" xfId="0" applyFont="1" applyFill="1" applyBorder="1" applyAlignment="1">
      <alignment horizontal="center" vertical="center"/>
    </xf>
    <xf numFmtId="0" fontId="14" fillId="3" borderId="0" xfId="0" applyFont="1" applyFill="1" applyAlignment="1">
      <alignment horizontal="left" vertical="center" wrapText="1"/>
    </xf>
    <xf numFmtId="0" fontId="14" fillId="3" borderId="0" xfId="1" applyNumberFormat="1" applyFont="1" applyFill="1" applyBorder="1" applyAlignment="1">
      <alignment horizontal="center" vertical="center"/>
    </xf>
    <xf numFmtId="0" fontId="14" fillId="3" borderId="0" xfId="0" applyFont="1" applyFill="1" applyAlignment="1">
      <alignment horizontal="left" vertical="center"/>
    </xf>
    <xf numFmtId="0" fontId="14" fillId="3" borderId="2" xfId="0" applyFont="1" applyFill="1" applyBorder="1" applyAlignment="1">
      <alignment horizontal="left" vertical="center" wrapText="1"/>
    </xf>
    <xf numFmtId="0" fontId="14" fillId="3" borderId="1" xfId="0" applyFont="1" applyFill="1" applyBorder="1" applyAlignment="1">
      <alignment horizontal="left" vertical="center" wrapText="1"/>
    </xf>
    <xf numFmtId="0" fontId="8" fillId="3" borderId="2" xfId="0" applyFont="1" applyFill="1" applyBorder="1" applyAlignment="1">
      <alignment horizontal="center" vertical="center"/>
    </xf>
    <xf numFmtId="0" fontId="8" fillId="3" borderId="0" xfId="0" applyFont="1" applyFill="1" applyAlignment="1">
      <alignment horizontal="center" vertical="center"/>
    </xf>
    <xf numFmtId="0" fontId="8" fillId="3" borderId="1" xfId="0" applyFont="1" applyFill="1" applyBorder="1" applyAlignment="1">
      <alignment horizontal="center" vertical="center"/>
    </xf>
    <xf numFmtId="0" fontId="8" fillId="3" borderId="2"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1" xfId="0" applyFont="1" applyFill="1" applyBorder="1" applyAlignment="1">
      <alignment horizontal="center" vertical="center" wrapText="1"/>
    </xf>
    <xf numFmtId="2" fontId="14" fillId="3" borderId="2" xfId="5" applyNumberFormat="1" applyFont="1" applyFill="1" applyBorder="1" applyAlignment="1">
      <alignment horizontal="left" vertical="center" wrapText="1"/>
    </xf>
    <xf numFmtId="2" fontId="14" fillId="3" borderId="0" xfId="5" applyNumberFormat="1" applyFont="1" applyFill="1" applyAlignment="1">
      <alignment horizontal="left" vertical="center" wrapText="1"/>
    </xf>
    <xf numFmtId="0" fontId="14" fillId="3" borderId="0" xfId="5" applyFont="1" applyFill="1" applyAlignment="1">
      <alignment horizontal="center" vertical="center"/>
    </xf>
    <xf numFmtId="2" fontId="31" fillId="4" borderId="0" xfId="5" applyNumberFormat="1" applyFont="1" applyFill="1" applyAlignment="1">
      <alignment horizontal="center" vertical="center"/>
    </xf>
    <xf numFmtId="0" fontId="31" fillId="4" borderId="0" xfId="0" applyFont="1" applyFill="1" applyAlignment="1">
      <alignment horizontal="center"/>
    </xf>
    <xf numFmtId="0" fontId="14" fillId="3" borderId="0" xfId="0" applyFont="1" applyFill="1" applyAlignment="1">
      <alignment horizontal="left" wrapText="1"/>
    </xf>
    <xf numFmtId="0" fontId="14" fillId="3" borderId="1" xfId="0" applyFont="1" applyFill="1" applyBorder="1" applyAlignment="1">
      <alignment horizontal="left" wrapText="1"/>
    </xf>
    <xf numFmtId="0" fontId="14" fillId="3" borderId="2" xfId="0" applyFont="1" applyFill="1" applyBorder="1" applyAlignment="1">
      <alignment horizontal="left" wrapText="1"/>
    </xf>
    <xf numFmtId="164" fontId="7" fillId="2" borderId="0" xfId="1" applyNumberFormat="1" applyFont="1" applyFill="1" applyBorder="1" applyAlignment="1">
      <alignment horizontal="center" vertical="center"/>
    </xf>
    <xf numFmtId="0" fontId="7" fillId="4" borderId="0" xfId="5" applyFont="1" applyFill="1" applyAlignment="1">
      <alignment horizontal="center" vertical="center"/>
    </xf>
    <xf numFmtId="0" fontId="31" fillId="4" borderId="0" xfId="0" applyFont="1" applyFill="1" applyAlignment="1">
      <alignment horizontal="center" vertical="center"/>
    </xf>
    <xf numFmtId="0" fontId="14" fillId="4" borderId="0" xfId="0" applyFont="1" applyFill="1" applyAlignment="1">
      <alignment horizontal="center" vertical="center"/>
    </xf>
    <xf numFmtId="0" fontId="72" fillId="0" borderId="0" xfId="11" applyAlignment="1">
      <alignment wrapText="1"/>
    </xf>
    <xf numFmtId="0" fontId="8" fillId="3" borderId="2" xfId="0" applyFont="1" applyFill="1" applyBorder="1" applyAlignment="1">
      <alignment horizontal="left" vertical="top" wrapText="1"/>
    </xf>
    <xf numFmtId="0" fontId="8" fillId="3" borderId="0" xfId="0" applyFont="1" applyFill="1" applyAlignment="1">
      <alignment horizontal="left" vertical="top" wrapText="1"/>
    </xf>
    <xf numFmtId="172" fontId="15" fillId="4" borderId="0" xfId="0" applyNumberFormat="1" applyFont="1" applyFill="1" applyAlignment="1">
      <alignment horizontal="center" vertical="center"/>
    </xf>
    <xf numFmtId="172" fontId="15" fillId="4" borderId="0" xfId="0" applyNumberFormat="1" applyFont="1" applyFill="1" applyAlignment="1">
      <alignment horizontal="center"/>
    </xf>
    <xf numFmtId="0" fontId="15" fillId="4" borderId="0" xfId="5" applyFont="1" applyFill="1" applyAlignment="1">
      <alignment horizontal="center"/>
    </xf>
    <xf numFmtId="0" fontId="14" fillId="3" borderId="2" xfId="1" applyNumberFormat="1" applyFont="1" applyFill="1" applyBorder="1" applyAlignment="1">
      <alignment horizontal="center" vertical="center"/>
    </xf>
    <xf numFmtId="0" fontId="14" fillId="3" borderId="1" xfId="1" applyNumberFormat="1" applyFont="1" applyFill="1" applyBorder="1" applyAlignment="1">
      <alignment horizontal="center" vertical="center"/>
    </xf>
    <xf numFmtId="0" fontId="7" fillId="4" borderId="0" xfId="1" applyNumberFormat="1" applyFont="1" applyFill="1" applyBorder="1" applyAlignment="1">
      <alignment horizontal="center" vertical="center"/>
    </xf>
    <xf numFmtId="164" fontId="30" fillId="4" borderId="0" xfId="1" applyNumberFormat="1" applyFont="1" applyFill="1" applyBorder="1" applyAlignment="1">
      <alignment horizontal="center" vertical="center"/>
    </xf>
    <xf numFmtId="0" fontId="8" fillId="3" borderId="2" xfId="1" applyNumberFormat="1" applyFont="1" applyFill="1" applyBorder="1" applyAlignment="1">
      <alignment horizontal="left" vertical="center" wrapText="1"/>
    </xf>
    <xf numFmtId="0" fontId="8" fillId="3" borderId="0" xfId="1" applyNumberFormat="1" applyFont="1" applyFill="1" applyBorder="1" applyAlignment="1">
      <alignment horizontal="left" vertical="center" wrapText="1"/>
    </xf>
    <xf numFmtId="0" fontId="8" fillId="3" borderId="1" xfId="1" applyNumberFormat="1" applyFont="1" applyFill="1" applyBorder="1" applyAlignment="1">
      <alignment horizontal="left" vertical="center" wrapText="1"/>
    </xf>
    <xf numFmtId="0" fontId="8" fillId="3" borderId="2" xfId="1" applyNumberFormat="1" applyFont="1" applyFill="1" applyBorder="1" applyAlignment="1">
      <alignment horizontal="left" vertical="top" wrapText="1"/>
    </xf>
    <xf numFmtId="0" fontId="8" fillId="3" borderId="0" xfId="1" applyNumberFormat="1" applyFont="1" applyFill="1" applyBorder="1" applyAlignment="1">
      <alignment horizontal="left" vertical="top" wrapText="1"/>
    </xf>
    <xf numFmtId="0" fontId="31" fillId="3" borderId="0" xfId="0" applyFont="1" applyFill="1" applyAlignment="1">
      <alignment horizontal="center" vertical="center"/>
    </xf>
    <xf numFmtId="0" fontId="14" fillId="3" borderId="1" xfId="0" applyFont="1" applyFill="1" applyBorder="1" applyAlignment="1">
      <alignment horizontal="center" vertical="center" wrapText="1"/>
    </xf>
    <xf numFmtId="0" fontId="7" fillId="4" borderId="0" xfId="0" applyFont="1" applyFill="1" applyAlignment="1">
      <alignment horizontal="center"/>
    </xf>
    <xf numFmtId="0" fontId="36" fillId="3" borderId="0" xfId="0" applyFont="1" applyFill="1" applyAlignment="1">
      <alignment horizontal="center"/>
    </xf>
    <xf numFmtId="0" fontId="7" fillId="3" borderId="0" xfId="0" applyFont="1" applyFill="1" applyAlignment="1">
      <alignment horizontal="center"/>
    </xf>
    <xf numFmtId="0" fontId="14" fillId="3" borderId="0" xfId="0" applyFont="1" applyFill="1" applyAlignment="1">
      <alignment horizontal="left" vertical="top" wrapText="1"/>
    </xf>
    <xf numFmtId="0" fontId="14" fillId="3" borderId="1" xfId="0" applyFont="1" applyFill="1" applyBorder="1" applyAlignment="1">
      <alignment horizontal="left" vertical="top" wrapText="1"/>
    </xf>
    <xf numFmtId="0" fontId="14" fillId="3" borderId="1" xfId="0" applyFont="1" applyFill="1" applyBorder="1" applyAlignment="1">
      <alignment horizontal="center" vertical="top"/>
    </xf>
    <xf numFmtId="0" fontId="30" fillId="4" borderId="0" xfId="0" applyFont="1" applyFill="1" applyAlignment="1">
      <alignment horizontal="center"/>
    </xf>
    <xf numFmtId="164" fontId="30" fillId="3" borderId="0" xfId="1" applyNumberFormat="1" applyFont="1" applyFill="1" applyBorder="1" applyAlignment="1">
      <alignment horizontal="center" vertical="center"/>
    </xf>
    <xf numFmtId="0" fontId="59" fillId="4" borderId="0" xfId="5" applyFont="1" applyFill="1" applyAlignment="1">
      <alignment horizontal="center"/>
    </xf>
    <xf numFmtId="0" fontId="30" fillId="3" borderId="0" xfId="0" applyFont="1" applyFill="1" applyAlignment="1">
      <alignment horizontal="center"/>
    </xf>
    <xf numFmtId="0" fontId="20" fillId="3" borderId="0" xfId="0" applyFont="1" applyFill="1" applyAlignment="1">
      <alignment horizontal="center" vertical="center"/>
    </xf>
    <xf numFmtId="0" fontId="31" fillId="3" borderId="0" xfId="0" applyFont="1" applyFill="1" applyAlignment="1">
      <alignment horizontal="center"/>
    </xf>
    <xf numFmtId="0" fontId="17" fillId="3" borderId="0" xfId="4" applyNumberFormat="1" applyFont="1" applyFill="1" applyBorder="1" applyAlignment="1">
      <alignment horizontal="left" vertical="top" wrapText="1"/>
    </xf>
    <xf numFmtId="0" fontId="7" fillId="4" borderId="0" xfId="6" applyFont="1" applyFill="1" applyAlignment="1">
      <alignment horizontal="left" vertical="center"/>
    </xf>
    <xf numFmtId="0" fontId="7" fillId="4" borderId="0" xfId="6" applyFont="1" applyFill="1" applyAlignment="1">
      <alignment horizontal="center" vertical="center"/>
    </xf>
    <xf numFmtId="0" fontId="3" fillId="0" borderId="0" xfId="9" applyAlignment="1">
      <alignment vertical="center"/>
    </xf>
    <xf numFmtId="0" fontId="3" fillId="0" borderId="0" xfId="9" applyAlignment="1">
      <alignment horizontal="center" vertical="center"/>
    </xf>
    <xf numFmtId="164" fontId="14" fillId="0" borderId="0" xfId="9" applyNumberFormat="1" applyFont="1" applyAlignment="1">
      <alignment horizontal="center" vertical="center"/>
    </xf>
    <xf numFmtId="0" fontId="8" fillId="3" borderId="2" xfId="0" applyFont="1" applyFill="1" applyBorder="1" applyAlignment="1">
      <alignment horizontal="left" vertical="center" wrapText="1"/>
    </xf>
    <xf numFmtId="0" fontId="8" fillId="3" borderId="0" xfId="1" applyNumberFormat="1" applyFont="1" applyFill="1" applyBorder="1" applyAlignment="1">
      <alignment vertical="center"/>
    </xf>
    <xf numFmtId="0" fontId="83" fillId="0" borderId="0" xfId="6" applyFont="1" applyAlignment="1">
      <alignment horizontal="center" vertical="center"/>
    </xf>
    <xf numFmtId="0" fontId="44" fillId="0" borderId="0" xfId="6" applyAlignment="1">
      <alignment horizontal="center" vertical="center"/>
    </xf>
    <xf numFmtId="0" fontId="2" fillId="0" borderId="0" xfId="10" applyAlignment="1">
      <alignment horizontal="center" vertical="center"/>
    </xf>
    <xf numFmtId="0" fontId="2" fillId="0" borderId="0" xfId="10" applyAlignment="1">
      <alignment vertical="center"/>
    </xf>
    <xf numFmtId="0" fontId="62" fillId="21" borderId="0" xfId="10" applyFont="1" applyFill="1" applyAlignment="1">
      <alignment horizontal="center" vertical="center"/>
    </xf>
  </cellXfs>
  <cellStyles count="12">
    <cellStyle name="Comma" xfId="1" builtinId="3"/>
    <cellStyle name="Currency" xfId="2" builtinId="4"/>
    <cellStyle name="Hyperlink" xfId="4" builtinId="8"/>
    <cellStyle name="Invisible" xfId="8" xr:uid="{A3FC76EE-6E2F-014C-9BA1-DDD9970943D3}"/>
    <cellStyle name="Normal" xfId="0" builtinId="0"/>
    <cellStyle name="Normal 2" xfId="5" xr:uid="{4F990814-2D14-524F-B2F6-7CC50632FE3C}"/>
    <cellStyle name="Normal 3" xfId="6" xr:uid="{4DD66F8D-ADD0-0D4D-80A9-51DB3F3BB3DA}"/>
    <cellStyle name="Normal 4" xfId="7" xr:uid="{A2E5F242-092F-0341-A6C4-7B690954485D}"/>
    <cellStyle name="Normal 5" xfId="9" xr:uid="{CAC6A8B2-0C8C-CD4F-B410-F90462F919BE}"/>
    <cellStyle name="Normal 6" xfId="10" xr:uid="{C6526882-633E-724F-BFE7-02EE5AB3F8F4}"/>
    <cellStyle name="Normal 7" xfId="11" xr:uid="{75BE082B-12D4-4FEE-BDA3-B05B0F85A6A1}"/>
    <cellStyle name="Percent" xfId="3" builtinId="5"/>
  </cellStyles>
  <dxfs count="18">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EDE0D1"/>
        </patternFill>
      </fill>
    </dxf>
    <dxf>
      <fill>
        <patternFill>
          <bgColor rgb="FFEDE0D1"/>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EDE0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US"/>
              <a:t>Workforce by Generation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E7-6247-A5CA-73312643E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E7-6247-A5CA-73312643E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E7-6247-A5CA-73312643E4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'IO&amp;CP'!$AL$415:$AL$417</c:f>
              <c:strCache>
                <c:ptCount val="3"/>
                <c:pt idx="0">
                  <c:v>Baby Boomers</c:v>
                </c:pt>
                <c:pt idx="1">
                  <c:v>Gen X</c:v>
                </c:pt>
                <c:pt idx="2">
                  <c:v>Gen Z</c:v>
                </c:pt>
              </c:strCache>
            </c:strRef>
          </c:cat>
          <c:val>
            <c:numRef>
              <c:f>'IO&amp;CP'!$AM$415:$AM$417</c:f>
              <c:numCache>
                <c:formatCode>0%</c:formatCode>
                <c:ptCount val="3"/>
                <c:pt idx="0">
                  <c:v>0.22</c:v>
                </c:pt>
                <c:pt idx="1">
                  <c:v>0.4</c:v>
                </c:pt>
                <c:pt idx="2">
                  <c:v>0.48</c:v>
                </c:pt>
              </c:numCache>
            </c:numRef>
          </c:val>
          <c:extLst>
            <c:ext xmlns:c16="http://schemas.microsoft.com/office/drawing/2014/chart" uri="{C3380CC4-5D6E-409C-BE32-E72D297353CC}">
              <c16:uniqueId val="{00000000-A27C-AD47-9E0D-39643AB82D23}"/>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US"/>
              <a:t>Workforce by Races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A5-AA41-A6CA-784ED17DE8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5-AA41-A6CA-784ED17DE8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A5-AA41-A6CA-784ED17DE8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A5-AA41-A6CA-784ED17DE8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A5-AA41-A6CA-784ED17DE8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A5-AA41-A6CA-784ED17DE8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'IO&amp;CP'!$AL$419:$AL$424</c:f>
              <c:strCache>
                <c:ptCount val="6"/>
                <c:pt idx="0">
                  <c:v>White</c:v>
                </c:pt>
                <c:pt idx="1">
                  <c:v>Black/African American</c:v>
                </c:pt>
                <c:pt idx="2">
                  <c:v>Hispanic</c:v>
                </c:pt>
                <c:pt idx="3">
                  <c:v>Native American/Alaska Native</c:v>
                </c:pt>
                <c:pt idx="4">
                  <c:v>Native Hawaiian/Pacific Islander</c:v>
                </c:pt>
                <c:pt idx="5">
                  <c:v>Two or more races</c:v>
                </c:pt>
              </c:strCache>
            </c:strRef>
          </c:cat>
          <c:val>
            <c:numRef>
              <c:f>'IO&amp;CP'!$AM$419:$AM$424</c:f>
              <c:numCache>
                <c:formatCode>0%</c:formatCode>
                <c:ptCount val="6"/>
                <c:pt idx="0" formatCode="0.00%">
                  <c:v>0.311</c:v>
                </c:pt>
                <c:pt idx="1">
                  <c:v>0.2</c:v>
                </c:pt>
                <c:pt idx="2" formatCode="0.00%">
                  <c:v>0.32600000000000001</c:v>
                </c:pt>
                <c:pt idx="3" formatCode="0.00%">
                  <c:v>4.0000000000000001E-3</c:v>
                </c:pt>
                <c:pt idx="4" formatCode="0.00%">
                  <c:v>6.0000000000000001E-3</c:v>
                </c:pt>
                <c:pt idx="5" formatCode="0.00%">
                  <c:v>6.0000000000000001E-3</c:v>
                </c:pt>
              </c:numCache>
            </c:numRef>
          </c:val>
          <c:extLst>
            <c:ext xmlns:c16="http://schemas.microsoft.com/office/drawing/2014/chart" uri="{C3380CC4-5D6E-409C-BE32-E72D297353CC}">
              <c16:uniqueId val="{00000000-8991-7743-8704-BB6D395E3BB1}"/>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pieChart>
        <c:varyColors val="1"/>
        <c:ser>
          <c:idx val="0"/>
          <c:order val="0"/>
          <c:tx>
            <c:strRef>
              <c:f>'IO&amp;CP'!$AM$426</c:f>
              <c:strCache>
                <c:ptCount val="1"/>
                <c:pt idx="0">
                  <c:v>Managers by Race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34-D94C-92D2-566C1D28C6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34-D94C-92D2-566C1D28C6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34-D94C-92D2-566C1D28C6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534-D94C-92D2-566C1D28C6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534-D94C-92D2-566C1D28C6F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534-D94C-92D2-566C1D28C6F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534-D94C-92D2-566C1D28C6F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534-D94C-92D2-566C1D28C6FC}"/>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'IO&amp;CP'!$AL$427:$AL$434</c:f>
              <c:strCache>
                <c:ptCount val="8"/>
                <c:pt idx="0">
                  <c:v>White</c:v>
                </c:pt>
                <c:pt idx="1">
                  <c:v>Black/African American</c:v>
                </c:pt>
                <c:pt idx="2">
                  <c:v>Hispanic</c:v>
                </c:pt>
                <c:pt idx="3">
                  <c:v>Native American/Alaska Native</c:v>
                </c:pt>
                <c:pt idx="4">
                  <c:v>Native Hawaiian/Pacific Islander</c:v>
                </c:pt>
                <c:pt idx="5">
                  <c:v>Two or more races</c:v>
                </c:pt>
                <c:pt idx="6">
                  <c:v>Asian</c:v>
                </c:pt>
                <c:pt idx="7">
                  <c:v>Unknown</c:v>
                </c:pt>
              </c:strCache>
            </c:strRef>
          </c:cat>
          <c:val>
            <c:numRef>
              <c:f>'IO&amp;CP'!$AM$427:$AM$434</c:f>
              <c:numCache>
                <c:formatCode>0.00%</c:formatCode>
                <c:ptCount val="8"/>
                <c:pt idx="0">
                  <c:v>0.58299999999999996</c:v>
                </c:pt>
                <c:pt idx="1">
                  <c:v>0.105</c:v>
                </c:pt>
                <c:pt idx="2">
                  <c:v>0.17599999999999999</c:v>
                </c:pt>
                <c:pt idx="3">
                  <c:v>3.0000000000000001E-3</c:v>
                </c:pt>
                <c:pt idx="4">
                  <c:v>6.0000000000000001E-3</c:v>
                </c:pt>
                <c:pt idx="5">
                  <c:v>7.0000000000000001E-3</c:v>
                </c:pt>
                <c:pt idx="6">
                  <c:v>9.4E-2</c:v>
                </c:pt>
                <c:pt idx="7">
                  <c:v>2.5999999999999999E-2</c:v>
                </c:pt>
              </c:numCache>
            </c:numRef>
          </c:val>
          <c:extLst>
            <c:ext xmlns:c16="http://schemas.microsoft.com/office/drawing/2014/chart" uri="{C3380CC4-5D6E-409C-BE32-E72D297353CC}">
              <c16:uniqueId val="{00000000-00F6-FB4D-9F46-14C8134DAE71}"/>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US"/>
              <a:t>2021 Contributions &amp; Donations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'IO&amp;CP'!$AO$418:$AO$420</c:f>
              <c:strCache>
                <c:ptCount val="3"/>
                <c:pt idx="0">
                  <c:v>cash contributions</c:v>
                </c:pt>
                <c:pt idx="1">
                  <c:v>in-kind donations</c:v>
                </c:pt>
                <c:pt idx="2">
                  <c:v>loyalty points donated</c:v>
                </c:pt>
              </c:strCache>
            </c:strRef>
          </c:cat>
          <c:val>
            <c:numRef>
              <c:f>'IO&amp;CP'!$AP$418:$AP$420</c:f>
              <c:numCache>
                <c:formatCode>General</c:formatCode>
                <c:ptCount val="3"/>
                <c:pt idx="0">
                  <c:v>11.55</c:v>
                </c:pt>
                <c:pt idx="1">
                  <c:v>11.57</c:v>
                </c:pt>
                <c:pt idx="2">
                  <c:v>66</c:v>
                </c:pt>
              </c:numCache>
            </c:numRef>
          </c:val>
          <c:extLst>
            <c:ext xmlns:c16="http://schemas.microsoft.com/office/drawing/2014/chart" uri="{C3380CC4-5D6E-409C-BE32-E72D297353CC}">
              <c16:uniqueId val="{00000000-F356-F84F-BD2F-E99B6421E0B9}"/>
            </c:ext>
          </c:extLst>
        </c:ser>
        <c:dLbls>
          <c:showLegendKey val="0"/>
          <c:showVal val="1"/>
          <c:showCatName val="0"/>
          <c:showSerName val="0"/>
          <c:showPercent val="0"/>
          <c:showBubbleSize val="0"/>
        </c:dLbls>
        <c:gapWidth val="150"/>
        <c:overlap val="-25"/>
        <c:axId val="1332286304"/>
        <c:axId val="1288253632"/>
      </c:barChart>
      <c:catAx>
        <c:axId val="133228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288253632"/>
        <c:crosses val="autoZero"/>
        <c:auto val="1"/>
        <c:lblAlgn val="ctr"/>
        <c:lblOffset val="100"/>
        <c:noMultiLvlLbl val="0"/>
      </c:catAx>
      <c:valAx>
        <c:axId val="1288253632"/>
        <c:scaling>
          <c:orientation val="minMax"/>
        </c:scaling>
        <c:delete val="1"/>
        <c:axPos val="l"/>
        <c:numFmt formatCode="General" sourceLinked="1"/>
        <c:majorTickMark val="none"/>
        <c:minorTickMark val="none"/>
        <c:tickLblPos val="nextTo"/>
        <c:crossAx val="1332286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r>
              <a:rPr lang="en-US"/>
              <a:t>2021 Training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Garamond" panose="02020404030301010803" pitchFamily="18" charset="0"/>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'IO&amp;CP'!$AP$423:$AP$424</c:f>
              <c:strCache>
                <c:ptCount val="2"/>
                <c:pt idx="0">
                  <c:v>Global Privacy training</c:v>
                </c:pt>
                <c:pt idx="1">
                  <c:v> ISPT training</c:v>
                </c:pt>
              </c:strCache>
            </c:strRef>
          </c:cat>
          <c:val>
            <c:numRef>
              <c:f>'IO&amp;CP'!$AQ$423:$AQ$424</c:f>
              <c:numCache>
                <c:formatCode>General</c:formatCode>
                <c:ptCount val="2"/>
                <c:pt idx="0">
                  <c:v>39000</c:v>
                </c:pt>
                <c:pt idx="1">
                  <c:v>175000</c:v>
                </c:pt>
              </c:numCache>
            </c:numRef>
          </c:val>
          <c:extLst>
            <c:ext xmlns:c16="http://schemas.microsoft.com/office/drawing/2014/chart" uri="{C3380CC4-5D6E-409C-BE32-E72D297353CC}">
              <c16:uniqueId val="{00000000-EAEF-DA4F-BF8F-F941336BDD00}"/>
            </c:ext>
          </c:extLst>
        </c:ser>
        <c:dLbls>
          <c:showLegendKey val="0"/>
          <c:showVal val="1"/>
          <c:showCatName val="0"/>
          <c:showSerName val="0"/>
          <c:showPercent val="0"/>
          <c:showBubbleSize val="0"/>
        </c:dLbls>
        <c:gapWidth val="150"/>
        <c:overlap val="-25"/>
        <c:axId val="503272143"/>
        <c:axId val="481408175"/>
      </c:barChart>
      <c:catAx>
        <c:axId val="50327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481408175"/>
        <c:crosses val="autoZero"/>
        <c:auto val="1"/>
        <c:lblAlgn val="ctr"/>
        <c:lblOffset val="100"/>
        <c:noMultiLvlLbl val="0"/>
      </c:catAx>
      <c:valAx>
        <c:axId val="481408175"/>
        <c:scaling>
          <c:orientation val="minMax"/>
        </c:scaling>
        <c:delete val="1"/>
        <c:axPos val="l"/>
        <c:numFmt formatCode="General" sourceLinked="1"/>
        <c:majorTickMark val="none"/>
        <c:minorTickMark val="none"/>
        <c:tickLblPos val="nextTo"/>
        <c:crossAx val="503272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EPS and Dividend Forecast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5"/>
          <c:order val="0"/>
          <c:tx>
            <c:v>2027</c:v>
          </c:tx>
          <c:spPr>
            <a:solidFill>
              <a:schemeClr val="accent6"/>
            </a:solidFill>
            <a:ln>
              <a:noFill/>
            </a:ln>
            <a:effectLst/>
          </c:spPr>
          <c:invertIfNegative val="0"/>
          <c:val>
            <c:numRef>
              <c:f>Finratios!$L$11</c:f>
              <c:numCache>
                <c:formatCode>0.00</c:formatCode>
                <c:ptCount val="1"/>
                <c:pt idx="0">
                  <c:v>9.5952687799344201</c:v>
                </c:pt>
              </c:numCache>
            </c:numRef>
          </c:val>
          <c:extLst>
            <c:ext xmlns:c16="http://schemas.microsoft.com/office/drawing/2014/chart" uri="{C3380CC4-5D6E-409C-BE32-E72D297353CC}">
              <c16:uniqueId val="{0000000A-2B44-4644-BB1F-C69F61B6A486}"/>
            </c:ext>
          </c:extLst>
        </c:ser>
        <c:ser>
          <c:idx val="11"/>
          <c:order val="1"/>
          <c:tx>
            <c:v>2027 Dividend</c:v>
          </c:tx>
          <c:spPr>
            <a:solidFill>
              <a:schemeClr val="accent6">
                <a:lumMod val="60000"/>
              </a:schemeClr>
            </a:solidFill>
            <a:ln>
              <a:noFill/>
            </a:ln>
            <a:effectLst/>
          </c:spPr>
          <c:invertIfNegative val="0"/>
          <c:val>
            <c:numRef>
              <c:f>Finratios!$L$12</c:f>
              <c:numCache>
                <c:formatCode>0.00</c:formatCode>
                <c:ptCount val="1"/>
                <c:pt idx="0">
                  <c:v>2.8837840511120416</c:v>
                </c:pt>
              </c:numCache>
            </c:numRef>
          </c:val>
          <c:extLst>
            <c:ext xmlns:c16="http://schemas.microsoft.com/office/drawing/2014/chart" uri="{C3380CC4-5D6E-409C-BE32-E72D297353CC}">
              <c16:uniqueId val="{00000010-2B44-4644-BB1F-C69F61B6A486}"/>
            </c:ext>
          </c:extLst>
        </c:ser>
        <c:ser>
          <c:idx val="4"/>
          <c:order val="2"/>
          <c:tx>
            <c:v>2026</c:v>
          </c:tx>
          <c:spPr>
            <a:solidFill>
              <a:schemeClr val="accent5"/>
            </a:solidFill>
            <a:ln>
              <a:noFill/>
            </a:ln>
            <a:effectLst/>
          </c:spPr>
          <c:invertIfNegative val="0"/>
          <c:val>
            <c:numRef>
              <c:f>Finratios!$K$11</c:f>
              <c:numCache>
                <c:formatCode>0.00</c:formatCode>
                <c:ptCount val="1"/>
                <c:pt idx="0">
                  <c:v>8.6104810174359052</c:v>
                </c:pt>
              </c:numCache>
            </c:numRef>
          </c:val>
          <c:extLst>
            <c:ext xmlns:c16="http://schemas.microsoft.com/office/drawing/2014/chart" uri="{C3380CC4-5D6E-409C-BE32-E72D297353CC}">
              <c16:uniqueId val="{00000009-2B44-4644-BB1F-C69F61B6A486}"/>
            </c:ext>
          </c:extLst>
        </c:ser>
        <c:ser>
          <c:idx val="10"/>
          <c:order val="3"/>
          <c:tx>
            <c:v>2026 Dividend</c:v>
          </c:tx>
          <c:spPr>
            <a:solidFill>
              <a:schemeClr val="accent5">
                <a:lumMod val="60000"/>
              </a:schemeClr>
            </a:solidFill>
            <a:ln>
              <a:noFill/>
            </a:ln>
            <a:effectLst/>
          </c:spPr>
          <c:invertIfNegative val="0"/>
          <c:val>
            <c:numRef>
              <c:f>Finratios!$K$12</c:f>
              <c:numCache>
                <c:formatCode>0.00</c:formatCode>
                <c:ptCount val="1"/>
                <c:pt idx="0">
                  <c:v>2.5878136819273507</c:v>
                </c:pt>
              </c:numCache>
            </c:numRef>
          </c:val>
          <c:extLst>
            <c:ext xmlns:c16="http://schemas.microsoft.com/office/drawing/2014/chart" uri="{C3380CC4-5D6E-409C-BE32-E72D297353CC}">
              <c16:uniqueId val="{0000000F-2B44-4644-BB1F-C69F61B6A486}"/>
            </c:ext>
          </c:extLst>
        </c:ser>
        <c:ser>
          <c:idx val="3"/>
          <c:order val="4"/>
          <c:tx>
            <c:v>2025</c:v>
          </c:tx>
          <c:spPr>
            <a:solidFill>
              <a:schemeClr val="accent4"/>
            </a:solidFill>
            <a:ln>
              <a:noFill/>
            </a:ln>
            <a:effectLst/>
          </c:spPr>
          <c:invertIfNegative val="0"/>
          <c:val>
            <c:numRef>
              <c:f>Finratios!$J$11</c:f>
              <c:numCache>
                <c:formatCode>0.00</c:formatCode>
                <c:ptCount val="1"/>
                <c:pt idx="0">
                  <c:v>7.7084877524773656</c:v>
                </c:pt>
              </c:numCache>
            </c:numRef>
          </c:val>
          <c:extLst>
            <c:ext xmlns:c16="http://schemas.microsoft.com/office/drawing/2014/chart" uri="{C3380CC4-5D6E-409C-BE32-E72D297353CC}">
              <c16:uniqueId val="{00000008-2B44-4644-BB1F-C69F61B6A486}"/>
            </c:ext>
          </c:extLst>
        </c:ser>
        <c:ser>
          <c:idx val="9"/>
          <c:order val="5"/>
          <c:tx>
            <c:v>2025 Dividend</c:v>
          </c:tx>
          <c:spPr>
            <a:solidFill>
              <a:schemeClr val="accent4">
                <a:lumMod val="60000"/>
              </a:schemeClr>
            </a:solidFill>
            <a:ln>
              <a:noFill/>
            </a:ln>
            <a:effectLst/>
          </c:spPr>
          <c:invertIfNegative val="0"/>
          <c:val>
            <c:numRef>
              <c:f>Finratios!$J$12</c:f>
              <c:numCache>
                <c:formatCode>0.00</c:formatCode>
                <c:ptCount val="1"/>
                <c:pt idx="0">
                  <c:v>2.3167265606225849</c:v>
                </c:pt>
              </c:numCache>
            </c:numRef>
          </c:val>
          <c:extLst>
            <c:ext xmlns:c16="http://schemas.microsoft.com/office/drawing/2014/chart" uri="{C3380CC4-5D6E-409C-BE32-E72D297353CC}">
              <c16:uniqueId val="{0000000E-2B44-4644-BB1F-C69F61B6A486}"/>
            </c:ext>
          </c:extLst>
        </c:ser>
        <c:ser>
          <c:idx val="2"/>
          <c:order val="6"/>
          <c:tx>
            <c:v>2024</c:v>
          </c:tx>
          <c:spPr>
            <a:solidFill>
              <a:schemeClr val="accent3"/>
            </a:solidFill>
            <a:ln>
              <a:noFill/>
            </a:ln>
            <a:effectLst/>
          </c:spPr>
          <c:invertIfNegative val="0"/>
          <c:val>
            <c:numRef>
              <c:f>Finratios!$I$11</c:f>
              <c:numCache>
                <c:formatCode>0.00</c:formatCode>
                <c:ptCount val="1"/>
                <c:pt idx="0">
                  <c:v>6.8825199065216909</c:v>
                </c:pt>
              </c:numCache>
            </c:numRef>
          </c:val>
          <c:extLst>
            <c:ext xmlns:c16="http://schemas.microsoft.com/office/drawing/2014/chart" uri="{C3380CC4-5D6E-409C-BE32-E72D297353CC}">
              <c16:uniqueId val="{00000007-2B44-4644-BB1F-C69F61B6A486}"/>
            </c:ext>
          </c:extLst>
        </c:ser>
        <c:ser>
          <c:idx val="8"/>
          <c:order val="7"/>
          <c:tx>
            <c:v>2024 Dividend</c:v>
          </c:tx>
          <c:spPr>
            <a:solidFill>
              <a:schemeClr val="accent3">
                <a:lumMod val="60000"/>
              </a:schemeClr>
            </a:solidFill>
            <a:ln>
              <a:noFill/>
            </a:ln>
            <a:effectLst/>
          </c:spPr>
          <c:invertIfNegative val="0"/>
          <c:val>
            <c:numRef>
              <c:f>Finratios!$I$12</c:f>
              <c:numCache>
                <c:formatCode>0.00</c:formatCode>
                <c:ptCount val="1"/>
                <c:pt idx="0">
                  <c:v>2.0684882928338397</c:v>
                </c:pt>
              </c:numCache>
            </c:numRef>
          </c:val>
          <c:extLst>
            <c:ext xmlns:c16="http://schemas.microsoft.com/office/drawing/2014/chart" uri="{C3380CC4-5D6E-409C-BE32-E72D297353CC}">
              <c16:uniqueId val="{0000000D-2B44-4644-BB1F-C69F61B6A486}"/>
            </c:ext>
          </c:extLst>
        </c:ser>
        <c:ser>
          <c:idx val="1"/>
          <c:order val="8"/>
          <c:tx>
            <c:v>2023</c:v>
          </c:tx>
          <c:spPr>
            <a:solidFill>
              <a:schemeClr val="accent2"/>
            </a:solidFill>
            <a:ln>
              <a:noFill/>
            </a:ln>
            <a:effectLst/>
          </c:spPr>
          <c:invertIfNegative val="0"/>
          <c:val>
            <c:numRef>
              <c:f>Finratios!$H$11</c:f>
              <c:numCache>
                <c:formatCode>0.00</c:formatCode>
                <c:ptCount val="1"/>
                <c:pt idx="0">
                  <c:v>6.1263635739483018</c:v>
                </c:pt>
              </c:numCache>
            </c:numRef>
          </c:val>
          <c:extLst>
            <c:ext xmlns:c16="http://schemas.microsoft.com/office/drawing/2014/chart" uri="{C3380CC4-5D6E-409C-BE32-E72D297353CC}">
              <c16:uniqueId val="{00000006-2B44-4644-BB1F-C69F61B6A486}"/>
            </c:ext>
          </c:extLst>
        </c:ser>
        <c:ser>
          <c:idx val="7"/>
          <c:order val="9"/>
          <c:tx>
            <c:v>2023 Dividend</c:v>
          </c:tx>
          <c:spPr>
            <a:solidFill>
              <a:schemeClr val="accent2">
                <a:lumMod val="60000"/>
              </a:schemeClr>
            </a:solidFill>
            <a:ln>
              <a:noFill/>
            </a:ln>
            <a:effectLst/>
          </c:spPr>
          <c:invertIfNegative val="0"/>
          <c:val>
            <c:numRef>
              <c:f>Finratios!$H$12</c:f>
              <c:numCache>
                <c:formatCode>0.00</c:formatCode>
                <c:ptCount val="1"/>
                <c:pt idx="0">
                  <c:v>1.8412313371368245</c:v>
                </c:pt>
              </c:numCache>
            </c:numRef>
          </c:val>
          <c:extLst>
            <c:ext xmlns:c16="http://schemas.microsoft.com/office/drawing/2014/chart" uri="{C3380CC4-5D6E-409C-BE32-E72D297353CC}">
              <c16:uniqueId val="{0000000C-2B44-4644-BB1F-C69F61B6A486}"/>
            </c:ext>
          </c:extLst>
        </c:ser>
        <c:ser>
          <c:idx val="0"/>
          <c:order val="10"/>
          <c:tx>
            <c:v>2022</c:v>
          </c:tx>
          <c:spPr>
            <a:solidFill>
              <a:schemeClr val="accent1"/>
            </a:solidFill>
            <a:ln>
              <a:noFill/>
            </a:ln>
            <a:effectLst/>
          </c:spPr>
          <c:invertIfNegative val="0"/>
          <c:val>
            <c:numRef>
              <c:f>Finratios!$F$11</c:f>
              <c:numCache>
                <c:formatCode>0.00</c:formatCode>
                <c:ptCount val="1"/>
                <c:pt idx="0">
                  <c:v>7.2688039457459928</c:v>
                </c:pt>
              </c:numCache>
            </c:numRef>
          </c:val>
          <c:extLst>
            <c:ext xmlns:c16="http://schemas.microsoft.com/office/drawing/2014/chart" uri="{C3380CC4-5D6E-409C-BE32-E72D297353CC}">
              <c16:uniqueId val="{00000005-2B44-4644-BB1F-C69F61B6A486}"/>
            </c:ext>
          </c:extLst>
        </c:ser>
        <c:ser>
          <c:idx val="6"/>
          <c:order val="11"/>
          <c:tx>
            <c:v>2022 Dividend</c:v>
          </c:tx>
          <c:spPr>
            <a:solidFill>
              <a:schemeClr val="accent1">
                <a:lumMod val="60000"/>
              </a:schemeClr>
            </a:solidFill>
            <a:ln>
              <a:noFill/>
            </a:ln>
            <a:effectLst/>
          </c:spPr>
          <c:invertIfNegative val="0"/>
          <c:val>
            <c:numRef>
              <c:f>Finratios!$F$12</c:f>
              <c:numCache>
                <c:formatCode>0.00</c:formatCode>
                <c:ptCount val="1"/>
                <c:pt idx="0">
                  <c:v>0.98951911220715172</c:v>
                </c:pt>
              </c:numCache>
            </c:numRef>
          </c:val>
          <c:extLst>
            <c:ext xmlns:c16="http://schemas.microsoft.com/office/drawing/2014/chart" uri="{C3380CC4-5D6E-409C-BE32-E72D297353CC}">
              <c16:uniqueId val="{0000000B-2B44-4644-BB1F-C69F61B6A486}"/>
            </c:ext>
          </c:extLst>
        </c:ser>
        <c:dLbls>
          <c:showLegendKey val="0"/>
          <c:showVal val="0"/>
          <c:showCatName val="0"/>
          <c:showSerName val="0"/>
          <c:showPercent val="0"/>
          <c:showBubbleSize val="0"/>
        </c:dLbls>
        <c:gapWidth val="150"/>
        <c:overlap val="-60"/>
        <c:axId val="1232757824"/>
        <c:axId val="1232759552"/>
      </c:barChart>
      <c:catAx>
        <c:axId val="1232757824"/>
        <c:scaling>
          <c:orientation val="minMax"/>
        </c:scaling>
        <c:delete val="1"/>
        <c:axPos val="l"/>
        <c:numFmt formatCode="General" sourceLinked="1"/>
        <c:majorTickMark val="none"/>
        <c:minorTickMark val="none"/>
        <c:tickLblPos val="nextTo"/>
        <c:crossAx val="1232759552"/>
        <c:crosses val="autoZero"/>
        <c:auto val="1"/>
        <c:lblAlgn val="ctr"/>
        <c:lblOffset val="100"/>
        <c:noMultiLvlLbl val="0"/>
      </c:catAx>
      <c:valAx>
        <c:axId val="12327595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7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v>Max</c:v>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C04A-5240-B104-08BF318F9659}"/>
              </c:ext>
            </c:extLst>
          </c:dPt>
          <c:dLbls>
            <c:dLbl>
              <c:idx val="2"/>
              <c:layout>
                <c:manualLayout>
                  <c:x val="-4.1834002677376171E-2"/>
                  <c:y val="-3.05623471882640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4A-5240-B104-08BF318F9659}"/>
                </c:ext>
              </c:extLst>
            </c:dLbl>
            <c:numFmt formatCode="&quot;$&quot;#,##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(2)'!$A$12:$A$14,'Valuation Conclusion (2)'!$A$17)</c:f>
              <c:strCache>
                <c:ptCount val="4"/>
                <c:pt idx="0">
                  <c:v>Full Proforma DCF</c:v>
                </c:pt>
                <c:pt idx="1">
                  <c:v>Simplified Proforma DCF</c:v>
                </c:pt>
                <c:pt idx="2">
                  <c:v>Multiples</c:v>
                </c:pt>
                <c:pt idx="3">
                  <c:v>Determined Valuation Range</c:v>
                </c:pt>
              </c:strCache>
            </c:strRef>
          </c:cat>
          <c:val>
            <c:numRef>
              <c:f>('Valuation Conclusion (2)'!$C$12:$C$14,'Valuation Conclusion (2)'!$C$17)</c:f>
              <c:numCache>
                <c:formatCode>0.00</c:formatCode>
                <c:ptCount val="4"/>
                <c:pt idx="0" formatCode="_(* #,##0.00_);_(* \(#,##0.00\);_(* &quot;-&quot;??_);_(@_)">
                  <c:v>206.75354394648406</c:v>
                </c:pt>
                <c:pt idx="1">
                  <c:v>321.32429991956087</c:v>
                </c:pt>
                <c:pt idx="2">
                  <c:v>173.44233351236173</c:v>
                </c:pt>
                <c:pt idx="3">
                  <c:v>209.78189290794359</c:v>
                </c:pt>
              </c:numCache>
            </c:numRef>
          </c:val>
          <c:extLst>
            <c:ext xmlns:c16="http://schemas.microsoft.com/office/drawing/2014/chart" uri="{C3380CC4-5D6E-409C-BE32-E72D297353CC}">
              <c16:uniqueId val="{00000002-C04A-5240-B104-08BF318F9659}"/>
            </c:ext>
          </c:extLst>
        </c:ser>
        <c:ser>
          <c:idx val="0"/>
          <c:order val="1"/>
          <c:tx>
            <c:v>Min</c:v>
          </c:tx>
          <c:spPr>
            <a:solidFill>
              <a:schemeClr val="bg1"/>
            </a:solidFill>
            <a:ln>
              <a:noFill/>
            </a:ln>
            <a:effectLst/>
          </c:spPr>
          <c:invertIfNegative val="0"/>
          <c:dLbls>
            <c:numFmt formatCode="&quot;$&quot;#,##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(2)'!$A$12:$A$14,'Valuation Conclusion (2)'!$A$17)</c:f>
              <c:strCache>
                <c:ptCount val="4"/>
                <c:pt idx="0">
                  <c:v>Full Proforma DCF</c:v>
                </c:pt>
                <c:pt idx="1">
                  <c:v>Simplified Proforma DCF</c:v>
                </c:pt>
                <c:pt idx="2">
                  <c:v>Multiples</c:v>
                </c:pt>
                <c:pt idx="3">
                  <c:v>Determined Valuation Range</c:v>
                </c:pt>
              </c:strCache>
            </c:strRef>
          </c:cat>
          <c:val>
            <c:numRef>
              <c:f>('Valuation Conclusion (2)'!$B$12:$B$14,'Valuation Conclusion (2)'!$B$17)</c:f>
              <c:numCache>
                <c:formatCode>0.00</c:formatCode>
                <c:ptCount val="4"/>
                <c:pt idx="0" formatCode="_(* #,##0.00_);_(* \(#,##0.00\);_(* &quot;-&quot;??_);_(@_)">
                  <c:v>144.02919309308641</c:v>
                </c:pt>
                <c:pt idx="1">
                  <c:v>230.65101034806432</c:v>
                </c:pt>
                <c:pt idx="2">
                  <c:v>147.96419469365972</c:v>
                </c:pt>
                <c:pt idx="3">
                  <c:v>158.69484136157672</c:v>
                </c:pt>
              </c:numCache>
            </c:numRef>
          </c:val>
          <c:extLst>
            <c:ext xmlns:c16="http://schemas.microsoft.com/office/drawing/2014/chart" uri="{C3380CC4-5D6E-409C-BE32-E72D297353CC}">
              <c16:uniqueId val="{00000003-C04A-5240-B104-08BF318F9659}"/>
            </c:ext>
          </c:extLst>
        </c:ser>
        <c:dLbls>
          <c:showLegendKey val="0"/>
          <c:showVal val="0"/>
          <c:showCatName val="0"/>
          <c:showSerName val="0"/>
          <c:showPercent val="0"/>
          <c:showBubbleSize val="0"/>
        </c:dLbls>
        <c:gapWidth val="182"/>
        <c:overlap val="100"/>
        <c:axId val="1970166671"/>
        <c:axId val="1970168399"/>
      </c:barChart>
      <c:catAx>
        <c:axId val="197016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970168399"/>
        <c:crosses val="autoZero"/>
        <c:auto val="1"/>
        <c:lblAlgn val="ctr"/>
        <c:lblOffset val="100"/>
        <c:noMultiLvlLbl val="0"/>
      </c:catAx>
      <c:valAx>
        <c:axId val="1970168399"/>
        <c:scaling>
          <c:orientation val="minMax"/>
          <c:max val="350"/>
          <c:min val="130"/>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97016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'Valuation Conclusion Risks'!$M$38</c:f>
              <c:strCache>
                <c:ptCount val="1"/>
                <c:pt idx="0">
                  <c:v>Weight of Full Proforma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Risks'!$L$39:$L$41</c:f>
              <c:strCache>
                <c:ptCount val="3"/>
                <c:pt idx="0">
                  <c:v>Neutural</c:v>
                </c:pt>
                <c:pt idx="1">
                  <c:v>Optimistic</c:v>
                </c:pt>
                <c:pt idx="2">
                  <c:v>Pessimistic</c:v>
                </c:pt>
              </c:strCache>
            </c:strRef>
          </c:cat>
          <c:val>
            <c:numRef>
              <c:f>'Valuation Conclusion Risks'!$M$39:$M$41</c:f>
              <c:numCache>
                <c:formatCode>0%</c:formatCode>
                <c:ptCount val="3"/>
                <c:pt idx="0">
                  <c:v>-0.41399999999999998</c:v>
                </c:pt>
                <c:pt idx="1">
                  <c:v>-0.36</c:v>
                </c:pt>
                <c:pt idx="2" formatCode="0.00%">
                  <c:v>-0.52500000000000002</c:v>
                </c:pt>
              </c:numCache>
            </c:numRef>
          </c:val>
          <c:extLst>
            <c:ext xmlns:c16="http://schemas.microsoft.com/office/drawing/2014/chart" uri="{C3380CC4-5D6E-409C-BE32-E72D297353CC}">
              <c16:uniqueId val="{00000000-30CC-264F-9DE2-316C67285EB9}"/>
            </c:ext>
          </c:extLst>
        </c:ser>
        <c:ser>
          <c:idx val="1"/>
          <c:order val="1"/>
          <c:tx>
            <c:strRef>
              <c:f>'Valuation Conclusion Risks'!$N$38</c:f>
              <c:strCache>
                <c:ptCount val="1"/>
                <c:pt idx="0">
                  <c:v>Correlation Full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Risks'!$L$39:$L$41</c:f>
              <c:strCache>
                <c:ptCount val="3"/>
                <c:pt idx="0">
                  <c:v>Neutural</c:v>
                </c:pt>
                <c:pt idx="1">
                  <c:v>Optimistic</c:v>
                </c:pt>
                <c:pt idx="2">
                  <c:v>Pessimistic</c:v>
                </c:pt>
              </c:strCache>
            </c:strRef>
          </c:cat>
          <c:val>
            <c:numRef>
              <c:f>'Valuation Conclusion Risks'!$N$39:$N$41</c:f>
              <c:numCache>
                <c:formatCode>0.00</c:formatCode>
                <c:ptCount val="3"/>
                <c:pt idx="0">
                  <c:v>-0.64</c:v>
                </c:pt>
                <c:pt idx="1">
                  <c:v>-0.6</c:v>
                </c:pt>
                <c:pt idx="2">
                  <c:v>-0.71</c:v>
                </c:pt>
              </c:numCache>
            </c:numRef>
          </c:val>
          <c:extLst>
            <c:ext xmlns:c16="http://schemas.microsoft.com/office/drawing/2014/chart" uri="{C3380CC4-5D6E-409C-BE32-E72D297353CC}">
              <c16:uniqueId val="{00000001-30CC-264F-9DE2-316C67285EB9}"/>
            </c:ext>
          </c:extLst>
        </c:ser>
        <c:ser>
          <c:idx val="2"/>
          <c:order val="2"/>
          <c:tx>
            <c:strRef>
              <c:f>'Valuation Conclusion Risks'!$O$38</c:f>
              <c:strCache>
                <c:ptCount val="1"/>
                <c:pt idx="0">
                  <c:v>Weight of Multiples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'Valuation Conclusion Risks'!$O$39:$O$41</c:f>
              <c:numCache>
                <c:formatCode>0.00%</c:formatCode>
                <c:ptCount val="3"/>
                <c:pt idx="0" formatCode="0%">
                  <c:v>-0.55900000000000005</c:v>
                </c:pt>
                <c:pt idx="1">
                  <c:v>-0.60799999999999998</c:v>
                </c:pt>
                <c:pt idx="2">
                  <c:v>-0.44800000000000001</c:v>
                </c:pt>
              </c:numCache>
            </c:numRef>
          </c:val>
          <c:extLst>
            <c:ext xmlns:c16="http://schemas.microsoft.com/office/drawing/2014/chart" uri="{C3380CC4-5D6E-409C-BE32-E72D297353CC}">
              <c16:uniqueId val="{00000002-30CC-264F-9DE2-316C67285EB9}"/>
            </c:ext>
          </c:extLst>
        </c:ser>
        <c:ser>
          <c:idx val="3"/>
          <c:order val="3"/>
          <c:tx>
            <c:strRef>
              <c:f>'Valuation Conclusion Risks'!$P$38</c:f>
              <c:strCache>
                <c:ptCount val="1"/>
                <c:pt idx="0">
                  <c:v>Correlation Multiple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'Valuation Conclusion Risks'!$P$39:$P$41</c:f>
              <c:numCache>
                <c:formatCode>0.00</c:formatCode>
                <c:ptCount val="3"/>
                <c:pt idx="0">
                  <c:v>-0.74</c:v>
                </c:pt>
                <c:pt idx="1">
                  <c:v>-0.78</c:v>
                </c:pt>
                <c:pt idx="2">
                  <c:v>-0.66</c:v>
                </c:pt>
              </c:numCache>
            </c:numRef>
          </c:val>
          <c:extLst>
            <c:ext xmlns:c16="http://schemas.microsoft.com/office/drawing/2014/chart" uri="{C3380CC4-5D6E-409C-BE32-E72D297353CC}">
              <c16:uniqueId val="{00000003-30CC-264F-9DE2-316C67285EB9}"/>
            </c:ext>
          </c:extLst>
        </c:ser>
        <c:ser>
          <c:idx val="4"/>
          <c:order val="4"/>
          <c:tx>
            <c:strRef>
              <c:f>'Valuation Conclusion Risks'!$Q$38</c:f>
              <c:strCache>
                <c:ptCount val="1"/>
                <c:pt idx="0">
                  <c:v>Weight of Simplified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'Valuation Conclusion Risks'!$Q$39:$Q$41</c:f>
              <c:numCache>
                <c:formatCode>General</c:formatCode>
                <c:ptCount val="3"/>
                <c:pt idx="0">
                  <c:v>0</c:v>
                </c:pt>
                <c:pt idx="1">
                  <c:v>0</c:v>
                </c:pt>
                <c:pt idx="2">
                  <c:v>0</c:v>
                </c:pt>
              </c:numCache>
            </c:numRef>
          </c:val>
          <c:extLst>
            <c:ext xmlns:c16="http://schemas.microsoft.com/office/drawing/2014/chart" uri="{C3380CC4-5D6E-409C-BE32-E72D297353CC}">
              <c16:uniqueId val="{00000004-30CC-264F-9DE2-316C67285EB9}"/>
            </c:ext>
          </c:extLst>
        </c:ser>
        <c:ser>
          <c:idx val="5"/>
          <c:order val="5"/>
          <c:tx>
            <c:strRef>
              <c:f>'Valuation Conclusion Risks'!$R$38</c:f>
              <c:strCache>
                <c:ptCount val="1"/>
                <c:pt idx="0">
                  <c:v>Correlation Simplifed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'Valuation Conclusion Risks'!$R$39:$R$41</c:f>
              <c:numCache>
                <c:formatCode>General</c:formatCode>
                <c:ptCount val="3"/>
                <c:pt idx="0">
                  <c:v>0</c:v>
                </c:pt>
                <c:pt idx="1">
                  <c:v>0</c:v>
                </c:pt>
                <c:pt idx="2">
                  <c:v>0</c:v>
                </c:pt>
              </c:numCache>
            </c:numRef>
          </c:val>
          <c:extLst>
            <c:ext xmlns:c16="http://schemas.microsoft.com/office/drawing/2014/chart" uri="{C3380CC4-5D6E-409C-BE32-E72D297353CC}">
              <c16:uniqueId val="{00000005-30CC-264F-9DE2-316C67285EB9}"/>
            </c:ext>
          </c:extLst>
        </c:ser>
        <c:dLbls>
          <c:dLblPos val="outEnd"/>
          <c:showLegendKey val="0"/>
          <c:showVal val="1"/>
          <c:showCatName val="0"/>
          <c:showSerName val="0"/>
          <c:showPercent val="0"/>
          <c:showBubbleSize val="0"/>
        </c:dLbls>
        <c:gapWidth val="182"/>
        <c:axId val="1141882368"/>
        <c:axId val="1569333712"/>
      </c:barChart>
      <c:catAx>
        <c:axId val="1141882368"/>
        <c:scaling>
          <c:orientation val="minMax"/>
        </c:scaling>
        <c:delete val="0"/>
        <c:axPos val="l"/>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569333712"/>
        <c:crosses val="autoZero"/>
        <c:auto val="1"/>
        <c:lblAlgn val="ctr"/>
        <c:lblOffset val="100"/>
        <c:noMultiLvlLbl val="0"/>
      </c:catAx>
      <c:valAx>
        <c:axId val="1569333712"/>
        <c:scaling>
          <c:orientation val="minMax"/>
        </c:scaling>
        <c:delete val="1"/>
        <c:axPos val="b"/>
        <c:numFmt formatCode="0%" sourceLinked="1"/>
        <c:majorTickMark val="none"/>
        <c:minorTickMark val="none"/>
        <c:tickLblPos val="nextTo"/>
        <c:crossAx val="114188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Garamond" panose="02020404030301010803" pitchFamily="18"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Valuation</a:t>
            </a:r>
            <a:r>
              <a:rPr lang="zh-CN" altLang="en-US" baseline="0"/>
              <a:t> </a:t>
            </a:r>
            <a:r>
              <a:rPr lang="en-US" altLang="zh-CN" baseline="0"/>
              <a:t>Summary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0"/>
          <c:tx>
            <c:v>Max</c:v>
          </c:tx>
          <c:spPr>
            <a:solidFill>
              <a:schemeClr val="accent2"/>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8818-BA4F-9618-6DC09567299A}"/>
              </c:ext>
            </c:extLst>
          </c:dPt>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(2)'!$A$12:$A$14,'Valuation Conclusion (2)'!$A$17)</c:f>
              <c:strCache>
                <c:ptCount val="4"/>
                <c:pt idx="0">
                  <c:v>Full Proforma DCF</c:v>
                </c:pt>
                <c:pt idx="1">
                  <c:v>Simplified Proforma DCF</c:v>
                </c:pt>
                <c:pt idx="2">
                  <c:v>Multiples</c:v>
                </c:pt>
                <c:pt idx="3">
                  <c:v>Determined Valuation Range</c:v>
                </c:pt>
              </c:strCache>
            </c:strRef>
          </c:cat>
          <c:val>
            <c:numRef>
              <c:f>('Valuation Conclusion (2)'!$C$12:$C$14,'Valuation Conclusion (2)'!$C$17)</c:f>
              <c:numCache>
                <c:formatCode>0.00</c:formatCode>
                <c:ptCount val="4"/>
                <c:pt idx="0" formatCode="_(* #,##0.00_);_(* \(#,##0.00\);_(* &quot;-&quot;??_);_(@_)">
                  <c:v>206.75354394648406</c:v>
                </c:pt>
                <c:pt idx="1">
                  <c:v>321.32429991956087</c:v>
                </c:pt>
                <c:pt idx="2">
                  <c:v>173.44233351236173</c:v>
                </c:pt>
                <c:pt idx="3">
                  <c:v>209.78189290794359</c:v>
                </c:pt>
              </c:numCache>
            </c:numRef>
          </c:val>
          <c:extLst>
            <c:ext xmlns:c16="http://schemas.microsoft.com/office/drawing/2014/chart" uri="{C3380CC4-5D6E-409C-BE32-E72D297353CC}">
              <c16:uniqueId val="{00000001-8818-BA4F-9618-6DC09567299A}"/>
            </c:ext>
          </c:extLst>
        </c:ser>
        <c:ser>
          <c:idx val="0"/>
          <c:order val="1"/>
          <c:tx>
            <c:v>Min</c:v>
          </c:tx>
          <c:spPr>
            <a:solidFill>
              <a:schemeClr val="bg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('Valuation Conclusion (2)'!$A$12:$A$14,'Valuation Conclusion (2)'!$A$17)</c:f>
              <c:strCache>
                <c:ptCount val="4"/>
                <c:pt idx="0">
                  <c:v>Full Proforma DCF</c:v>
                </c:pt>
                <c:pt idx="1">
                  <c:v>Simplified Proforma DCF</c:v>
                </c:pt>
                <c:pt idx="2">
                  <c:v>Multiples</c:v>
                </c:pt>
                <c:pt idx="3">
                  <c:v>Determined Valuation Range</c:v>
                </c:pt>
              </c:strCache>
            </c:strRef>
          </c:cat>
          <c:val>
            <c:numRef>
              <c:f>('Valuation Conclusion (2)'!$B$12:$B$14,'Valuation Conclusion (2)'!$B$17)</c:f>
              <c:numCache>
                <c:formatCode>0.00</c:formatCode>
                <c:ptCount val="4"/>
                <c:pt idx="0" formatCode="_(* #,##0.00_);_(* \(#,##0.00\);_(* &quot;-&quot;??_);_(@_)">
                  <c:v>144.02919309308641</c:v>
                </c:pt>
                <c:pt idx="1">
                  <c:v>230.65101034806432</c:v>
                </c:pt>
                <c:pt idx="2">
                  <c:v>147.96419469365972</c:v>
                </c:pt>
                <c:pt idx="3">
                  <c:v>158.69484136157672</c:v>
                </c:pt>
              </c:numCache>
            </c:numRef>
          </c:val>
          <c:extLst>
            <c:ext xmlns:c16="http://schemas.microsoft.com/office/drawing/2014/chart" uri="{C3380CC4-5D6E-409C-BE32-E72D297353CC}">
              <c16:uniqueId val="{00000000-8818-BA4F-9618-6DC09567299A}"/>
            </c:ext>
          </c:extLst>
        </c:ser>
        <c:dLbls>
          <c:showLegendKey val="0"/>
          <c:showVal val="0"/>
          <c:showCatName val="0"/>
          <c:showSerName val="0"/>
          <c:showPercent val="0"/>
          <c:showBubbleSize val="0"/>
        </c:dLbls>
        <c:gapWidth val="182"/>
        <c:overlap val="100"/>
        <c:axId val="1970166671"/>
        <c:axId val="1970168399"/>
      </c:barChart>
      <c:catAx>
        <c:axId val="197016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68399"/>
        <c:crosses val="autoZero"/>
        <c:auto val="1"/>
        <c:lblAlgn val="ctr"/>
        <c:lblOffset val="100"/>
        <c:noMultiLvlLbl val="0"/>
      </c:catAx>
      <c:valAx>
        <c:axId val="1970168399"/>
        <c:scaling>
          <c:orientation val="minMax"/>
          <c:max val="350"/>
          <c:min val="130"/>
        </c:scaling>
        <c:delete val="0"/>
        <c:axPos val="b"/>
        <c:numFmt formatCode="_(&quot;$&quot;* #,##0.00_);_(&quot;$&quot;* \(#,##0.0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016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chart" Target="../charts/chart8.xml"/><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4.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24.png"/><Relationship Id="rId21" Type="http://schemas.openxmlformats.org/officeDocument/2006/relationships/image" Target="../media/image42.png"/><Relationship Id="rId34" Type="http://schemas.openxmlformats.org/officeDocument/2006/relationships/image" Target="../media/image55.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29" Type="http://schemas.openxmlformats.org/officeDocument/2006/relationships/image" Target="../media/image50.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53.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10" Type="http://schemas.openxmlformats.org/officeDocument/2006/relationships/image" Target="../media/image31.png"/><Relationship Id="rId19" Type="http://schemas.openxmlformats.org/officeDocument/2006/relationships/image" Target="../media/image40.png"/><Relationship Id="rId31" Type="http://schemas.openxmlformats.org/officeDocument/2006/relationships/image" Target="../media/image52.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8" Type="http://schemas.openxmlformats.org/officeDocument/2006/relationships/image" Target="../media/image29.png"/></Relationships>
</file>

<file path=xl/drawings/_rels/drawing7.xml.rels><?xml version="1.0" encoding="UTF-8" standalone="yes"?>
<Relationships xmlns="http://schemas.openxmlformats.org/package/2006/relationships"><Relationship Id="rId26" Type="http://schemas.openxmlformats.org/officeDocument/2006/relationships/image" Target="../media/image47.png"/><Relationship Id="rId21" Type="http://schemas.openxmlformats.org/officeDocument/2006/relationships/image" Target="../media/image42.png"/><Relationship Id="rId42" Type="http://schemas.openxmlformats.org/officeDocument/2006/relationships/image" Target="../media/image67.png"/><Relationship Id="rId47" Type="http://schemas.openxmlformats.org/officeDocument/2006/relationships/image" Target="../media/image72.png"/><Relationship Id="rId63" Type="http://schemas.openxmlformats.org/officeDocument/2006/relationships/image" Target="../media/image88.png"/><Relationship Id="rId68" Type="http://schemas.openxmlformats.org/officeDocument/2006/relationships/image" Target="../media/image93.png"/><Relationship Id="rId84" Type="http://schemas.openxmlformats.org/officeDocument/2006/relationships/image" Target="../media/image109.png"/><Relationship Id="rId89" Type="http://schemas.openxmlformats.org/officeDocument/2006/relationships/image" Target="../media/image114.png"/><Relationship Id="rId16" Type="http://schemas.openxmlformats.org/officeDocument/2006/relationships/image" Target="../media/image37.png"/><Relationship Id="rId11" Type="http://schemas.openxmlformats.org/officeDocument/2006/relationships/image" Target="../media/image32.png"/><Relationship Id="rId32" Type="http://schemas.openxmlformats.org/officeDocument/2006/relationships/image" Target="../media/image53.png"/><Relationship Id="rId37" Type="http://schemas.openxmlformats.org/officeDocument/2006/relationships/image" Target="../media/image62.png"/><Relationship Id="rId53" Type="http://schemas.openxmlformats.org/officeDocument/2006/relationships/image" Target="../media/image78.png"/><Relationship Id="rId58" Type="http://schemas.openxmlformats.org/officeDocument/2006/relationships/image" Target="../media/image83.png"/><Relationship Id="rId74" Type="http://schemas.openxmlformats.org/officeDocument/2006/relationships/image" Target="../media/image99.png"/><Relationship Id="rId79" Type="http://schemas.openxmlformats.org/officeDocument/2006/relationships/image" Target="../media/image104.png"/><Relationship Id="rId5" Type="http://schemas.openxmlformats.org/officeDocument/2006/relationships/image" Target="../media/image26.png"/><Relationship Id="rId90" Type="http://schemas.openxmlformats.org/officeDocument/2006/relationships/image" Target="../media/image115.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35" Type="http://schemas.openxmlformats.org/officeDocument/2006/relationships/image" Target="../media/image60.png"/><Relationship Id="rId43" Type="http://schemas.openxmlformats.org/officeDocument/2006/relationships/image" Target="../media/image68.png"/><Relationship Id="rId48" Type="http://schemas.openxmlformats.org/officeDocument/2006/relationships/image" Target="../media/image73.png"/><Relationship Id="rId56" Type="http://schemas.openxmlformats.org/officeDocument/2006/relationships/image" Target="../media/image81.png"/><Relationship Id="rId64" Type="http://schemas.openxmlformats.org/officeDocument/2006/relationships/image" Target="../media/image89.png"/><Relationship Id="rId69" Type="http://schemas.openxmlformats.org/officeDocument/2006/relationships/image" Target="../media/image94.png"/><Relationship Id="rId77" Type="http://schemas.openxmlformats.org/officeDocument/2006/relationships/image" Target="../media/image102.png"/><Relationship Id="rId8" Type="http://schemas.openxmlformats.org/officeDocument/2006/relationships/image" Target="../media/image29.png"/><Relationship Id="rId51" Type="http://schemas.openxmlformats.org/officeDocument/2006/relationships/image" Target="../media/image76.png"/><Relationship Id="rId72" Type="http://schemas.openxmlformats.org/officeDocument/2006/relationships/image" Target="../media/image97.png"/><Relationship Id="rId80" Type="http://schemas.openxmlformats.org/officeDocument/2006/relationships/image" Target="../media/image105.png"/><Relationship Id="rId85" Type="http://schemas.openxmlformats.org/officeDocument/2006/relationships/image" Target="../media/image110.png"/><Relationship Id="rId3" Type="http://schemas.openxmlformats.org/officeDocument/2006/relationships/image" Target="../media/image58.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38" Type="http://schemas.openxmlformats.org/officeDocument/2006/relationships/image" Target="../media/image63.png"/><Relationship Id="rId46" Type="http://schemas.openxmlformats.org/officeDocument/2006/relationships/image" Target="../media/image71.png"/><Relationship Id="rId59" Type="http://schemas.openxmlformats.org/officeDocument/2006/relationships/image" Target="../media/image84.png"/><Relationship Id="rId67" Type="http://schemas.openxmlformats.org/officeDocument/2006/relationships/image" Target="../media/image92.png"/><Relationship Id="rId20" Type="http://schemas.openxmlformats.org/officeDocument/2006/relationships/image" Target="../media/image41.png"/><Relationship Id="rId41" Type="http://schemas.openxmlformats.org/officeDocument/2006/relationships/image" Target="../media/image66.png"/><Relationship Id="rId54" Type="http://schemas.openxmlformats.org/officeDocument/2006/relationships/image" Target="../media/image79.png"/><Relationship Id="rId62" Type="http://schemas.openxmlformats.org/officeDocument/2006/relationships/image" Target="../media/image87.png"/><Relationship Id="rId70" Type="http://schemas.openxmlformats.org/officeDocument/2006/relationships/image" Target="../media/image95.png"/><Relationship Id="rId75" Type="http://schemas.openxmlformats.org/officeDocument/2006/relationships/image" Target="../media/image100.png"/><Relationship Id="rId83" Type="http://schemas.openxmlformats.org/officeDocument/2006/relationships/image" Target="../media/image108.png"/><Relationship Id="rId88" Type="http://schemas.openxmlformats.org/officeDocument/2006/relationships/image" Target="../media/image113.png"/><Relationship Id="rId91" Type="http://schemas.openxmlformats.org/officeDocument/2006/relationships/image" Target="../media/image116.png"/><Relationship Id="rId1" Type="http://schemas.openxmlformats.org/officeDocument/2006/relationships/image" Target="../media/image56.png"/><Relationship Id="rId6" Type="http://schemas.openxmlformats.org/officeDocument/2006/relationships/image" Target="../media/image27.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36" Type="http://schemas.openxmlformats.org/officeDocument/2006/relationships/image" Target="../media/image61.png"/><Relationship Id="rId49" Type="http://schemas.openxmlformats.org/officeDocument/2006/relationships/image" Target="../media/image74.png"/><Relationship Id="rId57" Type="http://schemas.openxmlformats.org/officeDocument/2006/relationships/image" Target="../media/image82.png"/><Relationship Id="rId10" Type="http://schemas.openxmlformats.org/officeDocument/2006/relationships/image" Target="../media/image31.png"/><Relationship Id="rId31" Type="http://schemas.openxmlformats.org/officeDocument/2006/relationships/image" Target="../media/image52.png"/><Relationship Id="rId44" Type="http://schemas.openxmlformats.org/officeDocument/2006/relationships/image" Target="../media/image69.png"/><Relationship Id="rId52" Type="http://schemas.openxmlformats.org/officeDocument/2006/relationships/image" Target="../media/image77.png"/><Relationship Id="rId60" Type="http://schemas.openxmlformats.org/officeDocument/2006/relationships/image" Target="../media/image85.png"/><Relationship Id="rId65" Type="http://schemas.openxmlformats.org/officeDocument/2006/relationships/image" Target="../media/image90.png"/><Relationship Id="rId73" Type="http://schemas.openxmlformats.org/officeDocument/2006/relationships/image" Target="../media/image98.png"/><Relationship Id="rId78" Type="http://schemas.openxmlformats.org/officeDocument/2006/relationships/image" Target="../media/image103.png"/><Relationship Id="rId81" Type="http://schemas.openxmlformats.org/officeDocument/2006/relationships/image" Target="../media/image106.png"/><Relationship Id="rId86" Type="http://schemas.openxmlformats.org/officeDocument/2006/relationships/image" Target="../media/image111.png"/><Relationship Id="rId4" Type="http://schemas.openxmlformats.org/officeDocument/2006/relationships/image" Target="../media/image59.png"/><Relationship Id="rId9" Type="http://schemas.openxmlformats.org/officeDocument/2006/relationships/image" Target="../media/image30.png"/><Relationship Id="rId13" Type="http://schemas.openxmlformats.org/officeDocument/2006/relationships/image" Target="../media/image34.png"/><Relationship Id="rId18" Type="http://schemas.openxmlformats.org/officeDocument/2006/relationships/image" Target="../media/image39.png"/><Relationship Id="rId39" Type="http://schemas.openxmlformats.org/officeDocument/2006/relationships/image" Target="../media/image64.png"/><Relationship Id="rId34" Type="http://schemas.openxmlformats.org/officeDocument/2006/relationships/image" Target="../media/image55.png"/><Relationship Id="rId50" Type="http://schemas.openxmlformats.org/officeDocument/2006/relationships/image" Target="../media/image75.png"/><Relationship Id="rId55" Type="http://schemas.openxmlformats.org/officeDocument/2006/relationships/image" Target="../media/image80.png"/><Relationship Id="rId76" Type="http://schemas.openxmlformats.org/officeDocument/2006/relationships/image" Target="../media/image101.png"/><Relationship Id="rId7" Type="http://schemas.openxmlformats.org/officeDocument/2006/relationships/image" Target="../media/image28.png"/><Relationship Id="rId71" Type="http://schemas.openxmlformats.org/officeDocument/2006/relationships/image" Target="../media/image96.png"/><Relationship Id="rId2" Type="http://schemas.openxmlformats.org/officeDocument/2006/relationships/image" Target="../media/image57.png"/><Relationship Id="rId29" Type="http://schemas.openxmlformats.org/officeDocument/2006/relationships/image" Target="../media/image50.png"/><Relationship Id="rId24" Type="http://schemas.openxmlformats.org/officeDocument/2006/relationships/image" Target="../media/image45.png"/><Relationship Id="rId40" Type="http://schemas.openxmlformats.org/officeDocument/2006/relationships/image" Target="../media/image65.png"/><Relationship Id="rId45" Type="http://schemas.openxmlformats.org/officeDocument/2006/relationships/image" Target="../media/image70.png"/><Relationship Id="rId66" Type="http://schemas.openxmlformats.org/officeDocument/2006/relationships/image" Target="../media/image91.png"/><Relationship Id="rId87" Type="http://schemas.openxmlformats.org/officeDocument/2006/relationships/image" Target="../media/image112.png"/><Relationship Id="rId61" Type="http://schemas.openxmlformats.org/officeDocument/2006/relationships/image" Target="../media/image86.png"/><Relationship Id="rId82" Type="http://schemas.openxmlformats.org/officeDocument/2006/relationships/image" Target="../media/image107.png"/><Relationship Id="rId19" Type="http://schemas.openxmlformats.org/officeDocument/2006/relationships/image" Target="../media/image40.png"/></Relationships>
</file>

<file path=xl/drawings/_rels/drawing8.xml.rels><?xml version="1.0" encoding="UTF-8" standalone="yes"?>
<Relationships xmlns="http://schemas.openxmlformats.org/package/2006/relationships"><Relationship Id="rId26" Type="http://schemas.openxmlformats.org/officeDocument/2006/relationships/image" Target="../media/image47.png"/><Relationship Id="rId21" Type="http://schemas.openxmlformats.org/officeDocument/2006/relationships/image" Target="../media/image42.png"/><Relationship Id="rId42" Type="http://schemas.openxmlformats.org/officeDocument/2006/relationships/image" Target="../media/image67.png"/><Relationship Id="rId47" Type="http://schemas.openxmlformats.org/officeDocument/2006/relationships/image" Target="../media/image72.png"/><Relationship Id="rId63" Type="http://schemas.openxmlformats.org/officeDocument/2006/relationships/image" Target="../media/image88.png"/><Relationship Id="rId68" Type="http://schemas.openxmlformats.org/officeDocument/2006/relationships/image" Target="../media/image93.png"/><Relationship Id="rId84" Type="http://schemas.openxmlformats.org/officeDocument/2006/relationships/image" Target="../media/image109.png"/><Relationship Id="rId89" Type="http://schemas.openxmlformats.org/officeDocument/2006/relationships/image" Target="../media/image123.png"/><Relationship Id="rId16" Type="http://schemas.openxmlformats.org/officeDocument/2006/relationships/image" Target="../media/image37.png"/><Relationship Id="rId11" Type="http://schemas.openxmlformats.org/officeDocument/2006/relationships/image" Target="../media/image32.png"/><Relationship Id="rId32" Type="http://schemas.openxmlformats.org/officeDocument/2006/relationships/image" Target="../media/image53.png"/><Relationship Id="rId37" Type="http://schemas.openxmlformats.org/officeDocument/2006/relationships/image" Target="../media/image62.png"/><Relationship Id="rId53" Type="http://schemas.openxmlformats.org/officeDocument/2006/relationships/image" Target="../media/image78.png"/><Relationship Id="rId58" Type="http://schemas.openxmlformats.org/officeDocument/2006/relationships/image" Target="../media/image83.png"/><Relationship Id="rId74" Type="http://schemas.openxmlformats.org/officeDocument/2006/relationships/image" Target="../media/image99.png"/><Relationship Id="rId79" Type="http://schemas.openxmlformats.org/officeDocument/2006/relationships/image" Target="../media/image104.png"/><Relationship Id="rId5" Type="http://schemas.openxmlformats.org/officeDocument/2006/relationships/image" Target="../media/image26.png"/><Relationship Id="rId90" Type="http://schemas.openxmlformats.org/officeDocument/2006/relationships/image" Target="../media/image124.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35" Type="http://schemas.openxmlformats.org/officeDocument/2006/relationships/image" Target="../media/image60.png"/><Relationship Id="rId43" Type="http://schemas.openxmlformats.org/officeDocument/2006/relationships/image" Target="../media/image68.png"/><Relationship Id="rId48" Type="http://schemas.openxmlformats.org/officeDocument/2006/relationships/image" Target="../media/image73.png"/><Relationship Id="rId56" Type="http://schemas.openxmlformats.org/officeDocument/2006/relationships/image" Target="../media/image81.png"/><Relationship Id="rId64" Type="http://schemas.openxmlformats.org/officeDocument/2006/relationships/image" Target="../media/image89.png"/><Relationship Id="rId69" Type="http://schemas.openxmlformats.org/officeDocument/2006/relationships/image" Target="../media/image94.png"/><Relationship Id="rId77" Type="http://schemas.openxmlformats.org/officeDocument/2006/relationships/image" Target="../media/image102.png"/><Relationship Id="rId8" Type="http://schemas.openxmlformats.org/officeDocument/2006/relationships/image" Target="../media/image29.png"/><Relationship Id="rId51" Type="http://schemas.openxmlformats.org/officeDocument/2006/relationships/image" Target="../media/image76.png"/><Relationship Id="rId72" Type="http://schemas.openxmlformats.org/officeDocument/2006/relationships/image" Target="../media/image97.png"/><Relationship Id="rId80" Type="http://schemas.openxmlformats.org/officeDocument/2006/relationships/image" Target="../media/image105.png"/><Relationship Id="rId85" Type="http://schemas.openxmlformats.org/officeDocument/2006/relationships/image" Target="../media/image110.png"/><Relationship Id="rId3" Type="http://schemas.openxmlformats.org/officeDocument/2006/relationships/image" Target="../media/image119.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38" Type="http://schemas.openxmlformats.org/officeDocument/2006/relationships/image" Target="../media/image63.png"/><Relationship Id="rId46" Type="http://schemas.openxmlformats.org/officeDocument/2006/relationships/image" Target="../media/image71.png"/><Relationship Id="rId59" Type="http://schemas.openxmlformats.org/officeDocument/2006/relationships/image" Target="../media/image84.png"/><Relationship Id="rId67" Type="http://schemas.openxmlformats.org/officeDocument/2006/relationships/image" Target="../media/image92.png"/><Relationship Id="rId20" Type="http://schemas.openxmlformats.org/officeDocument/2006/relationships/image" Target="../media/image41.png"/><Relationship Id="rId41" Type="http://schemas.openxmlformats.org/officeDocument/2006/relationships/image" Target="../media/image66.png"/><Relationship Id="rId54" Type="http://schemas.openxmlformats.org/officeDocument/2006/relationships/image" Target="../media/image79.png"/><Relationship Id="rId62" Type="http://schemas.openxmlformats.org/officeDocument/2006/relationships/image" Target="../media/image87.png"/><Relationship Id="rId70" Type="http://schemas.openxmlformats.org/officeDocument/2006/relationships/image" Target="../media/image95.png"/><Relationship Id="rId75" Type="http://schemas.openxmlformats.org/officeDocument/2006/relationships/image" Target="../media/image100.png"/><Relationship Id="rId83" Type="http://schemas.openxmlformats.org/officeDocument/2006/relationships/image" Target="../media/image108.png"/><Relationship Id="rId88" Type="http://schemas.openxmlformats.org/officeDocument/2006/relationships/image" Target="../media/image113.png"/><Relationship Id="rId1" Type="http://schemas.openxmlformats.org/officeDocument/2006/relationships/image" Target="../media/image117.png"/><Relationship Id="rId6" Type="http://schemas.openxmlformats.org/officeDocument/2006/relationships/image" Target="../media/image27.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36" Type="http://schemas.openxmlformats.org/officeDocument/2006/relationships/image" Target="../media/image61.png"/><Relationship Id="rId49" Type="http://schemas.openxmlformats.org/officeDocument/2006/relationships/image" Target="../media/image74.png"/><Relationship Id="rId57" Type="http://schemas.openxmlformats.org/officeDocument/2006/relationships/image" Target="../media/image82.png"/><Relationship Id="rId10" Type="http://schemas.openxmlformats.org/officeDocument/2006/relationships/image" Target="../media/image31.png"/><Relationship Id="rId31" Type="http://schemas.openxmlformats.org/officeDocument/2006/relationships/image" Target="../media/image52.png"/><Relationship Id="rId44" Type="http://schemas.openxmlformats.org/officeDocument/2006/relationships/image" Target="../media/image69.png"/><Relationship Id="rId52" Type="http://schemas.openxmlformats.org/officeDocument/2006/relationships/image" Target="../media/image77.png"/><Relationship Id="rId60" Type="http://schemas.openxmlformats.org/officeDocument/2006/relationships/image" Target="../media/image85.png"/><Relationship Id="rId65" Type="http://schemas.openxmlformats.org/officeDocument/2006/relationships/image" Target="../media/image90.png"/><Relationship Id="rId73" Type="http://schemas.openxmlformats.org/officeDocument/2006/relationships/image" Target="../media/image98.png"/><Relationship Id="rId78" Type="http://schemas.openxmlformats.org/officeDocument/2006/relationships/image" Target="../media/image103.png"/><Relationship Id="rId81" Type="http://schemas.openxmlformats.org/officeDocument/2006/relationships/image" Target="../media/image106.png"/><Relationship Id="rId86" Type="http://schemas.openxmlformats.org/officeDocument/2006/relationships/image" Target="../media/image121.png"/><Relationship Id="rId4" Type="http://schemas.openxmlformats.org/officeDocument/2006/relationships/image" Target="../media/image120.png"/><Relationship Id="rId9" Type="http://schemas.openxmlformats.org/officeDocument/2006/relationships/image" Target="../media/image30.png"/><Relationship Id="rId13" Type="http://schemas.openxmlformats.org/officeDocument/2006/relationships/image" Target="../media/image34.png"/><Relationship Id="rId18" Type="http://schemas.openxmlformats.org/officeDocument/2006/relationships/image" Target="../media/image39.png"/><Relationship Id="rId39" Type="http://schemas.openxmlformats.org/officeDocument/2006/relationships/image" Target="../media/image64.png"/><Relationship Id="rId34" Type="http://schemas.openxmlformats.org/officeDocument/2006/relationships/image" Target="../media/image55.png"/><Relationship Id="rId50" Type="http://schemas.openxmlformats.org/officeDocument/2006/relationships/image" Target="../media/image75.png"/><Relationship Id="rId55" Type="http://schemas.openxmlformats.org/officeDocument/2006/relationships/image" Target="../media/image80.png"/><Relationship Id="rId76" Type="http://schemas.openxmlformats.org/officeDocument/2006/relationships/image" Target="../media/image101.png"/><Relationship Id="rId7" Type="http://schemas.openxmlformats.org/officeDocument/2006/relationships/image" Target="../media/image28.png"/><Relationship Id="rId71" Type="http://schemas.openxmlformats.org/officeDocument/2006/relationships/image" Target="../media/image96.png"/><Relationship Id="rId2" Type="http://schemas.openxmlformats.org/officeDocument/2006/relationships/image" Target="../media/image118.png"/><Relationship Id="rId29" Type="http://schemas.openxmlformats.org/officeDocument/2006/relationships/image" Target="../media/image50.png"/><Relationship Id="rId24" Type="http://schemas.openxmlformats.org/officeDocument/2006/relationships/image" Target="../media/image45.png"/><Relationship Id="rId40" Type="http://schemas.openxmlformats.org/officeDocument/2006/relationships/image" Target="../media/image65.png"/><Relationship Id="rId45" Type="http://schemas.openxmlformats.org/officeDocument/2006/relationships/image" Target="../media/image70.png"/><Relationship Id="rId66" Type="http://schemas.openxmlformats.org/officeDocument/2006/relationships/image" Target="../media/image91.png"/><Relationship Id="rId87" Type="http://schemas.openxmlformats.org/officeDocument/2006/relationships/image" Target="../media/image122.png"/><Relationship Id="rId61" Type="http://schemas.openxmlformats.org/officeDocument/2006/relationships/image" Target="../media/image86.png"/><Relationship Id="rId82" Type="http://schemas.openxmlformats.org/officeDocument/2006/relationships/image" Target="../media/image107.png"/><Relationship Id="rId19" Type="http://schemas.openxmlformats.org/officeDocument/2006/relationships/image" Target="../media/image40.png"/></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9" Type="http://schemas.openxmlformats.org/officeDocument/2006/relationships/image" Target="../media/image163.png"/><Relationship Id="rId21" Type="http://schemas.openxmlformats.org/officeDocument/2006/relationships/image" Target="../media/image145.png"/><Relationship Id="rId34" Type="http://schemas.openxmlformats.org/officeDocument/2006/relationships/image" Target="../media/image158.png"/><Relationship Id="rId42" Type="http://schemas.openxmlformats.org/officeDocument/2006/relationships/image" Target="../media/image166.png"/><Relationship Id="rId47" Type="http://schemas.openxmlformats.org/officeDocument/2006/relationships/image" Target="../media/image171.png"/><Relationship Id="rId50" Type="http://schemas.openxmlformats.org/officeDocument/2006/relationships/image" Target="../media/image174.png"/><Relationship Id="rId55" Type="http://schemas.openxmlformats.org/officeDocument/2006/relationships/image" Target="../media/image179.png"/><Relationship Id="rId63" Type="http://schemas.openxmlformats.org/officeDocument/2006/relationships/image" Target="../media/image187.png"/><Relationship Id="rId7" Type="http://schemas.openxmlformats.org/officeDocument/2006/relationships/image" Target="../media/image131.png"/><Relationship Id="rId2" Type="http://schemas.openxmlformats.org/officeDocument/2006/relationships/image" Target="../media/image126.png"/><Relationship Id="rId16" Type="http://schemas.openxmlformats.org/officeDocument/2006/relationships/image" Target="../media/image140.png"/><Relationship Id="rId29" Type="http://schemas.openxmlformats.org/officeDocument/2006/relationships/image" Target="../media/image153.png"/><Relationship Id="rId11" Type="http://schemas.openxmlformats.org/officeDocument/2006/relationships/image" Target="../media/image135.png"/><Relationship Id="rId24" Type="http://schemas.openxmlformats.org/officeDocument/2006/relationships/image" Target="../media/image148.png"/><Relationship Id="rId32" Type="http://schemas.openxmlformats.org/officeDocument/2006/relationships/image" Target="../media/image156.png"/><Relationship Id="rId37" Type="http://schemas.openxmlformats.org/officeDocument/2006/relationships/image" Target="../media/image161.png"/><Relationship Id="rId40" Type="http://schemas.openxmlformats.org/officeDocument/2006/relationships/image" Target="../media/image164.png"/><Relationship Id="rId45" Type="http://schemas.openxmlformats.org/officeDocument/2006/relationships/image" Target="../media/image169.png"/><Relationship Id="rId53" Type="http://schemas.openxmlformats.org/officeDocument/2006/relationships/image" Target="../media/image177.png"/><Relationship Id="rId58" Type="http://schemas.openxmlformats.org/officeDocument/2006/relationships/image" Target="../media/image182.png"/><Relationship Id="rId5" Type="http://schemas.openxmlformats.org/officeDocument/2006/relationships/image" Target="../media/image129.png"/><Relationship Id="rId61" Type="http://schemas.openxmlformats.org/officeDocument/2006/relationships/image" Target="../media/image185.png"/><Relationship Id="rId19" Type="http://schemas.openxmlformats.org/officeDocument/2006/relationships/image" Target="../media/image14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 Id="rId35" Type="http://schemas.openxmlformats.org/officeDocument/2006/relationships/image" Target="../media/image159.png"/><Relationship Id="rId43" Type="http://schemas.openxmlformats.org/officeDocument/2006/relationships/image" Target="../media/image167.png"/><Relationship Id="rId48" Type="http://schemas.openxmlformats.org/officeDocument/2006/relationships/image" Target="../media/image172.png"/><Relationship Id="rId56" Type="http://schemas.openxmlformats.org/officeDocument/2006/relationships/image" Target="../media/image180.png"/><Relationship Id="rId64" Type="http://schemas.openxmlformats.org/officeDocument/2006/relationships/image" Target="../media/image188.png"/><Relationship Id="rId8" Type="http://schemas.openxmlformats.org/officeDocument/2006/relationships/image" Target="../media/image132.png"/><Relationship Id="rId51" Type="http://schemas.openxmlformats.org/officeDocument/2006/relationships/image" Target="../media/image175.png"/><Relationship Id="rId3" Type="http://schemas.openxmlformats.org/officeDocument/2006/relationships/image" Target="../media/image127.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33" Type="http://schemas.openxmlformats.org/officeDocument/2006/relationships/image" Target="../media/image157.png"/><Relationship Id="rId38" Type="http://schemas.openxmlformats.org/officeDocument/2006/relationships/image" Target="../media/image162.png"/><Relationship Id="rId46" Type="http://schemas.openxmlformats.org/officeDocument/2006/relationships/image" Target="../media/image170.png"/><Relationship Id="rId59" Type="http://schemas.openxmlformats.org/officeDocument/2006/relationships/image" Target="../media/image183.png"/><Relationship Id="rId20" Type="http://schemas.openxmlformats.org/officeDocument/2006/relationships/image" Target="../media/image144.png"/><Relationship Id="rId41" Type="http://schemas.openxmlformats.org/officeDocument/2006/relationships/image" Target="../media/image165.png"/><Relationship Id="rId54" Type="http://schemas.openxmlformats.org/officeDocument/2006/relationships/image" Target="../media/image178.png"/><Relationship Id="rId62" Type="http://schemas.openxmlformats.org/officeDocument/2006/relationships/image" Target="../media/image186.png"/><Relationship Id="rId1" Type="http://schemas.openxmlformats.org/officeDocument/2006/relationships/image" Target="../media/image125.png"/><Relationship Id="rId6" Type="http://schemas.openxmlformats.org/officeDocument/2006/relationships/image" Target="../media/image130.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36" Type="http://schemas.openxmlformats.org/officeDocument/2006/relationships/image" Target="../media/image160.png"/><Relationship Id="rId49" Type="http://schemas.openxmlformats.org/officeDocument/2006/relationships/image" Target="../media/image173.png"/><Relationship Id="rId57" Type="http://schemas.openxmlformats.org/officeDocument/2006/relationships/image" Target="../media/image181.png"/><Relationship Id="rId10" Type="http://schemas.openxmlformats.org/officeDocument/2006/relationships/image" Target="../media/image134.png"/><Relationship Id="rId31" Type="http://schemas.openxmlformats.org/officeDocument/2006/relationships/image" Target="../media/image155.png"/><Relationship Id="rId44" Type="http://schemas.openxmlformats.org/officeDocument/2006/relationships/image" Target="../media/image168.png"/><Relationship Id="rId52" Type="http://schemas.openxmlformats.org/officeDocument/2006/relationships/image" Target="../media/image176.png"/><Relationship Id="rId60" Type="http://schemas.openxmlformats.org/officeDocument/2006/relationships/image" Target="../media/image184.png"/><Relationship Id="rId4" Type="http://schemas.openxmlformats.org/officeDocument/2006/relationships/image" Target="../media/image128.png"/><Relationship Id="rId9" Type="http://schemas.openxmlformats.org/officeDocument/2006/relationships/image" Target="../media/image133.png"/></Relationships>
</file>

<file path=xl/drawings/_rels/drawing11.xml.rels><?xml version="1.0" encoding="UTF-8" standalone="yes"?>
<Relationships xmlns="http://schemas.openxmlformats.org/package/2006/relationships"><Relationship Id="rId26" Type="http://schemas.openxmlformats.org/officeDocument/2006/relationships/image" Target="../media/image149.png"/><Relationship Id="rId21" Type="http://schemas.openxmlformats.org/officeDocument/2006/relationships/image" Target="../media/image144.png"/><Relationship Id="rId42" Type="http://schemas.openxmlformats.org/officeDocument/2006/relationships/image" Target="../media/image165.png"/><Relationship Id="rId47" Type="http://schemas.openxmlformats.org/officeDocument/2006/relationships/image" Target="../media/image170.png"/><Relationship Id="rId63" Type="http://schemas.openxmlformats.org/officeDocument/2006/relationships/image" Target="../media/image191.png"/><Relationship Id="rId68" Type="http://schemas.openxmlformats.org/officeDocument/2006/relationships/image" Target="../media/image196.png"/><Relationship Id="rId16" Type="http://schemas.openxmlformats.org/officeDocument/2006/relationships/image" Target="../media/image139.png"/><Relationship Id="rId11" Type="http://schemas.openxmlformats.org/officeDocument/2006/relationships/image" Target="../media/image134.png"/><Relationship Id="rId24" Type="http://schemas.openxmlformats.org/officeDocument/2006/relationships/image" Target="../media/image147.png"/><Relationship Id="rId32" Type="http://schemas.openxmlformats.org/officeDocument/2006/relationships/image" Target="../media/image155.png"/><Relationship Id="rId37" Type="http://schemas.openxmlformats.org/officeDocument/2006/relationships/image" Target="../media/image160.png"/><Relationship Id="rId40" Type="http://schemas.openxmlformats.org/officeDocument/2006/relationships/image" Target="../media/image163.png"/><Relationship Id="rId45" Type="http://schemas.openxmlformats.org/officeDocument/2006/relationships/image" Target="../media/image168.png"/><Relationship Id="rId53" Type="http://schemas.openxmlformats.org/officeDocument/2006/relationships/image" Target="../media/image176.png"/><Relationship Id="rId58" Type="http://schemas.openxmlformats.org/officeDocument/2006/relationships/image" Target="../media/image181.png"/><Relationship Id="rId66" Type="http://schemas.openxmlformats.org/officeDocument/2006/relationships/image" Target="../media/image194.png"/><Relationship Id="rId74" Type="http://schemas.openxmlformats.org/officeDocument/2006/relationships/image" Target="../media/image202.png"/><Relationship Id="rId5" Type="http://schemas.openxmlformats.org/officeDocument/2006/relationships/image" Target="../media/image128.png"/><Relationship Id="rId61" Type="http://schemas.openxmlformats.org/officeDocument/2006/relationships/image" Target="../media/image184.png"/><Relationship Id="rId19" Type="http://schemas.openxmlformats.org/officeDocument/2006/relationships/image" Target="../media/image142.png"/><Relationship Id="rId14" Type="http://schemas.openxmlformats.org/officeDocument/2006/relationships/image" Target="../media/image137.png"/><Relationship Id="rId22" Type="http://schemas.openxmlformats.org/officeDocument/2006/relationships/image" Target="../media/image145.png"/><Relationship Id="rId27" Type="http://schemas.openxmlformats.org/officeDocument/2006/relationships/image" Target="../media/image150.png"/><Relationship Id="rId30" Type="http://schemas.openxmlformats.org/officeDocument/2006/relationships/image" Target="../media/image153.png"/><Relationship Id="rId35" Type="http://schemas.openxmlformats.org/officeDocument/2006/relationships/image" Target="../media/image158.png"/><Relationship Id="rId43" Type="http://schemas.openxmlformats.org/officeDocument/2006/relationships/image" Target="../media/image166.png"/><Relationship Id="rId48" Type="http://schemas.openxmlformats.org/officeDocument/2006/relationships/image" Target="../media/image171.png"/><Relationship Id="rId56" Type="http://schemas.openxmlformats.org/officeDocument/2006/relationships/image" Target="../media/image179.png"/><Relationship Id="rId64" Type="http://schemas.openxmlformats.org/officeDocument/2006/relationships/image" Target="../media/image192.png"/><Relationship Id="rId69" Type="http://schemas.openxmlformats.org/officeDocument/2006/relationships/image" Target="../media/image197.png"/><Relationship Id="rId77" Type="http://schemas.openxmlformats.org/officeDocument/2006/relationships/image" Target="../media/image205.png"/><Relationship Id="rId8" Type="http://schemas.openxmlformats.org/officeDocument/2006/relationships/image" Target="../media/image131.png"/><Relationship Id="rId51" Type="http://schemas.openxmlformats.org/officeDocument/2006/relationships/image" Target="../media/image174.png"/><Relationship Id="rId72" Type="http://schemas.openxmlformats.org/officeDocument/2006/relationships/image" Target="../media/image200.png"/><Relationship Id="rId3" Type="http://schemas.openxmlformats.org/officeDocument/2006/relationships/image" Target="../media/image126.png"/><Relationship Id="rId12" Type="http://schemas.openxmlformats.org/officeDocument/2006/relationships/image" Target="../media/image135.png"/><Relationship Id="rId17" Type="http://schemas.openxmlformats.org/officeDocument/2006/relationships/image" Target="../media/image140.png"/><Relationship Id="rId25" Type="http://schemas.openxmlformats.org/officeDocument/2006/relationships/image" Target="../media/image148.png"/><Relationship Id="rId33" Type="http://schemas.openxmlformats.org/officeDocument/2006/relationships/image" Target="../media/image156.png"/><Relationship Id="rId38" Type="http://schemas.openxmlformats.org/officeDocument/2006/relationships/image" Target="../media/image161.png"/><Relationship Id="rId46" Type="http://schemas.openxmlformats.org/officeDocument/2006/relationships/image" Target="../media/image169.png"/><Relationship Id="rId59" Type="http://schemas.openxmlformats.org/officeDocument/2006/relationships/image" Target="../media/image182.png"/><Relationship Id="rId67" Type="http://schemas.openxmlformats.org/officeDocument/2006/relationships/image" Target="../media/image195.png"/><Relationship Id="rId20" Type="http://schemas.openxmlformats.org/officeDocument/2006/relationships/image" Target="../media/image143.png"/><Relationship Id="rId41" Type="http://schemas.openxmlformats.org/officeDocument/2006/relationships/image" Target="../media/image164.png"/><Relationship Id="rId54" Type="http://schemas.openxmlformats.org/officeDocument/2006/relationships/image" Target="../media/image177.png"/><Relationship Id="rId62" Type="http://schemas.openxmlformats.org/officeDocument/2006/relationships/image" Target="../media/image185.png"/><Relationship Id="rId70" Type="http://schemas.openxmlformats.org/officeDocument/2006/relationships/image" Target="../media/image198.png"/><Relationship Id="rId75" Type="http://schemas.openxmlformats.org/officeDocument/2006/relationships/image" Target="../media/image203.png"/><Relationship Id="rId1" Type="http://schemas.openxmlformats.org/officeDocument/2006/relationships/image" Target="../media/image189.png"/><Relationship Id="rId6" Type="http://schemas.openxmlformats.org/officeDocument/2006/relationships/image" Target="../media/image129.png"/><Relationship Id="rId15" Type="http://schemas.openxmlformats.org/officeDocument/2006/relationships/image" Target="../media/image138.png"/><Relationship Id="rId23" Type="http://schemas.openxmlformats.org/officeDocument/2006/relationships/image" Target="../media/image146.png"/><Relationship Id="rId28" Type="http://schemas.openxmlformats.org/officeDocument/2006/relationships/image" Target="../media/image151.png"/><Relationship Id="rId36" Type="http://schemas.openxmlformats.org/officeDocument/2006/relationships/image" Target="../media/image159.png"/><Relationship Id="rId49" Type="http://schemas.openxmlformats.org/officeDocument/2006/relationships/image" Target="../media/image172.png"/><Relationship Id="rId57" Type="http://schemas.openxmlformats.org/officeDocument/2006/relationships/image" Target="../media/image180.png"/><Relationship Id="rId10" Type="http://schemas.openxmlformats.org/officeDocument/2006/relationships/image" Target="../media/image133.png"/><Relationship Id="rId31" Type="http://schemas.openxmlformats.org/officeDocument/2006/relationships/image" Target="../media/image154.png"/><Relationship Id="rId44" Type="http://schemas.openxmlformats.org/officeDocument/2006/relationships/image" Target="../media/image167.png"/><Relationship Id="rId52" Type="http://schemas.openxmlformats.org/officeDocument/2006/relationships/image" Target="../media/image175.png"/><Relationship Id="rId60" Type="http://schemas.openxmlformats.org/officeDocument/2006/relationships/image" Target="../media/image183.png"/><Relationship Id="rId65" Type="http://schemas.openxmlformats.org/officeDocument/2006/relationships/image" Target="../media/image193.png"/><Relationship Id="rId73" Type="http://schemas.openxmlformats.org/officeDocument/2006/relationships/image" Target="../media/image201.png"/><Relationship Id="rId4" Type="http://schemas.openxmlformats.org/officeDocument/2006/relationships/image" Target="../media/image127.png"/><Relationship Id="rId9" Type="http://schemas.openxmlformats.org/officeDocument/2006/relationships/image" Target="../media/image132.png"/><Relationship Id="rId13" Type="http://schemas.openxmlformats.org/officeDocument/2006/relationships/image" Target="../media/image136.png"/><Relationship Id="rId18" Type="http://schemas.openxmlformats.org/officeDocument/2006/relationships/image" Target="../media/image141.png"/><Relationship Id="rId39" Type="http://schemas.openxmlformats.org/officeDocument/2006/relationships/image" Target="../media/image162.png"/><Relationship Id="rId34" Type="http://schemas.openxmlformats.org/officeDocument/2006/relationships/image" Target="../media/image157.png"/><Relationship Id="rId50" Type="http://schemas.openxmlformats.org/officeDocument/2006/relationships/image" Target="../media/image173.png"/><Relationship Id="rId55" Type="http://schemas.openxmlformats.org/officeDocument/2006/relationships/image" Target="../media/image178.png"/><Relationship Id="rId76" Type="http://schemas.openxmlformats.org/officeDocument/2006/relationships/image" Target="../media/image204.png"/><Relationship Id="rId7" Type="http://schemas.openxmlformats.org/officeDocument/2006/relationships/image" Target="../media/image130.png"/><Relationship Id="rId71" Type="http://schemas.openxmlformats.org/officeDocument/2006/relationships/image" Target="../media/image199.png"/><Relationship Id="rId2" Type="http://schemas.openxmlformats.org/officeDocument/2006/relationships/image" Target="../media/image190.png"/><Relationship Id="rId29" Type="http://schemas.openxmlformats.org/officeDocument/2006/relationships/image" Target="../media/image152.png"/></Relationships>
</file>

<file path=xl/drawings/_rels/drawing12.xml.rels><?xml version="1.0" encoding="UTF-8" standalone="yes"?>
<Relationships xmlns="http://schemas.openxmlformats.org/package/2006/relationships"><Relationship Id="rId26" Type="http://schemas.openxmlformats.org/officeDocument/2006/relationships/image" Target="../media/image148.png"/><Relationship Id="rId21" Type="http://schemas.openxmlformats.org/officeDocument/2006/relationships/image" Target="../media/image143.png"/><Relationship Id="rId42" Type="http://schemas.openxmlformats.org/officeDocument/2006/relationships/image" Target="../media/image164.png"/><Relationship Id="rId47" Type="http://schemas.openxmlformats.org/officeDocument/2006/relationships/image" Target="../media/image169.png"/><Relationship Id="rId63" Type="http://schemas.openxmlformats.org/officeDocument/2006/relationships/image" Target="../media/image185.png"/><Relationship Id="rId68" Type="http://schemas.openxmlformats.org/officeDocument/2006/relationships/image" Target="../media/image213.png"/><Relationship Id="rId84" Type="http://schemas.openxmlformats.org/officeDocument/2006/relationships/image" Target="../media/image222.png"/><Relationship Id="rId16" Type="http://schemas.openxmlformats.org/officeDocument/2006/relationships/image" Target="../media/image138.png"/><Relationship Id="rId11" Type="http://schemas.openxmlformats.org/officeDocument/2006/relationships/image" Target="../media/image133.png"/><Relationship Id="rId32" Type="http://schemas.openxmlformats.org/officeDocument/2006/relationships/image" Target="../media/image154.png"/><Relationship Id="rId37" Type="http://schemas.openxmlformats.org/officeDocument/2006/relationships/image" Target="../media/image159.png"/><Relationship Id="rId53" Type="http://schemas.openxmlformats.org/officeDocument/2006/relationships/image" Target="../media/image175.png"/><Relationship Id="rId58" Type="http://schemas.openxmlformats.org/officeDocument/2006/relationships/image" Target="../media/image180.png"/><Relationship Id="rId74" Type="http://schemas.openxmlformats.org/officeDocument/2006/relationships/image" Target="../media/image219.png"/><Relationship Id="rId79" Type="http://schemas.openxmlformats.org/officeDocument/2006/relationships/image" Target="../media/image194.png"/><Relationship Id="rId5" Type="http://schemas.openxmlformats.org/officeDocument/2006/relationships/image" Target="../media/image127.png"/><Relationship Id="rId19" Type="http://schemas.openxmlformats.org/officeDocument/2006/relationships/image" Target="../media/image141.png"/><Relationship Id="rId14" Type="http://schemas.openxmlformats.org/officeDocument/2006/relationships/image" Target="../media/image136.png"/><Relationship Id="rId22" Type="http://schemas.openxmlformats.org/officeDocument/2006/relationships/image" Target="../media/image144.png"/><Relationship Id="rId27" Type="http://schemas.openxmlformats.org/officeDocument/2006/relationships/image" Target="../media/image149.png"/><Relationship Id="rId30" Type="http://schemas.openxmlformats.org/officeDocument/2006/relationships/image" Target="../media/image152.png"/><Relationship Id="rId35" Type="http://schemas.openxmlformats.org/officeDocument/2006/relationships/image" Target="../media/image157.png"/><Relationship Id="rId43" Type="http://schemas.openxmlformats.org/officeDocument/2006/relationships/image" Target="../media/image165.png"/><Relationship Id="rId48" Type="http://schemas.openxmlformats.org/officeDocument/2006/relationships/image" Target="../media/image170.png"/><Relationship Id="rId56" Type="http://schemas.openxmlformats.org/officeDocument/2006/relationships/image" Target="../media/image178.png"/><Relationship Id="rId64" Type="http://schemas.openxmlformats.org/officeDocument/2006/relationships/image" Target="../media/image209.png"/><Relationship Id="rId69" Type="http://schemas.openxmlformats.org/officeDocument/2006/relationships/image" Target="../media/image214.png"/><Relationship Id="rId77" Type="http://schemas.openxmlformats.org/officeDocument/2006/relationships/image" Target="../media/image192.png"/><Relationship Id="rId8" Type="http://schemas.openxmlformats.org/officeDocument/2006/relationships/image" Target="../media/image130.png"/><Relationship Id="rId51" Type="http://schemas.openxmlformats.org/officeDocument/2006/relationships/image" Target="../media/image173.png"/><Relationship Id="rId72" Type="http://schemas.openxmlformats.org/officeDocument/2006/relationships/image" Target="../media/image217.png"/><Relationship Id="rId80" Type="http://schemas.openxmlformats.org/officeDocument/2006/relationships/image" Target="../media/image195.png"/><Relationship Id="rId85" Type="http://schemas.openxmlformats.org/officeDocument/2006/relationships/image" Target="../media/image223.png"/><Relationship Id="rId3" Type="http://schemas.openxmlformats.org/officeDocument/2006/relationships/image" Target="../media/image208.png"/><Relationship Id="rId12" Type="http://schemas.openxmlformats.org/officeDocument/2006/relationships/image" Target="../media/image134.png"/><Relationship Id="rId17" Type="http://schemas.openxmlformats.org/officeDocument/2006/relationships/image" Target="../media/image139.png"/><Relationship Id="rId25" Type="http://schemas.openxmlformats.org/officeDocument/2006/relationships/image" Target="../media/image147.png"/><Relationship Id="rId33" Type="http://schemas.openxmlformats.org/officeDocument/2006/relationships/image" Target="../media/image155.png"/><Relationship Id="rId38" Type="http://schemas.openxmlformats.org/officeDocument/2006/relationships/image" Target="../media/image160.png"/><Relationship Id="rId46" Type="http://schemas.openxmlformats.org/officeDocument/2006/relationships/image" Target="../media/image168.png"/><Relationship Id="rId59" Type="http://schemas.openxmlformats.org/officeDocument/2006/relationships/image" Target="../media/image181.png"/><Relationship Id="rId67" Type="http://schemas.openxmlformats.org/officeDocument/2006/relationships/image" Target="../media/image212.png"/><Relationship Id="rId20" Type="http://schemas.openxmlformats.org/officeDocument/2006/relationships/image" Target="../media/image142.png"/><Relationship Id="rId41" Type="http://schemas.openxmlformats.org/officeDocument/2006/relationships/image" Target="../media/image163.png"/><Relationship Id="rId54" Type="http://schemas.openxmlformats.org/officeDocument/2006/relationships/image" Target="../media/image176.png"/><Relationship Id="rId62" Type="http://schemas.openxmlformats.org/officeDocument/2006/relationships/image" Target="../media/image184.png"/><Relationship Id="rId70" Type="http://schemas.openxmlformats.org/officeDocument/2006/relationships/image" Target="../media/image215.png"/><Relationship Id="rId75" Type="http://schemas.openxmlformats.org/officeDocument/2006/relationships/image" Target="../media/image220.png"/><Relationship Id="rId83" Type="http://schemas.openxmlformats.org/officeDocument/2006/relationships/image" Target="../media/image221.png"/><Relationship Id="rId1" Type="http://schemas.openxmlformats.org/officeDocument/2006/relationships/image" Target="../media/image206.png"/><Relationship Id="rId6" Type="http://schemas.openxmlformats.org/officeDocument/2006/relationships/image" Target="../media/image128.png"/><Relationship Id="rId15" Type="http://schemas.openxmlformats.org/officeDocument/2006/relationships/image" Target="../media/image137.png"/><Relationship Id="rId23" Type="http://schemas.openxmlformats.org/officeDocument/2006/relationships/image" Target="../media/image145.png"/><Relationship Id="rId28" Type="http://schemas.openxmlformats.org/officeDocument/2006/relationships/image" Target="../media/image150.png"/><Relationship Id="rId36" Type="http://schemas.openxmlformats.org/officeDocument/2006/relationships/image" Target="../media/image158.png"/><Relationship Id="rId49" Type="http://schemas.openxmlformats.org/officeDocument/2006/relationships/image" Target="../media/image171.png"/><Relationship Id="rId57" Type="http://schemas.openxmlformats.org/officeDocument/2006/relationships/image" Target="../media/image179.png"/><Relationship Id="rId10" Type="http://schemas.openxmlformats.org/officeDocument/2006/relationships/image" Target="../media/image132.png"/><Relationship Id="rId31" Type="http://schemas.openxmlformats.org/officeDocument/2006/relationships/image" Target="../media/image153.png"/><Relationship Id="rId44" Type="http://schemas.openxmlformats.org/officeDocument/2006/relationships/image" Target="../media/image166.png"/><Relationship Id="rId52" Type="http://schemas.openxmlformats.org/officeDocument/2006/relationships/image" Target="../media/image174.png"/><Relationship Id="rId60" Type="http://schemas.openxmlformats.org/officeDocument/2006/relationships/image" Target="../media/image182.png"/><Relationship Id="rId65" Type="http://schemas.openxmlformats.org/officeDocument/2006/relationships/image" Target="../media/image210.png"/><Relationship Id="rId73" Type="http://schemas.openxmlformats.org/officeDocument/2006/relationships/image" Target="../media/image218.png"/><Relationship Id="rId78" Type="http://schemas.openxmlformats.org/officeDocument/2006/relationships/image" Target="../media/image193.png"/><Relationship Id="rId81" Type="http://schemas.openxmlformats.org/officeDocument/2006/relationships/image" Target="../media/image196.png"/><Relationship Id="rId86" Type="http://schemas.openxmlformats.org/officeDocument/2006/relationships/image" Target="../media/image224.png"/><Relationship Id="rId4" Type="http://schemas.openxmlformats.org/officeDocument/2006/relationships/image" Target="../media/image126.png"/><Relationship Id="rId9" Type="http://schemas.openxmlformats.org/officeDocument/2006/relationships/image" Target="../media/image131.png"/><Relationship Id="rId13" Type="http://schemas.openxmlformats.org/officeDocument/2006/relationships/image" Target="../media/image135.png"/><Relationship Id="rId18" Type="http://schemas.openxmlformats.org/officeDocument/2006/relationships/image" Target="../media/image140.png"/><Relationship Id="rId39" Type="http://schemas.openxmlformats.org/officeDocument/2006/relationships/image" Target="../media/image161.png"/><Relationship Id="rId34" Type="http://schemas.openxmlformats.org/officeDocument/2006/relationships/image" Target="../media/image156.png"/><Relationship Id="rId50" Type="http://schemas.openxmlformats.org/officeDocument/2006/relationships/image" Target="../media/image172.png"/><Relationship Id="rId55" Type="http://schemas.openxmlformats.org/officeDocument/2006/relationships/image" Target="../media/image177.png"/><Relationship Id="rId76" Type="http://schemas.openxmlformats.org/officeDocument/2006/relationships/image" Target="../media/image191.png"/><Relationship Id="rId7" Type="http://schemas.openxmlformats.org/officeDocument/2006/relationships/image" Target="../media/image129.png"/><Relationship Id="rId71" Type="http://schemas.openxmlformats.org/officeDocument/2006/relationships/image" Target="../media/image216.png"/><Relationship Id="rId2" Type="http://schemas.openxmlformats.org/officeDocument/2006/relationships/image" Target="../media/image207.png"/><Relationship Id="rId29" Type="http://schemas.openxmlformats.org/officeDocument/2006/relationships/image" Target="../media/image151.png"/><Relationship Id="rId24" Type="http://schemas.openxmlformats.org/officeDocument/2006/relationships/image" Target="../media/image146.png"/><Relationship Id="rId40" Type="http://schemas.openxmlformats.org/officeDocument/2006/relationships/image" Target="../media/image162.png"/><Relationship Id="rId45" Type="http://schemas.openxmlformats.org/officeDocument/2006/relationships/image" Target="../media/image167.png"/><Relationship Id="rId66" Type="http://schemas.openxmlformats.org/officeDocument/2006/relationships/image" Target="../media/image211.png"/><Relationship Id="rId87" Type="http://schemas.openxmlformats.org/officeDocument/2006/relationships/image" Target="../media/image225.png"/><Relationship Id="rId61" Type="http://schemas.openxmlformats.org/officeDocument/2006/relationships/image" Target="../media/image183.png"/><Relationship Id="rId82" Type="http://schemas.openxmlformats.org/officeDocument/2006/relationships/image" Target="../media/image19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xdr:row>
      <xdr:rowOff>101600</xdr:rowOff>
    </xdr:from>
    <xdr:to>
      <xdr:col>14</xdr:col>
      <xdr:colOff>226190</xdr:colOff>
      <xdr:row>34</xdr:row>
      <xdr:rowOff>139700</xdr:rowOff>
    </xdr:to>
    <xdr:pic>
      <xdr:nvPicPr>
        <xdr:cNvPr id="3" name="Picture 2">
          <a:extLst>
            <a:ext uri="{FF2B5EF4-FFF2-40B4-BE49-F238E27FC236}">
              <a16:creationId xmlns:a16="http://schemas.microsoft.com/office/drawing/2014/main" id="{08E8C1A2-706C-8843-BE3A-FE2ABBB906F1}"/>
            </a:ext>
          </a:extLst>
        </xdr:cNvPr>
        <xdr:cNvPicPr>
          <a:picLocks noChangeAspect="1"/>
        </xdr:cNvPicPr>
      </xdr:nvPicPr>
      <xdr:blipFill>
        <a:blip xmlns:r="http://schemas.openxmlformats.org/officeDocument/2006/relationships" r:embed="rId1"/>
        <a:stretch>
          <a:fillRect/>
        </a:stretch>
      </xdr:blipFill>
      <xdr:spPr>
        <a:xfrm>
          <a:off x="0" y="3860800"/>
          <a:ext cx="16024990" cy="3644900"/>
        </a:xfrm>
        <a:prstGeom prst="rect">
          <a:avLst/>
        </a:prstGeom>
      </xdr:spPr>
    </xdr:pic>
    <xdr:clientData/>
  </xdr:twoCellAnchor>
  <xdr:twoCellAnchor editAs="oneCell">
    <xdr:from>
      <xdr:col>1</xdr:col>
      <xdr:colOff>101600</xdr:colOff>
      <xdr:row>38</xdr:row>
      <xdr:rowOff>76200</xdr:rowOff>
    </xdr:from>
    <xdr:to>
      <xdr:col>6</xdr:col>
      <xdr:colOff>711200</xdr:colOff>
      <xdr:row>40</xdr:row>
      <xdr:rowOff>60653</xdr:rowOff>
    </xdr:to>
    <xdr:pic>
      <xdr:nvPicPr>
        <xdr:cNvPr id="2" name="Picture 1">
          <a:extLst>
            <a:ext uri="{FF2B5EF4-FFF2-40B4-BE49-F238E27FC236}">
              <a16:creationId xmlns:a16="http://schemas.microsoft.com/office/drawing/2014/main" id="{3D93621E-B68A-5B48-04CD-21A8126E31D1}"/>
            </a:ext>
          </a:extLst>
        </xdr:cNvPr>
        <xdr:cNvPicPr>
          <a:picLocks noChangeAspect="1"/>
        </xdr:cNvPicPr>
      </xdr:nvPicPr>
      <xdr:blipFill>
        <a:blip xmlns:r="http://schemas.openxmlformats.org/officeDocument/2006/relationships" r:embed="rId2"/>
        <a:stretch>
          <a:fillRect/>
        </a:stretch>
      </xdr:blipFill>
      <xdr:spPr>
        <a:xfrm>
          <a:off x="2133600" y="8293100"/>
          <a:ext cx="7772400" cy="390853"/>
        </a:xfrm>
        <a:prstGeom prst="rect">
          <a:avLst/>
        </a:prstGeom>
      </xdr:spPr>
    </xdr:pic>
    <xdr:clientData/>
  </xdr:twoCellAnchor>
  <xdr:twoCellAnchor editAs="oneCell">
    <xdr:from>
      <xdr:col>1</xdr:col>
      <xdr:colOff>0</xdr:colOff>
      <xdr:row>43</xdr:row>
      <xdr:rowOff>0</xdr:rowOff>
    </xdr:from>
    <xdr:to>
      <xdr:col>5</xdr:col>
      <xdr:colOff>660400</xdr:colOff>
      <xdr:row>44</xdr:row>
      <xdr:rowOff>12700</xdr:rowOff>
    </xdr:to>
    <xdr:pic>
      <xdr:nvPicPr>
        <xdr:cNvPr id="4" name="Picture 3">
          <a:extLst>
            <a:ext uri="{FF2B5EF4-FFF2-40B4-BE49-F238E27FC236}">
              <a16:creationId xmlns:a16="http://schemas.microsoft.com/office/drawing/2014/main" id="{4F96A1D0-363E-EC4D-E204-9B4BE0DEE005}"/>
            </a:ext>
          </a:extLst>
        </xdr:cNvPr>
        <xdr:cNvPicPr>
          <a:picLocks noChangeAspect="1"/>
        </xdr:cNvPicPr>
      </xdr:nvPicPr>
      <xdr:blipFill>
        <a:blip xmlns:r="http://schemas.openxmlformats.org/officeDocument/2006/relationships" r:embed="rId3"/>
        <a:stretch>
          <a:fillRect/>
        </a:stretch>
      </xdr:blipFill>
      <xdr:spPr>
        <a:xfrm>
          <a:off x="2032000" y="9271000"/>
          <a:ext cx="6997700" cy="228600"/>
        </a:xfrm>
        <a:prstGeom prst="rect">
          <a:avLst/>
        </a:prstGeom>
      </xdr:spPr>
    </xdr:pic>
    <xdr:clientData/>
  </xdr:twoCellAnchor>
  <xdr:twoCellAnchor editAs="oneCell">
    <xdr:from>
      <xdr:col>2</xdr:col>
      <xdr:colOff>63500</xdr:colOff>
      <xdr:row>45</xdr:row>
      <xdr:rowOff>203200</xdr:rowOff>
    </xdr:from>
    <xdr:to>
      <xdr:col>8</xdr:col>
      <xdr:colOff>647700</xdr:colOff>
      <xdr:row>48</xdr:row>
      <xdr:rowOff>0</xdr:rowOff>
    </xdr:to>
    <xdr:pic>
      <xdr:nvPicPr>
        <xdr:cNvPr id="5" name="Picture 4">
          <a:extLst>
            <a:ext uri="{FF2B5EF4-FFF2-40B4-BE49-F238E27FC236}">
              <a16:creationId xmlns:a16="http://schemas.microsoft.com/office/drawing/2014/main" id="{3F9B0222-4F78-4AFA-192A-B668638A00DE}"/>
            </a:ext>
          </a:extLst>
        </xdr:cNvPr>
        <xdr:cNvPicPr>
          <a:picLocks noChangeAspect="1"/>
        </xdr:cNvPicPr>
      </xdr:nvPicPr>
      <xdr:blipFill>
        <a:blip xmlns:r="http://schemas.openxmlformats.org/officeDocument/2006/relationships" r:embed="rId4"/>
        <a:stretch>
          <a:fillRect/>
        </a:stretch>
      </xdr:blipFill>
      <xdr:spPr>
        <a:xfrm>
          <a:off x="4495800" y="9906000"/>
          <a:ext cx="6997700" cy="444500"/>
        </a:xfrm>
        <a:prstGeom prst="rect">
          <a:avLst/>
        </a:prstGeom>
      </xdr:spPr>
    </xdr:pic>
    <xdr:clientData/>
  </xdr:twoCellAnchor>
  <xdr:twoCellAnchor editAs="oneCell">
    <xdr:from>
      <xdr:col>2</xdr:col>
      <xdr:colOff>63500</xdr:colOff>
      <xdr:row>47</xdr:row>
      <xdr:rowOff>203200</xdr:rowOff>
    </xdr:from>
    <xdr:to>
      <xdr:col>8</xdr:col>
      <xdr:colOff>647700</xdr:colOff>
      <xdr:row>49</xdr:row>
      <xdr:rowOff>0</xdr:rowOff>
    </xdr:to>
    <xdr:pic>
      <xdr:nvPicPr>
        <xdr:cNvPr id="6" name="Picture 5">
          <a:extLst>
            <a:ext uri="{FF2B5EF4-FFF2-40B4-BE49-F238E27FC236}">
              <a16:creationId xmlns:a16="http://schemas.microsoft.com/office/drawing/2014/main" id="{01C4AA83-FEA1-B240-8D93-C318435022EB}"/>
            </a:ext>
          </a:extLst>
        </xdr:cNvPr>
        <xdr:cNvPicPr>
          <a:picLocks noChangeAspect="1"/>
        </xdr:cNvPicPr>
      </xdr:nvPicPr>
      <xdr:blipFill>
        <a:blip xmlns:r="http://schemas.openxmlformats.org/officeDocument/2006/relationships" r:embed="rId5"/>
        <a:stretch>
          <a:fillRect/>
        </a:stretch>
      </xdr:blipFill>
      <xdr:spPr>
        <a:xfrm>
          <a:off x="4495800" y="10337800"/>
          <a:ext cx="6997700" cy="228600"/>
        </a:xfrm>
        <a:prstGeom prst="rect">
          <a:avLst/>
        </a:prstGeom>
      </xdr:spPr>
    </xdr:pic>
    <xdr:clientData/>
  </xdr:twoCellAnchor>
  <xdr:twoCellAnchor editAs="oneCell">
    <xdr:from>
      <xdr:col>2</xdr:col>
      <xdr:colOff>50800</xdr:colOff>
      <xdr:row>49</xdr:row>
      <xdr:rowOff>12700</xdr:rowOff>
    </xdr:from>
    <xdr:to>
      <xdr:col>8</xdr:col>
      <xdr:colOff>635000</xdr:colOff>
      <xdr:row>51</xdr:row>
      <xdr:rowOff>25400</xdr:rowOff>
    </xdr:to>
    <xdr:pic>
      <xdr:nvPicPr>
        <xdr:cNvPr id="7" name="Picture 6">
          <a:extLst>
            <a:ext uri="{FF2B5EF4-FFF2-40B4-BE49-F238E27FC236}">
              <a16:creationId xmlns:a16="http://schemas.microsoft.com/office/drawing/2014/main" id="{0052FF1E-6621-404F-B805-79F7220FD271}"/>
            </a:ext>
          </a:extLst>
        </xdr:cNvPr>
        <xdr:cNvPicPr>
          <a:picLocks noChangeAspect="1"/>
        </xdr:cNvPicPr>
      </xdr:nvPicPr>
      <xdr:blipFill>
        <a:blip xmlns:r="http://schemas.openxmlformats.org/officeDocument/2006/relationships" r:embed="rId6"/>
        <a:stretch>
          <a:fillRect/>
        </a:stretch>
      </xdr:blipFill>
      <xdr:spPr>
        <a:xfrm>
          <a:off x="4483100" y="10579100"/>
          <a:ext cx="6997700" cy="444500"/>
        </a:xfrm>
        <a:prstGeom prst="rect">
          <a:avLst/>
        </a:prstGeom>
      </xdr:spPr>
    </xdr:pic>
    <xdr:clientData/>
  </xdr:twoCellAnchor>
  <xdr:twoCellAnchor editAs="oneCell">
    <xdr:from>
      <xdr:col>2</xdr:col>
      <xdr:colOff>50800</xdr:colOff>
      <xdr:row>51</xdr:row>
      <xdr:rowOff>12700</xdr:rowOff>
    </xdr:from>
    <xdr:to>
      <xdr:col>8</xdr:col>
      <xdr:colOff>635000</xdr:colOff>
      <xdr:row>52</xdr:row>
      <xdr:rowOff>25400</xdr:rowOff>
    </xdr:to>
    <xdr:pic>
      <xdr:nvPicPr>
        <xdr:cNvPr id="8" name="Picture 7">
          <a:extLst>
            <a:ext uri="{FF2B5EF4-FFF2-40B4-BE49-F238E27FC236}">
              <a16:creationId xmlns:a16="http://schemas.microsoft.com/office/drawing/2014/main" id="{F3C8F168-FF30-0140-8B85-7461BA171E06}"/>
            </a:ext>
          </a:extLst>
        </xdr:cNvPr>
        <xdr:cNvPicPr>
          <a:picLocks noChangeAspect="1"/>
        </xdr:cNvPicPr>
      </xdr:nvPicPr>
      <xdr:blipFill>
        <a:blip xmlns:r="http://schemas.openxmlformats.org/officeDocument/2006/relationships" r:embed="rId7"/>
        <a:stretch>
          <a:fillRect/>
        </a:stretch>
      </xdr:blipFill>
      <xdr:spPr>
        <a:xfrm>
          <a:off x="4483100" y="11010900"/>
          <a:ext cx="6997700" cy="228600"/>
        </a:xfrm>
        <a:prstGeom prst="rect">
          <a:avLst/>
        </a:prstGeom>
      </xdr:spPr>
    </xdr:pic>
    <xdr:clientData/>
  </xdr:twoCellAnchor>
  <xdr:twoCellAnchor editAs="oneCell">
    <xdr:from>
      <xdr:col>2</xdr:col>
      <xdr:colOff>50800</xdr:colOff>
      <xdr:row>52</xdr:row>
      <xdr:rowOff>12700</xdr:rowOff>
    </xdr:from>
    <xdr:to>
      <xdr:col>8</xdr:col>
      <xdr:colOff>635000</xdr:colOff>
      <xdr:row>53</xdr:row>
      <xdr:rowOff>25400</xdr:rowOff>
    </xdr:to>
    <xdr:pic>
      <xdr:nvPicPr>
        <xdr:cNvPr id="9" name="Picture 8">
          <a:extLst>
            <a:ext uri="{FF2B5EF4-FFF2-40B4-BE49-F238E27FC236}">
              <a16:creationId xmlns:a16="http://schemas.microsoft.com/office/drawing/2014/main" id="{AD084493-B81E-E143-8D76-6084F87B10F0}"/>
            </a:ext>
          </a:extLst>
        </xdr:cNvPr>
        <xdr:cNvPicPr>
          <a:picLocks noChangeAspect="1"/>
        </xdr:cNvPicPr>
      </xdr:nvPicPr>
      <xdr:blipFill>
        <a:blip xmlns:r="http://schemas.openxmlformats.org/officeDocument/2006/relationships" r:embed="rId8"/>
        <a:stretch>
          <a:fillRect/>
        </a:stretch>
      </xdr:blipFill>
      <xdr:spPr>
        <a:xfrm>
          <a:off x="4483100" y="11226800"/>
          <a:ext cx="6997700" cy="228600"/>
        </a:xfrm>
        <a:prstGeom prst="rect">
          <a:avLst/>
        </a:prstGeom>
      </xdr:spPr>
    </xdr:pic>
    <xdr:clientData/>
  </xdr:twoCellAnchor>
  <xdr:twoCellAnchor editAs="oneCell">
    <xdr:from>
      <xdr:col>2</xdr:col>
      <xdr:colOff>50800</xdr:colOff>
      <xdr:row>53</xdr:row>
      <xdr:rowOff>12700</xdr:rowOff>
    </xdr:from>
    <xdr:to>
      <xdr:col>8</xdr:col>
      <xdr:colOff>635000</xdr:colOff>
      <xdr:row>54</xdr:row>
      <xdr:rowOff>25400</xdr:rowOff>
    </xdr:to>
    <xdr:pic>
      <xdr:nvPicPr>
        <xdr:cNvPr id="10" name="Picture 9">
          <a:extLst>
            <a:ext uri="{FF2B5EF4-FFF2-40B4-BE49-F238E27FC236}">
              <a16:creationId xmlns:a16="http://schemas.microsoft.com/office/drawing/2014/main" id="{606E9CC5-259D-7146-A500-7A29DEABDB8C}"/>
            </a:ext>
          </a:extLst>
        </xdr:cNvPr>
        <xdr:cNvPicPr>
          <a:picLocks noChangeAspect="1"/>
        </xdr:cNvPicPr>
      </xdr:nvPicPr>
      <xdr:blipFill>
        <a:blip xmlns:r="http://schemas.openxmlformats.org/officeDocument/2006/relationships" r:embed="rId9"/>
        <a:stretch>
          <a:fillRect/>
        </a:stretch>
      </xdr:blipFill>
      <xdr:spPr>
        <a:xfrm>
          <a:off x="4483100" y="11442700"/>
          <a:ext cx="6997700" cy="228600"/>
        </a:xfrm>
        <a:prstGeom prst="rect">
          <a:avLst/>
        </a:prstGeom>
      </xdr:spPr>
    </xdr:pic>
    <xdr:clientData/>
  </xdr:twoCellAnchor>
  <xdr:twoCellAnchor editAs="oneCell">
    <xdr:from>
      <xdr:col>2</xdr:col>
      <xdr:colOff>38100</xdr:colOff>
      <xdr:row>54</xdr:row>
      <xdr:rowOff>41817</xdr:rowOff>
    </xdr:from>
    <xdr:to>
      <xdr:col>8</xdr:col>
      <xdr:colOff>622300</xdr:colOff>
      <xdr:row>55</xdr:row>
      <xdr:rowOff>16417</xdr:rowOff>
    </xdr:to>
    <xdr:pic>
      <xdr:nvPicPr>
        <xdr:cNvPr id="11" name="Picture 10">
          <a:extLst>
            <a:ext uri="{FF2B5EF4-FFF2-40B4-BE49-F238E27FC236}">
              <a16:creationId xmlns:a16="http://schemas.microsoft.com/office/drawing/2014/main" id="{1B1C14D5-F24D-B64F-984A-60337500FC6F}"/>
            </a:ext>
          </a:extLst>
        </xdr:cNvPr>
        <xdr:cNvPicPr>
          <a:picLocks noChangeAspect="1"/>
        </xdr:cNvPicPr>
      </xdr:nvPicPr>
      <xdr:blipFill>
        <a:blip xmlns:r="http://schemas.openxmlformats.org/officeDocument/2006/relationships" r:embed="rId10"/>
        <a:stretch>
          <a:fillRect/>
        </a:stretch>
      </xdr:blipFill>
      <xdr:spPr>
        <a:xfrm>
          <a:off x="4470400" y="11675017"/>
          <a:ext cx="6997700" cy="228600"/>
        </a:xfrm>
        <a:prstGeom prst="rect">
          <a:avLst/>
        </a:prstGeom>
      </xdr:spPr>
    </xdr:pic>
    <xdr:clientData/>
  </xdr:twoCellAnchor>
  <xdr:twoCellAnchor editAs="oneCell">
    <xdr:from>
      <xdr:col>2</xdr:col>
      <xdr:colOff>50800</xdr:colOff>
      <xdr:row>55</xdr:row>
      <xdr:rowOff>12700</xdr:rowOff>
    </xdr:from>
    <xdr:to>
      <xdr:col>9</xdr:col>
      <xdr:colOff>584200</xdr:colOff>
      <xdr:row>55</xdr:row>
      <xdr:rowOff>213710</xdr:rowOff>
    </xdr:to>
    <xdr:pic>
      <xdr:nvPicPr>
        <xdr:cNvPr id="12" name="Picture 11">
          <a:extLst>
            <a:ext uri="{FF2B5EF4-FFF2-40B4-BE49-F238E27FC236}">
              <a16:creationId xmlns:a16="http://schemas.microsoft.com/office/drawing/2014/main" id="{44A201B1-32A8-3268-2D3A-93B24ABF2427}"/>
            </a:ext>
          </a:extLst>
        </xdr:cNvPr>
        <xdr:cNvPicPr>
          <a:picLocks noChangeAspect="1"/>
        </xdr:cNvPicPr>
      </xdr:nvPicPr>
      <xdr:blipFill>
        <a:blip xmlns:r="http://schemas.openxmlformats.org/officeDocument/2006/relationships" r:embed="rId11"/>
        <a:stretch>
          <a:fillRect/>
        </a:stretch>
      </xdr:blipFill>
      <xdr:spPr>
        <a:xfrm>
          <a:off x="4483100" y="11899900"/>
          <a:ext cx="7772400" cy="201010"/>
        </a:xfrm>
        <a:prstGeom prst="rect">
          <a:avLst/>
        </a:prstGeom>
      </xdr:spPr>
    </xdr:pic>
    <xdr:clientData/>
  </xdr:twoCellAnchor>
  <xdr:twoCellAnchor editAs="oneCell">
    <xdr:from>
      <xdr:col>2</xdr:col>
      <xdr:colOff>50800</xdr:colOff>
      <xdr:row>56</xdr:row>
      <xdr:rowOff>12700</xdr:rowOff>
    </xdr:from>
    <xdr:to>
      <xdr:col>9</xdr:col>
      <xdr:colOff>584200</xdr:colOff>
      <xdr:row>56</xdr:row>
      <xdr:rowOff>213710</xdr:rowOff>
    </xdr:to>
    <xdr:pic>
      <xdr:nvPicPr>
        <xdr:cNvPr id="13" name="Picture 12">
          <a:extLst>
            <a:ext uri="{FF2B5EF4-FFF2-40B4-BE49-F238E27FC236}">
              <a16:creationId xmlns:a16="http://schemas.microsoft.com/office/drawing/2014/main" id="{ACC606CC-8CD5-38F9-9487-6538B8E29904}"/>
            </a:ext>
          </a:extLst>
        </xdr:cNvPr>
        <xdr:cNvPicPr>
          <a:picLocks noChangeAspect="1"/>
        </xdr:cNvPicPr>
      </xdr:nvPicPr>
      <xdr:blipFill>
        <a:blip xmlns:r="http://schemas.openxmlformats.org/officeDocument/2006/relationships" r:embed="rId12"/>
        <a:stretch>
          <a:fillRect/>
        </a:stretch>
      </xdr:blipFill>
      <xdr:spPr>
        <a:xfrm>
          <a:off x="4483100" y="12103100"/>
          <a:ext cx="7772400" cy="2010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43</xdr:col>
      <xdr:colOff>434000</xdr:colOff>
      <xdr:row>407</xdr:row>
      <xdr:rowOff>148400</xdr:rowOff>
    </xdr:from>
    <xdr:to>
      <xdr:col>48</xdr:col>
      <xdr:colOff>756000</xdr:colOff>
      <xdr:row>417</xdr:row>
      <xdr:rowOff>351600</xdr:rowOff>
    </xdr:to>
    <xdr:graphicFrame macro="">
      <xdr:nvGraphicFramePr>
        <xdr:cNvPr id="3" name="Chart 2">
          <a:extLst>
            <a:ext uri="{FF2B5EF4-FFF2-40B4-BE49-F238E27FC236}">
              <a16:creationId xmlns:a16="http://schemas.microsoft.com/office/drawing/2014/main" id="{82669768-BC2B-523F-591C-0AB7AA469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344000</xdr:colOff>
      <xdr:row>418</xdr:row>
      <xdr:rowOff>258400</xdr:rowOff>
    </xdr:from>
    <xdr:to>
      <xdr:col>48</xdr:col>
      <xdr:colOff>226000</xdr:colOff>
      <xdr:row>421</xdr:row>
      <xdr:rowOff>621600</xdr:rowOff>
    </xdr:to>
    <xdr:graphicFrame macro="">
      <xdr:nvGraphicFramePr>
        <xdr:cNvPr id="4" name="Chart 3">
          <a:extLst>
            <a:ext uri="{FF2B5EF4-FFF2-40B4-BE49-F238E27FC236}">
              <a16:creationId xmlns:a16="http://schemas.microsoft.com/office/drawing/2014/main" id="{6B2CEB88-41C4-AE75-2828-6B0157B40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104000</xdr:colOff>
      <xdr:row>424</xdr:row>
      <xdr:rowOff>78400</xdr:rowOff>
    </xdr:from>
    <xdr:to>
      <xdr:col>46</xdr:col>
      <xdr:colOff>806000</xdr:colOff>
      <xdr:row>437</xdr:row>
      <xdr:rowOff>111600</xdr:rowOff>
    </xdr:to>
    <xdr:graphicFrame macro="">
      <xdr:nvGraphicFramePr>
        <xdr:cNvPr id="5" name="Chart 4">
          <a:extLst>
            <a:ext uri="{FF2B5EF4-FFF2-40B4-BE49-F238E27FC236}">
              <a16:creationId xmlns:a16="http://schemas.microsoft.com/office/drawing/2014/main" id="{34DF074F-55DD-971F-EF27-43EA8CCF4B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3614000</xdr:colOff>
      <xdr:row>417</xdr:row>
      <xdr:rowOff>158400</xdr:rowOff>
    </xdr:from>
    <xdr:to>
      <xdr:col>34</xdr:col>
      <xdr:colOff>36000</xdr:colOff>
      <xdr:row>419</xdr:row>
      <xdr:rowOff>1181600</xdr:rowOff>
    </xdr:to>
    <xdr:graphicFrame macro="">
      <xdr:nvGraphicFramePr>
        <xdr:cNvPr id="6" name="Chart 5">
          <a:extLst>
            <a:ext uri="{FF2B5EF4-FFF2-40B4-BE49-F238E27FC236}">
              <a16:creationId xmlns:a16="http://schemas.microsoft.com/office/drawing/2014/main" id="{5D140618-EBC0-44DF-4DD3-15A9F8835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3934000</xdr:colOff>
      <xdr:row>421</xdr:row>
      <xdr:rowOff>58400</xdr:rowOff>
    </xdr:from>
    <xdr:to>
      <xdr:col>34</xdr:col>
      <xdr:colOff>356000</xdr:colOff>
      <xdr:row>424</xdr:row>
      <xdr:rowOff>201600</xdr:rowOff>
    </xdr:to>
    <xdr:graphicFrame macro="">
      <xdr:nvGraphicFramePr>
        <xdr:cNvPr id="7" name="Chart 6">
          <a:extLst>
            <a:ext uri="{FF2B5EF4-FFF2-40B4-BE49-F238E27FC236}">
              <a16:creationId xmlns:a16="http://schemas.microsoft.com/office/drawing/2014/main" id="{8E5D575E-4C24-2868-E7E5-CC54621CE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711200</xdr:colOff>
      <xdr:row>4</xdr:row>
      <xdr:rowOff>177800</xdr:rowOff>
    </xdr:from>
    <xdr:to>
      <xdr:col>22</xdr:col>
      <xdr:colOff>533400</xdr:colOff>
      <xdr:row>28</xdr:row>
      <xdr:rowOff>114300</xdr:rowOff>
    </xdr:to>
    <xdr:graphicFrame macro="">
      <xdr:nvGraphicFramePr>
        <xdr:cNvPr id="3" name="Chart 2">
          <a:extLst>
            <a:ext uri="{FF2B5EF4-FFF2-40B4-BE49-F238E27FC236}">
              <a16:creationId xmlns:a16="http://schemas.microsoft.com/office/drawing/2014/main" id="{F4931B03-0CBE-2226-BEAB-3577A66C8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520700</xdr:colOff>
      <xdr:row>19</xdr:row>
      <xdr:rowOff>12700</xdr:rowOff>
    </xdr:from>
    <xdr:to>
      <xdr:col>4</xdr:col>
      <xdr:colOff>744220</xdr:colOff>
      <xdr:row>39</xdr:row>
      <xdr:rowOff>104140</xdr:rowOff>
    </xdr:to>
    <xdr:graphicFrame macro="">
      <xdr:nvGraphicFramePr>
        <xdr:cNvPr id="11" name="Chart 10">
          <a:extLst>
            <a:ext uri="{FF2B5EF4-FFF2-40B4-BE49-F238E27FC236}">
              <a16:creationId xmlns:a16="http://schemas.microsoft.com/office/drawing/2014/main" id="{43DEF8EE-57CA-3E4D-886F-A48C453DD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558800</xdr:colOff>
      <xdr:row>20</xdr:row>
      <xdr:rowOff>101600</xdr:rowOff>
    </xdr:from>
    <xdr:to>
      <xdr:col>1</xdr:col>
      <xdr:colOff>584200</xdr:colOff>
      <xdr:row>37</xdr:row>
      <xdr:rowOff>0</xdr:rowOff>
    </xdr:to>
    <xdr:cxnSp macro="">
      <xdr:nvCxnSpPr>
        <xdr:cNvPr id="13" name="Straight Connector 12">
          <a:extLst>
            <a:ext uri="{FF2B5EF4-FFF2-40B4-BE49-F238E27FC236}">
              <a16:creationId xmlns:a16="http://schemas.microsoft.com/office/drawing/2014/main" id="{CFD26C91-C5C9-BDA2-312C-BE88A50340DA}"/>
            </a:ext>
          </a:extLst>
        </xdr:cNvPr>
        <xdr:cNvCxnSpPr/>
      </xdr:nvCxnSpPr>
      <xdr:spPr>
        <a:xfrm flipH="1" flipV="1">
          <a:off x="2806700" y="4368800"/>
          <a:ext cx="25400" cy="33528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1333500</xdr:colOff>
      <xdr:row>20</xdr:row>
      <xdr:rowOff>101600</xdr:rowOff>
    </xdr:from>
    <xdr:to>
      <xdr:col>1</xdr:col>
      <xdr:colOff>1358900</xdr:colOff>
      <xdr:row>37</xdr:row>
      <xdr:rowOff>0</xdr:rowOff>
    </xdr:to>
    <xdr:cxnSp macro="">
      <xdr:nvCxnSpPr>
        <xdr:cNvPr id="16" name="Straight Connector 15">
          <a:extLst>
            <a:ext uri="{FF2B5EF4-FFF2-40B4-BE49-F238E27FC236}">
              <a16:creationId xmlns:a16="http://schemas.microsoft.com/office/drawing/2014/main" id="{C624C424-3221-BB48-8602-64999DDDAE9F}"/>
            </a:ext>
          </a:extLst>
        </xdr:cNvPr>
        <xdr:cNvCxnSpPr/>
      </xdr:nvCxnSpPr>
      <xdr:spPr>
        <a:xfrm flipH="1" flipV="1">
          <a:off x="3365500" y="4165600"/>
          <a:ext cx="25400" cy="33528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4</xdr:col>
      <xdr:colOff>1528602</xdr:colOff>
      <xdr:row>47</xdr:row>
      <xdr:rowOff>24069</xdr:rowOff>
    </xdr:to>
    <xdr:pic>
      <xdr:nvPicPr>
        <xdr:cNvPr id="2" name="Picture 1">
          <a:extLst>
            <a:ext uri="{FF2B5EF4-FFF2-40B4-BE49-F238E27FC236}">
              <a16:creationId xmlns:a16="http://schemas.microsoft.com/office/drawing/2014/main" id="{31F8E61C-808E-449D-B98D-BFCA97EEF747}"/>
            </a:ext>
          </a:extLst>
        </xdr:cNvPr>
        <xdr:cNvPicPr>
          <a:picLocks noChangeAspect="1"/>
        </xdr:cNvPicPr>
      </xdr:nvPicPr>
      <xdr:blipFill>
        <a:blip xmlns:r="http://schemas.openxmlformats.org/officeDocument/2006/relationships" r:embed="rId1"/>
        <a:stretch>
          <a:fillRect/>
        </a:stretch>
      </xdr:blipFill>
      <xdr:spPr>
        <a:xfrm>
          <a:off x="0" y="3802380"/>
          <a:ext cx="8904762" cy="5571429"/>
        </a:xfrm>
        <a:prstGeom prst="rect">
          <a:avLst/>
        </a:prstGeom>
      </xdr:spPr>
    </xdr:pic>
    <xdr:clientData/>
  </xdr:twoCellAnchor>
  <xdr:twoCellAnchor editAs="oneCell">
    <xdr:from>
      <xdr:col>0</xdr:col>
      <xdr:colOff>0</xdr:colOff>
      <xdr:row>48</xdr:row>
      <xdr:rowOff>0</xdr:rowOff>
    </xdr:from>
    <xdr:to>
      <xdr:col>2</xdr:col>
      <xdr:colOff>399524</xdr:colOff>
      <xdr:row>68</xdr:row>
      <xdr:rowOff>132838</xdr:rowOff>
    </xdr:to>
    <xdr:pic>
      <xdr:nvPicPr>
        <xdr:cNvPr id="3" name="Picture 2">
          <a:extLst>
            <a:ext uri="{FF2B5EF4-FFF2-40B4-BE49-F238E27FC236}">
              <a16:creationId xmlns:a16="http://schemas.microsoft.com/office/drawing/2014/main" id="{5F4EC45E-37BB-439E-AE54-6AC3DD3CB819}"/>
            </a:ext>
          </a:extLst>
        </xdr:cNvPr>
        <xdr:cNvPicPr>
          <a:picLocks noChangeAspect="1"/>
        </xdr:cNvPicPr>
      </xdr:nvPicPr>
      <xdr:blipFill>
        <a:blip xmlns:r="http://schemas.openxmlformats.org/officeDocument/2006/relationships" r:embed="rId2"/>
        <a:stretch>
          <a:fillRect/>
        </a:stretch>
      </xdr:blipFill>
      <xdr:spPr>
        <a:xfrm>
          <a:off x="0" y="9547860"/>
          <a:ext cx="4209524" cy="4095238"/>
        </a:xfrm>
        <a:prstGeom prst="rect">
          <a:avLst/>
        </a:prstGeom>
      </xdr:spPr>
    </xdr:pic>
    <xdr:clientData/>
  </xdr:twoCellAnchor>
  <xdr:twoCellAnchor editAs="oneCell">
    <xdr:from>
      <xdr:col>2</xdr:col>
      <xdr:colOff>0</xdr:colOff>
      <xdr:row>48</xdr:row>
      <xdr:rowOff>0</xdr:rowOff>
    </xdr:from>
    <xdr:to>
      <xdr:col>4</xdr:col>
      <xdr:colOff>643364</xdr:colOff>
      <xdr:row>68</xdr:row>
      <xdr:rowOff>132838</xdr:rowOff>
    </xdr:to>
    <xdr:pic>
      <xdr:nvPicPr>
        <xdr:cNvPr id="4" name="Picture 3">
          <a:extLst>
            <a:ext uri="{FF2B5EF4-FFF2-40B4-BE49-F238E27FC236}">
              <a16:creationId xmlns:a16="http://schemas.microsoft.com/office/drawing/2014/main" id="{5BFA6F85-0F49-4C2E-863B-DC2E9F197AB8}"/>
            </a:ext>
          </a:extLst>
        </xdr:cNvPr>
        <xdr:cNvPicPr>
          <a:picLocks noChangeAspect="1"/>
        </xdr:cNvPicPr>
      </xdr:nvPicPr>
      <xdr:blipFill>
        <a:blip xmlns:r="http://schemas.openxmlformats.org/officeDocument/2006/relationships" r:embed="rId3"/>
        <a:stretch>
          <a:fillRect/>
        </a:stretch>
      </xdr:blipFill>
      <xdr:spPr>
        <a:xfrm>
          <a:off x="3810000" y="9547860"/>
          <a:ext cx="4209524" cy="4095238"/>
        </a:xfrm>
        <a:prstGeom prst="rect">
          <a:avLst/>
        </a:prstGeom>
      </xdr:spPr>
    </xdr:pic>
    <xdr:clientData/>
  </xdr:twoCellAnchor>
  <xdr:twoCellAnchor editAs="oneCell">
    <xdr:from>
      <xdr:col>0</xdr:col>
      <xdr:colOff>0</xdr:colOff>
      <xdr:row>69</xdr:row>
      <xdr:rowOff>0</xdr:rowOff>
    </xdr:from>
    <xdr:to>
      <xdr:col>4</xdr:col>
      <xdr:colOff>1528602</xdr:colOff>
      <xdr:row>97</xdr:row>
      <xdr:rowOff>24069</xdr:rowOff>
    </xdr:to>
    <xdr:pic>
      <xdr:nvPicPr>
        <xdr:cNvPr id="5" name="Picture 4">
          <a:extLst>
            <a:ext uri="{FF2B5EF4-FFF2-40B4-BE49-F238E27FC236}">
              <a16:creationId xmlns:a16="http://schemas.microsoft.com/office/drawing/2014/main" id="{CAE138BB-B418-4AE4-AA95-C8FC340EDAF6}"/>
            </a:ext>
          </a:extLst>
        </xdr:cNvPr>
        <xdr:cNvPicPr>
          <a:picLocks noChangeAspect="1"/>
        </xdr:cNvPicPr>
      </xdr:nvPicPr>
      <xdr:blipFill>
        <a:blip xmlns:r="http://schemas.openxmlformats.org/officeDocument/2006/relationships" r:embed="rId4"/>
        <a:stretch>
          <a:fillRect/>
        </a:stretch>
      </xdr:blipFill>
      <xdr:spPr>
        <a:xfrm>
          <a:off x="0" y="13708380"/>
          <a:ext cx="8904762" cy="5571429"/>
        </a:xfrm>
        <a:prstGeom prst="rect">
          <a:avLst/>
        </a:prstGeom>
      </xdr:spPr>
    </xdr:pic>
    <xdr:clientData/>
  </xdr:twoCellAnchor>
  <xdr:twoCellAnchor editAs="oneCell">
    <xdr:from>
      <xdr:col>0</xdr:col>
      <xdr:colOff>0</xdr:colOff>
      <xdr:row>97</xdr:row>
      <xdr:rowOff>0</xdr:rowOff>
    </xdr:from>
    <xdr:to>
      <xdr:col>3</xdr:col>
      <xdr:colOff>1340253</xdr:colOff>
      <xdr:row>124</xdr:row>
      <xdr:rowOff>60284</xdr:rowOff>
    </xdr:to>
    <xdr:pic>
      <xdr:nvPicPr>
        <xdr:cNvPr id="6" name="Picture 5">
          <a:extLst>
            <a:ext uri="{FF2B5EF4-FFF2-40B4-BE49-F238E27FC236}">
              <a16:creationId xmlns:a16="http://schemas.microsoft.com/office/drawing/2014/main" id="{8D1B9F48-0417-4BB5-9BC8-1F017B8B34A0}"/>
            </a:ext>
          </a:extLst>
        </xdr:cNvPr>
        <xdr:cNvPicPr>
          <a:picLocks noChangeAspect="1"/>
        </xdr:cNvPicPr>
      </xdr:nvPicPr>
      <xdr:blipFill>
        <a:blip xmlns:r="http://schemas.openxmlformats.org/officeDocument/2006/relationships" r:embed="rId5"/>
        <a:stretch>
          <a:fillRect/>
        </a:stretch>
      </xdr:blipFill>
      <xdr:spPr>
        <a:xfrm>
          <a:off x="0" y="19255740"/>
          <a:ext cx="6933333" cy="5409524"/>
        </a:xfrm>
        <a:prstGeom prst="rect">
          <a:avLst/>
        </a:prstGeom>
      </xdr:spPr>
    </xdr:pic>
    <xdr:clientData/>
  </xdr:twoCellAnchor>
  <xdr:twoCellAnchor editAs="oneCell">
    <xdr:from>
      <xdr:col>3</xdr:col>
      <xdr:colOff>1183640</xdr:colOff>
      <xdr:row>96</xdr:row>
      <xdr:rowOff>187960</xdr:rowOff>
    </xdr:from>
    <xdr:to>
      <xdr:col>9</xdr:col>
      <xdr:colOff>275993</xdr:colOff>
      <xdr:row>124</xdr:row>
      <xdr:rowOff>45044</xdr:rowOff>
    </xdr:to>
    <xdr:pic>
      <xdr:nvPicPr>
        <xdr:cNvPr id="7" name="Picture 6">
          <a:extLst>
            <a:ext uri="{FF2B5EF4-FFF2-40B4-BE49-F238E27FC236}">
              <a16:creationId xmlns:a16="http://schemas.microsoft.com/office/drawing/2014/main" id="{D2E95EE6-8A0C-4394-A736-E2DE13C26233}"/>
            </a:ext>
          </a:extLst>
        </xdr:cNvPr>
        <xdr:cNvPicPr>
          <a:picLocks noChangeAspect="1"/>
        </xdr:cNvPicPr>
      </xdr:nvPicPr>
      <xdr:blipFill>
        <a:blip xmlns:r="http://schemas.openxmlformats.org/officeDocument/2006/relationships" r:embed="rId6"/>
        <a:stretch>
          <a:fillRect/>
        </a:stretch>
      </xdr:blipFill>
      <xdr:spPr>
        <a:xfrm>
          <a:off x="6771640" y="19911060"/>
          <a:ext cx="6902853" cy="5546684"/>
        </a:xfrm>
        <a:prstGeom prst="rect">
          <a:avLst/>
        </a:prstGeom>
      </xdr:spPr>
    </xdr:pic>
    <xdr:clientData/>
  </xdr:twoCellAnchor>
  <xdr:twoCellAnchor editAs="oneCell">
    <xdr:from>
      <xdr:col>0</xdr:col>
      <xdr:colOff>0</xdr:colOff>
      <xdr:row>124</xdr:row>
      <xdr:rowOff>0</xdr:rowOff>
    </xdr:from>
    <xdr:to>
      <xdr:col>4</xdr:col>
      <xdr:colOff>1528602</xdr:colOff>
      <xdr:row>152</xdr:row>
      <xdr:rowOff>24069</xdr:rowOff>
    </xdr:to>
    <xdr:pic>
      <xdr:nvPicPr>
        <xdr:cNvPr id="8" name="Picture 7">
          <a:extLst>
            <a:ext uri="{FF2B5EF4-FFF2-40B4-BE49-F238E27FC236}">
              <a16:creationId xmlns:a16="http://schemas.microsoft.com/office/drawing/2014/main" id="{B67554B7-70A2-4F36-ACBD-D6AB96C049E1}"/>
            </a:ext>
          </a:extLst>
        </xdr:cNvPr>
        <xdr:cNvPicPr>
          <a:picLocks noChangeAspect="1"/>
        </xdr:cNvPicPr>
      </xdr:nvPicPr>
      <xdr:blipFill>
        <a:blip xmlns:r="http://schemas.openxmlformats.org/officeDocument/2006/relationships" r:embed="rId7"/>
        <a:stretch>
          <a:fillRect/>
        </a:stretch>
      </xdr:blipFill>
      <xdr:spPr>
        <a:xfrm>
          <a:off x="0" y="24604980"/>
          <a:ext cx="8904762" cy="5571429"/>
        </a:xfrm>
        <a:prstGeom prst="rect">
          <a:avLst/>
        </a:prstGeom>
      </xdr:spPr>
    </xdr:pic>
    <xdr:clientData/>
  </xdr:twoCellAnchor>
  <xdr:twoCellAnchor editAs="oneCell">
    <xdr:from>
      <xdr:col>0</xdr:col>
      <xdr:colOff>0</xdr:colOff>
      <xdr:row>153</xdr:row>
      <xdr:rowOff>0</xdr:rowOff>
    </xdr:from>
    <xdr:to>
      <xdr:col>3</xdr:col>
      <xdr:colOff>1435491</xdr:colOff>
      <xdr:row>179</xdr:row>
      <xdr:rowOff>134594</xdr:rowOff>
    </xdr:to>
    <xdr:pic>
      <xdr:nvPicPr>
        <xdr:cNvPr id="9" name="Picture 8">
          <a:extLst>
            <a:ext uri="{FF2B5EF4-FFF2-40B4-BE49-F238E27FC236}">
              <a16:creationId xmlns:a16="http://schemas.microsoft.com/office/drawing/2014/main" id="{3E60B763-BD50-4026-B6E1-BB3E1FCBB723}"/>
            </a:ext>
          </a:extLst>
        </xdr:cNvPr>
        <xdr:cNvPicPr>
          <a:picLocks noChangeAspect="1"/>
        </xdr:cNvPicPr>
      </xdr:nvPicPr>
      <xdr:blipFill>
        <a:blip xmlns:r="http://schemas.openxmlformats.org/officeDocument/2006/relationships" r:embed="rId8"/>
        <a:stretch>
          <a:fillRect/>
        </a:stretch>
      </xdr:blipFill>
      <xdr:spPr>
        <a:xfrm>
          <a:off x="0" y="30350460"/>
          <a:ext cx="7028571" cy="5285714"/>
        </a:xfrm>
        <a:prstGeom prst="rect">
          <a:avLst/>
        </a:prstGeom>
      </xdr:spPr>
    </xdr:pic>
    <xdr:clientData/>
  </xdr:twoCellAnchor>
  <xdr:twoCellAnchor editAs="oneCell">
    <xdr:from>
      <xdr:col>4</xdr:col>
      <xdr:colOff>0</xdr:colOff>
      <xdr:row>153</xdr:row>
      <xdr:rowOff>0</xdr:rowOff>
    </xdr:from>
    <xdr:to>
      <xdr:col>10</xdr:col>
      <xdr:colOff>140091</xdr:colOff>
      <xdr:row>179</xdr:row>
      <xdr:rowOff>134594</xdr:rowOff>
    </xdr:to>
    <xdr:pic>
      <xdr:nvPicPr>
        <xdr:cNvPr id="10" name="Picture 9">
          <a:extLst>
            <a:ext uri="{FF2B5EF4-FFF2-40B4-BE49-F238E27FC236}">
              <a16:creationId xmlns:a16="http://schemas.microsoft.com/office/drawing/2014/main" id="{DB2C76EE-2116-4FED-9AB1-E34876670D33}"/>
            </a:ext>
          </a:extLst>
        </xdr:cNvPr>
        <xdr:cNvPicPr>
          <a:picLocks noChangeAspect="1"/>
        </xdr:cNvPicPr>
      </xdr:nvPicPr>
      <xdr:blipFill>
        <a:blip xmlns:r="http://schemas.openxmlformats.org/officeDocument/2006/relationships" r:embed="rId9"/>
        <a:stretch>
          <a:fillRect/>
        </a:stretch>
      </xdr:blipFill>
      <xdr:spPr>
        <a:xfrm>
          <a:off x="7376160" y="30350460"/>
          <a:ext cx="7028571" cy="5285714"/>
        </a:xfrm>
        <a:prstGeom prst="rect">
          <a:avLst/>
        </a:prstGeom>
      </xdr:spPr>
    </xdr:pic>
    <xdr:clientData/>
  </xdr:twoCellAnchor>
  <xdr:twoCellAnchor>
    <xdr:from>
      <xdr:col>11</xdr:col>
      <xdr:colOff>141196</xdr:colOff>
      <xdr:row>53</xdr:row>
      <xdr:rowOff>158474</xdr:rowOff>
    </xdr:from>
    <xdr:to>
      <xdr:col>16</xdr:col>
      <xdr:colOff>1036702</xdr:colOff>
      <xdr:row>74</xdr:row>
      <xdr:rowOff>133074</xdr:rowOff>
    </xdr:to>
    <xdr:graphicFrame macro="">
      <xdr:nvGraphicFramePr>
        <xdr:cNvPr id="13" name="Chart 12">
          <a:extLst>
            <a:ext uri="{FF2B5EF4-FFF2-40B4-BE49-F238E27FC236}">
              <a16:creationId xmlns:a16="http://schemas.microsoft.com/office/drawing/2014/main" id="{212EAD37-34C2-5A62-A148-90EB8DC4DB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2</xdr:col>
      <xdr:colOff>200026</xdr:colOff>
      <xdr:row>37</xdr:row>
      <xdr:rowOff>155575</xdr:rowOff>
    </xdr:from>
    <xdr:ext cx="4628571" cy="2609524"/>
    <xdr:pic>
      <xdr:nvPicPr>
        <xdr:cNvPr id="2" name="Picture 1">
          <a:extLst>
            <a:ext uri="{FF2B5EF4-FFF2-40B4-BE49-F238E27FC236}">
              <a16:creationId xmlns:a16="http://schemas.microsoft.com/office/drawing/2014/main" id="{DD57B694-3F9C-4A0C-9506-49434F710303}"/>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226" y="6146800"/>
          <a:ext cx="4628571" cy="2609524"/>
        </a:xfrm>
        <a:prstGeom prst="rect">
          <a:avLst/>
        </a:prstGeom>
      </xdr:spPr>
    </xdr:pic>
    <xdr:clientData/>
  </xdr:oneCellAnchor>
  <xdr:oneCellAnchor>
    <xdr:from>
      <xdr:col>2</xdr:col>
      <xdr:colOff>200026</xdr:colOff>
      <xdr:row>97</xdr:row>
      <xdr:rowOff>3176</xdr:rowOff>
    </xdr:from>
    <xdr:ext cx="4628571" cy="3152381"/>
    <xdr:pic>
      <xdr:nvPicPr>
        <xdr:cNvPr id="3" name="Picture 2">
          <a:extLst>
            <a:ext uri="{FF2B5EF4-FFF2-40B4-BE49-F238E27FC236}">
              <a16:creationId xmlns:a16="http://schemas.microsoft.com/office/drawing/2014/main" id="{591BB7C3-8CFF-43FF-A481-093043464DA4}"/>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5709901"/>
          <a:ext cx="4628571" cy="3152381"/>
        </a:xfrm>
        <a:prstGeom prst="rect">
          <a:avLst/>
        </a:prstGeom>
      </xdr:spPr>
    </xdr:pic>
    <xdr:clientData/>
  </xdr:oneCellAnchor>
  <xdr:oneCellAnchor>
    <xdr:from>
      <xdr:col>2</xdr:col>
      <xdr:colOff>200026</xdr:colOff>
      <xdr:row>161</xdr:row>
      <xdr:rowOff>3176</xdr:rowOff>
    </xdr:from>
    <xdr:ext cx="4628571" cy="3152381"/>
    <xdr:pic>
      <xdr:nvPicPr>
        <xdr:cNvPr id="4" name="Picture 3">
          <a:extLst>
            <a:ext uri="{FF2B5EF4-FFF2-40B4-BE49-F238E27FC236}">
              <a16:creationId xmlns:a16="http://schemas.microsoft.com/office/drawing/2014/main" id="{B0833A46-DE32-4DEB-8C22-1480CB9C47AD}"/>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26073101"/>
          <a:ext cx="4628571" cy="3152381"/>
        </a:xfrm>
        <a:prstGeom prst="rect">
          <a:avLst/>
        </a:prstGeom>
      </xdr:spPr>
    </xdr:pic>
    <xdr:clientData/>
  </xdr:oneCellAnchor>
  <xdr:oneCellAnchor>
    <xdr:from>
      <xdr:col>2</xdr:col>
      <xdr:colOff>200026</xdr:colOff>
      <xdr:row>225</xdr:row>
      <xdr:rowOff>3175</xdr:rowOff>
    </xdr:from>
    <xdr:ext cx="4628571" cy="3590476"/>
    <xdr:pic>
      <xdr:nvPicPr>
        <xdr:cNvPr id="5" name="Picture 4">
          <a:extLst>
            <a:ext uri="{FF2B5EF4-FFF2-40B4-BE49-F238E27FC236}">
              <a16:creationId xmlns:a16="http://schemas.microsoft.com/office/drawing/2014/main" id="{E99E202F-DCFC-46B2-9FE2-868F05657F2F}"/>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19226" y="36436300"/>
          <a:ext cx="4628571" cy="3590476"/>
        </a:xfrm>
        <a:prstGeom prst="rect">
          <a:avLst/>
        </a:prstGeom>
      </xdr:spPr>
    </xdr:pic>
    <xdr:clientData/>
  </xdr:oneCellAnchor>
  <xdr:oneCellAnchor>
    <xdr:from>
      <xdr:col>7</xdr:col>
      <xdr:colOff>34926</xdr:colOff>
      <xdr:row>289</xdr:row>
      <xdr:rowOff>3175</xdr:rowOff>
    </xdr:from>
    <xdr:ext cx="1847619" cy="969430"/>
    <xdr:pic>
      <xdr:nvPicPr>
        <xdr:cNvPr id="6" name="Picture 5">
          <a:extLst>
            <a:ext uri="{FF2B5EF4-FFF2-40B4-BE49-F238E27FC236}">
              <a16:creationId xmlns:a16="http://schemas.microsoft.com/office/drawing/2014/main" id="{541DAFBE-2EC6-4258-BC29-F26AF2D01042}"/>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02126" y="46799500"/>
          <a:ext cx="1847619" cy="969430"/>
        </a:xfrm>
        <a:prstGeom prst="rect">
          <a:avLst/>
        </a:prstGeom>
      </xdr:spPr>
    </xdr:pic>
    <xdr:clientData/>
  </xdr:oneCellAnchor>
  <xdr:oneCellAnchor>
    <xdr:from>
      <xdr:col>7</xdr:col>
      <xdr:colOff>34926</xdr:colOff>
      <xdr:row>298</xdr:row>
      <xdr:rowOff>158750</xdr:rowOff>
    </xdr:from>
    <xdr:ext cx="1847619" cy="969430"/>
    <xdr:pic>
      <xdr:nvPicPr>
        <xdr:cNvPr id="7" name="Picture 6">
          <a:extLst>
            <a:ext uri="{FF2B5EF4-FFF2-40B4-BE49-F238E27FC236}">
              <a16:creationId xmlns:a16="http://schemas.microsoft.com/office/drawing/2014/main" id="{0E475145-23C6-4935-87AC-D1E72BDCEBEB}"/>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02126" y="48412400"/>
          <a:ext cx="1847619" cy="969430"/>
        </a:xfrm>
        <a:prstGeom prst="rect">
          <a:avLst/>
        </a:prstGeom>
      </xdr:spPr>
    </xdr:pic>
    <xdr:clientData/>
  </xdr:oneCellAnchor>
  <xdr:oneCellAnchor>
    <xdr:from>
      <xdr:col>7</xdr:col>
      <xdr:colOff>34926</xdr:colOff>
      <xdr:row>309</xdr:row>
      <xdr:rowOff>3175</xdr:rowOff>
    </xdr:from>
    <xdr:ext cx="1847619" cy="969430"/>
    <xdr:pic>
      <xdr:nvPicPr>
        <xdr:cNvPr id="8" name="Picture 7">
          <a:extLst>
            <a:ext uri="{FF2B5EF4-FFF2-40B4-BE49-F238E27FC236}">
              <a16:creationId xmlns:a16="http://schemas.microsoft.com/office/drawing/2014/main" id="{BFA4499A-8D8B-409E-9B35-535AB1122C78}"/>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2126" y="50038000"/>
          <a:ext cx="1847619" cy="969430"/>
        </a:xfrm>
        <a:prstGeom prst="rect">
          <a:avLst/>
        </a:prstGeom>
      </xdr:spPr>
    </xdr:pic>
    <xdr:clientData/>
  </xdr:oneCellAnchor>
  <xdr:oneCellAnchor>
    <xdr:from>
      <xdr:col>7</xdr:col>
      <xdr:colOff>34926</xdr:colOff>
      <xdr:row>318</xdr:row>
      <xdr:rowOff>158750</xdr:rowOff>
    </xdr:from>
    <xdr:ext cx="1847619" cy="969430"/>
    <xdr:pic>
      <xdr:nvPicPr>
        <xdr:cNvPr id="9" name="Picture 8">
          <a:extLst>
            <a:ext uri="{FF2B5EF4-FFF2-40B4-BE49-F238E27FC236}">
              <a16:creationId xmlns:a16="http://schemas.microsoft.com/office/drawing/2014/main" id="{C75FD368-1D8B-4041-9B41-4CAADC81DBFA}"/>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2126" y="51650900"/>
          <a:ext cx="1847619" cy="969430"/>
        </a:xfrm>
        <a:prstGeom prst="rect">
          <a:avLst/>
        </a:prstGeom>
      </xdr:spPr>
    </xdr:pic>
    <xdr:clientData/>
  </xdr:oneCellAnchor>
  <xdr:oneCellAnchor>
    <xdr:from>
      <xdr:col>7</xdr:col>
      <xdr:colOff>34926</xdr:colOff>
      <xdr:row>329</xdr:row>
      <xdr:rowOff>3175</xdr:rowOff>
    </xdr:from>
    <xdr:ext cx="1847619" cy="969430"/>
    <xdr:pic>
      <xdr:nvPicPr>
        <xdr:cNvPr id="10" name="Picture 9">
          <a:extLst>
            <a:ext uri="{FF2B5EF4-FFF2-40B4-BE49-F238E27FC236}">
              <a16:creationId xmlns:a16="http://schemas.microsoft.com/office/drawing/2014/main" id="{7CB19E01-E6D4-48EF-9C77-122CFB6253AA}"/>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02126" y="53276500"/>
          <a:ext cx="1847619" cy="969430"/>
        </a:xfrm>
        <a:prstGeom prst="rect">
          <a:avLst/>
        </a:prstGeom>
      </xdr:spPr>
    </xdr:pic>
    <xdr:clientData/>
  </xdr:oneCellAnchor>
  <xdr:oneCellAnchor>
    <xdr:from>
      <xdr:col>7</xdr:col>
      <xdr:colOff>34926</xdr:colOff>
      <xdr:row>338</xdr:row>
      <xdr:rowOff>158750</xdr:rowOff>
    </xdr:from>
    <xdr:ext cx="1847619" cy="969430"/>
    <xdr:pic>
      <xdr:nvPicPr>
        <xdr:cNvPr id="11" name="Picture 10">
          <a:extLst>
            <a:ext uri="{FF2B5EF4-FFF2-40B4-BE49-F238E27FC236}">
              <a16:creationId xmlns:a16="http://schemas.microsoft.com/office/drawing/2014/main" id="{53286081-7A62-42E0-9BBA-963EB4250DCB}"/>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02126" y="54889400"/>
          <a:ext cx="1847619" cy="969430"/>
        </a:xfrm>
        <a:prstGeom prst="rect">
          <a:avLst/>
        </a:prstGeom>
      </xdr:spPr>
    </xdr:pic>
    <xdr:clientData/>
  </xdr:oneCellAnchor>
  <xdr:oneCellAnchor>
    <xdr:from>
      <xdr:col>7</xdr:col>
      <xdr:colOff>34926</xdr:colOff>
      <xdr:row>349</xdr:row>
      <xdr:rowOff>3175</xdr:rowOff>
    </xdr:from>
    <xdr:ext cx="1847619" cy="969430"/>
    <xdr:pic>
      <xdr:nvPicPr>
        <xdr:cNvPr id="12" name="Picture 11">
          <a:extLst>
            <a:ext uri="{FF2B5EF4-FFF2-40B4-BE49-F238E27FC236}">
              <a16:creationId xmlns:a16="http://schemas.microsoft.com/office/drawing/2014/main" id="{68D3FB42-935B-482D-85BA-241D1751AA18}"/>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02126" y="56515000"/>
          <a:ext cx="1847619" cy="969430"/>
        </a:xfrm>
        <a:prstGeom prst="rect">
          <a:avLst/>
        </a:prstGeom>
      </xdr:spPr>
    </xdr:pic>
    <xdr:clientData/>
  </xdr:oneCellAnchor>
  <xdr:oneCellAnchor>
    <xdr:from>
      <xdr:col>7</xdr:col>
      <xdr:colOff>34926</xdr:colOff>
      <xdr:row>358</xdr:row>
      <xdr:rowOff>158750</xdr:rowOff>
    </xdr:from>
    <xdr:ext cx="1847619" cy="969430"/>
    <xdr:pic>
      <xdr:nvPicPr>
        <xdr:cNvPr id="13" name="Picture 12">
          <a:extLst>
            <a:ext uri="{FF2B5EF4-FFF2-40B4-BE49-F238E27FC236}">
              <a16:creationId xmlns:a16="http://schemas.microsoft.com/office/drawing/2014/main" id="{4F0CE64C-CFBA-4D28-8014-5A4A4ED121C4}"/>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02126" y="58127900"/>
          <a:ext cx="1847619" cy="969430"/>
        </a:xfrm>
        <a:prstGeom prst="rect">
          <a:avLst/>
        </a:prstGeom>
      </xdr:spPr>
    </xdr:pic>
    <xdr:clientData/>
  </xdr:oneCellAnchor>
  <xdr:oneCellAnchor>
    <xdr:from>
      <xdr:col>7</xdr:col>
      <xdr:colOff>34926</xdr:colOff>
      <xdr:row>369</xdr:row>
      <xdr:rowOff>3175</xdr:rowOff>
    </xdr:from>
    <xdr:ext cx="1847619" cy="969430"/>
    <xdr:pic>
      <xdr:nvPicPr>
        <xdr:cNvPr id="14" name="Picture 13">
          <a:extLst>
            <a:ext uri="{FF2B5EF4-FFF2-40B4-BE49-F238E27FC236}">
              <a16:creationId xmlns:a16="http://schemas.microsoft.com/office/drawing/2014/main" id="{D776F8DA-99F9-4AA7-BA77-FDB882EF04B8}"/>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02126" y="59753500"/>
          <a:ext cx="1847619" cy="969430"/>
        </a:xfrm>
        <a:prstGeom prst="rect">
          <a:avLst/>
        </a:prstGeom>
      </xdr:spPr>
    </xdr:pic>
    <xdr:clientData/>
  </xdr:oneCellAnchor>
  <xdr:oneCellAnchor>
    <xdr:from>
      <xdr:col>7</xdr:col>
      <xdr:colOff>34926</xdr:colOff>
      <xdr:row>378</xdr:row>
      <xdr:rowOff>158750</xdr:rowOff>
    </xdr:from>
    <xdr:ext cx="1847619" cy="969430"/>
    <xdr:pic>
      <xdr:nvPicPr>
        <xdr:cNvPr id="15" name="Picture 14">
          <a:extLst>
            <a:ext uri="{FF2B5EF4-FFF2-40B4-BE49-F238E27FC236}">
              <a16:creationId xmlns:a16="http://schemas.microsoft.com/office/drawing/2014/main" id="{0CFC04DD-C3AC-4F35-9494-078835D59CC3}"/>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02126" y="61366400"/>
          <a:ext cx="1847619" cy="969430"/>
        </a:xfrm>
        <a:prstGeom prst="rect">
          <a:avLst/>
        </a:prstGeom>
      </xdr:spPr>
    </xdr:pic>
    <xdr:clientData/>
  </xdr:oneCellAnchor>
  <xdr:oneCellAnchor>
    <xdr:from>
      <xdr:col>7</xdr:col>
      <xdr:colOff>34926</xdr:colOff>
      <xdr:row>389</xdr:row>
      <xdr:rowOff>3175</xdr:rowOff>
    </xdr:from>
    <xdr:ext cx="1847619" cy="969430"/>
    <xdr:pic>
      <xdr:nvPicPr>
        <xdr:cNvPr id="16" name="Picture 15">
          <a:extLst>
            <a:ext uri="{FF2B5EF4-FFF2-40B4-BE49-F238E27FC236}">
              <a16:creationId xmlns:a16="http://schemas.microsoft.com/office/drawing/2014/main" id="{042C0046-2390-42B7-AF98-8651299D92C7}"/>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02126" y="62992000"/>
          <a:ext cx="1847619" cy="969430"/>
        </a:xfrm>
        <a:prstGeom prst="rect">
          <a:avLst/>
        </a:prstGeom>
      </xdr:spPr>
    </xdr:pic>
    <xdr:clientData/>
  </xdr:oneCellAnchor>
  <xdr:oneCellAnchor>
    <xdr:from>
      <xdr:col>7</xdr:col>
      <xdr:colOff>34926</xdr:colOff>
      <xdr:row>398</xdr:row>
      <xdr:rowOff>158750</xdr:rowOff>
    </xdr:from>
    <xdr:ext cx="1847619" cy="969430"/>
    <xdr:pic>
      <xdr:nvPicPr>
        <xdr:cNvPr id="17" name="Picture 16">
          <a:extLst>
            <a:ext uri="{FF2B5EF4-FFF2-40B4-BE49-F238E27FC236}">
              <a16:creationId xmlns:a16="http://schemas.microsoft.com/office/drawing/2014/main" id="{A5A93D5F-F8B7-48CD-B32E-A6E657681DF7}"/>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02126" y="64604900"/>
          <a:ext cx="1847619" cy="969430"/>
        </a:xfrm>
        <a:prstGeom prst="rect">
          <a:avLst/>
        </a:prstGeom>
      </xdr:spPr>
    </xdr:pic>
    <xdr:clientData/>
  </xdr:oneCellAnchor>
  <xdr:oneCellAnchor>
    <xdr:from>
      <xdr:col>7</xdr:col>
      <xdr:colOff>34926</xdr:colOff>
      <xdr:row>409</xdr:row>
      <xdr:rowOff>3175</xdr:rowOff>
    </xdr:from>
    <xdr:ext cx="1847619" cy="969430"/>
    <xdr:pic>
      <xdr:nvPicPr>
        <xdr:cNvPr id="18" name="Picture 17">
          <a:extLst>
            <a:ext uri="{FF2B5EF4-FFF2-40B4-BE49-F238E27FC236}">
              <a16:creationId xmlns:a16="http://schemas.microsoft.com/office/drawing/2014/main" id="{E5C0D851-F14B-4A65-9466-FC125ECE2842}"/>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302126" y="66230500"/>
          <a:ext cx="1847619" cy="969430"/>
        </a:xfrm>
        <a:prstGeom prst="rect">
          <a:avLst/>
        </a:prstGeom>
      </xdr:spPr>
    </xdr:pic>
    <xdr:clientData/>
  </xdr:oneCellAnchor>
  <xdr:oneCellAnchor>
    <xdr:from>
      <xdr:col>7</xdr:col>
      <xdr:colOff>34926</xdr:colOff>
      <xdr:row>418</xdr:row>
      <xdr:rowOff>158750</xdr:rowOff>
    </xdr:from>
    <xdr:ext cx="1847619" cy="969430"/>
    <xdr:pic>
      <xdr:nvPicPr>
        <xdr:cNvPr id="19" name="Picture 18">
          <a:extLst>
            <a:ext uri="{FF2B5EF4-FFF2-40B4-BE49-F238E27FC236}">
              <a16:creationId xmlns:a16="http://schemas.microsoft.com/office/drawing/2014/main" id="{59D6CB2B-4558-4FFB-8FEF-A657377DEBBB}"/>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02126" y="67843400"/>
          <a:ext cx="1847619" cy="969430"/>
        </a:xfrm>
        <a:prstGeom prst="rect">
          <a:avLst/>
        </a:prstGeom>
      </xdr:spPr>
    </xdr:pic>
    <xdr:clientData/>
  </xdr:oneCellAnchor>
  <xdr:oneCellAnchor>
    <xdr:from>
      <xdr:col>7</xdr:col>
      <xdr:colOff>34926</xdr:colOff>
      <xdr:row>429</xdr:row>
      <xdr:rowOff>3175</xdr:rowOff>
    </xdr:from>
    <xdr:ext cx="1847619" cy="969430"/>
    <xdr:pic>
      <xdr:nvPicPr>
        <xdr:cNvPr id="20" name="Picture 19">
          <a:extLst>
            <a:ext uri="{FF2B5EF4-FFF2-40B4-BE49-F238E27FC236}">
              <a16:creationId xmlns:a16="http://schemas.microsoft.com/office/drawing/2014/main" id="{66C05861-98F7-4C1F-953F-63E0DC68E4F8}"/>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302126" y="69469000"/>
          <a:ext cx="1847619" cy="969430"/>
        </a:xfrm>
        <a:prstGeom prst="rect">
          <a:avLst/>
        </a:prstGeom>
      </xdr:spPr>
    </xdr:pic>
    <xdr:clientData/>
  </xdr:oneCellAnchor>
  <xdr:oneCellAnchor>
    <xdr:from>
      <xdr:col>7</xdr:col>
      <xdr:colOff>34926</xdr:colOff>
      <xdr:row>438</xdr:row>
      <xdr:rowOff>158750</xdr:rowOff>
    </xdr:from>
    <xdr:ext cx="1847619" cy="969430"/>
    <xdr:pic>
      <xdr:nvPicPr>
        <xdr:cNvPr id="21" name="Picture 20">
          <a:extLst>
            <a:ext uri="{FF2B5EF4-FFF2-40B4-BE49-F238E27FC236}">
              <a16:creationId xmlns:a16="http://schemas.microsoft.com/office/drawing/2014/main" id="{A332CDBB-7C28-4E1E-A009-543A9D812BFC}"/>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302126" y="71081900"/>
          <a:ext cx="1847619" cy="969430"/>
        </a:xfrm>
        <a:prstGeom prst="rect">
          <a:avLst/>
        </a:prstGeom>
      </xdr:spPr>
    </xdr:pic>
    <xdr:clientData/>
  </xdr:oneCellAnchor>
  <xdr:oneCellAnchor>
    <xdr:from>
      <xdr:col>7</xdr:col>
      <xdr:colOff>34926</xdr:colOff>
      <xdr:row>449</xdr:row>
      <xdr:rowOff>3175</xdr:rowOff>
    </xdr:from>
    <xdr:ext cx="1847619" cy="969430"/>
    <xdr:pic>
      <xdr:nvPicPr>
        <xdr:cNvPr id="22" name="Picture 21">
          <a:extLst>
            <a:ext uri="{FF2B5EF4-FFF2-40B4-BE49-F238E27FC236}">
              <a16:creationId xmlns:a16="http://schemas.microsoft.com/office/drawing/2014/main" id="{FF7AD103-117C-4780-806D-2BA88967AFC6}"/>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02126" y="72707500"/>
          <a:ext cx="1847619" cy="969430"/>
        </a:xfrm>
        <a:prstGeom prst="rect">
          <a:avLst/>
        </a:prstGeom>
      </xdr:spPr>
    </xdr:pic>
    <xdr:clientData/>
  </xdr:oneCellAnchor>
  <xdr:oneCellAnchor>
    <xdr:from>
      <xdr:col>7</xdr:col>
      <xdr:colOff>34926</xdr:colOff>
      <xdr:row>458</xdr:row>
      <xdr:rowOff>158750</xdr:rowOff>
    </xdr:from>
    <xdr:ext cx="1847619" cy="969430"/>
    <xdr:pic>
      <xdr:nvPicPr>
        <xdr:cNvPr id="23" name="Picture 22">
          <a:extLst>
            <a:ext uri="{FF2B5EF4-FFF2-40B4-BE49-F238E27FC236}">
              <a16:creationId xmlns:a16="http://schemas.microsoft.com/office/drawing/2014/main" id="{DE1542DC-6D8F-4615-849C-6639E655F657}"/>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302126" y="74320400"/>
          <a:ext cx="1847619" cy="969430"/>
        </a:xfrm>
        <a:prstGeom prst="rect">
          <a:avLst/>
        </a:prstGeom>
      </xdr:spPr>
    </xdr:pic>
    <xdr:clientData/>
  </xdr:oneCellAnchor>
  <xdr:oneCellAnchor>
    <xdr:from>
      <xdr:col>7</xdr:col>
      <xdr:colOff>34926</xdr:colOff>
      <xdr:row>469</xdr:row>
      <xdr:rowOff>3175</xdr:rowOff>
    </xdr:from>
    <xdr:ext cx="1847619" cy="969430"/>
    <xdr:pic>
      <xdr:nvPicPr>
        <xdr:cNvPr id="24" name="Picture 23">
          <a:extLst>
            <a:ext uri="{FF2B5EF4-FFF2-40B4-BE49-F238E27FC236}">
              <a16:creationId xmlns:a16="http://schemas.microsoft.com/office/drawing/2014/main" id="{47E59D1C-E359-4C54-9E1C-341B0BD61586}"/>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302126" y="75946000"/>
          <a:ext cx="1847619" cy="969430"/>
        </a:xfrm>
        <a:prstGeom prst="rect">
          <a:avLst/>
        </a:prstGeom>
      </xdr:spPr>
    </xdr:pic>
    <xdr:clientData/>
  </xdr:oneCellAnchor>
  <xdr:oneCellAnchor>
    <xdr:from>
      <xdr:col>7</xdr:col>
      <xdr:colOff>34926</xdr:colOff>
      <xdr:row>478</xdr:row>
      <xdr:rowOff>158750</xdr:rowOff>
    </xdr:from>
    <xdr:ext cx="1847619" cy="969430"/>
    <xdr:pic>
      <xdr:nvPicPr>
        <xdr:cNvPr id="25" name="Picture 24">
          <a:extLst>
            <a:ext uri="{FF2B5EF4-FFF2-40B4-BE49-F238E27FC236}">
              <a16:creationId xmlns:a16="http://schemas.microsoft.com/office/drawing/2014/main" id="{2E1047FD-0DF0-441F-B9ED-F361C1BD5A99}"/>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302126" y="77558900"/>
          <a:ext cx="1847619" cy="969430"/>
        </a:xfrm>
        <a:prstGeom prst="rect">
          <a:avLst/>
        </a:prstGeom>
      </xdr:spPr>
    </xdr:pic>
    <xdr:clientData/>
  </xdr:oneCellAnchor>
  <xdr:oneCellAnchor>
    <xdr:from>
      <xdr:col>7</xdr:col>
      <xdr:colOff>34926</xdr:colOff>
      <xdr:row>489</xdr:row>
      <xdr:rowOff>3175</xdr:rowOff>
    </xdr:from>
    <xdr:ext cx="1847619" cy="969430"/>
    <xdr:pic>
      <xdr:nvPicPr>
        <xdr:cNvPr id="26" name="Picture 25">
          <a:extLst>
            <a:ext uri="{FF2B5EF4-FFF2-40B4-BE49-F238E27FC236}">
              <a16:creationId xmlns:a16="http://schemas.microsoft.com/office/drawing/2014/main" id="{16B22A26-4AB4-406E-A10F-ACE6D80A016D}"/>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02126" y="79184500"/>
          <a:ext cx="1847619" cy="969430"/>
        </a:xfrm>
        <a:prstGeom prst="rect">
          <a:avLst/>
        </a:prstGeom>
      </xdr:spPr>
    </xdr:pic>
    <xdr:clientData/>
  </xdr:oneCellAnchor>
  <xdr:oneCellAnchor>
    <xdr:from>
      <xdr:col>7</xdr:col>
      <xdr:colOff>34926</xdr:colOff>
      <xdr:row>498</xdr:row>
      <xdr:rowOff>158750</xdr:rowOff>
    </xdr:from>
    <xdr:ext cx="1847619" cy="969430"/>
    <xdr:pic>
      <xdr:nvPicPr>
        <xdr:cNvPr id="27" name="Picture 26">
          <a:extLst>
            <a:ext uri="{FF2B5EF4-FFF2-40B4-BE49-F238E27FC236}">
              <a16:creationId xmlns:a16="http://schemas.microsoft.com/office/drawing/2014/main" id="{192B256D-B661-4582-9A1A-53F7DF5D6EAD}"/>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02126" y="80797400"/>
          <a:ext cx="1847619" cy="969430"/>
        </a:xfrm>
        <a:prstGeom prst="rect">
          <a:avLst/>
        </a:prstGeom>
      </xdr:spPr>
    </xdr:pic>
    <xdr:clientData/>
  </xdr:oneCellAnchor>
  <xdr:oneCellAnchor>
    <xdr:from>
      <xdr:col>7</xdr:col>
      <xdr:colOff>34926</xdr:colOff>
      <xdr:row>509</xdr:row>
      <xdr:rowOff>3175</xdr:rowOff>
    </xdr:from>
    <xdr:ext cx="1847619" cy="969430"/>
    <xdr:pic>
      <xdr:nvPicPr>
        <xdr:cNvPr id="28" name="Picture 27">
          <a:extLst>
            <a:ext uri="{FF2B5EF4-FFF2-40B4-BE49-F238E27FC236}">
              <a16:creationId xmlns:a16="http://schemas.microsoft.com/office/drawing/2014/main" id="{8775C5A4-F301-4695-B311-6B5BA8334728}"/>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302126" y="82423000"/>
          <a:ext cx="1847619" cy="969430"/>
        </a:xfrm>
        <a:prstGeom prst="rect">
          <a:avLst/>
        </a:prstGeom>
      </xdr:spPr>
    </xdr:pic>
    <xdr:clientData/>
  </xdr:oneCellAnchor>
  <xdr:oneCellAnchor>
    <xdr:from>
      <xdr:col>7</xdr:col>
      <xdr:colOff>34926</xdr:colOff>
      <xdr:row>518</xdr:row>
      <xdr:rowOff>158750</xdr:rowOff>
    </xdr:from>
    <xdr:ext cx="1847619" cy="969430"/>
    <xdr:pic>
      <xdr:nvPicPr>
        <xdr:cNvPr id="29" name="Picture 28">
          <a:extLst>
            <a:ext uri="{FF2B5EF4-FFF2-40B4-BE49-F238E27FC236}">
              <a16:creationId xmlns:a16="http://schemas.microsoft.com/office/drawing/2014/main" id="{EAA9EB5C-260C-42A7-B69E-1E3822192532}"/>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302126" y="84035900"/>
          <a:ext cx="1847619" cy="969430"/>
        </a:xfrm>
        <a:prstGeom prst="rect">
          <a:avLst/>
        </a:prstGeom>
      </xdr:spPr>
    </xdr:pic>
    <xdr:clientData/>
  </xdr:oneCellAnchor>
  <xdr:oneCellAnchor>
    <xdr:from>
      <xdr:col>7</xdr:col>
      <xdr:colOff>34926</xdr:colOff>
      <xdr:row>529</xdr:row>
      <xdr:rowOff>3175</xdr:rowOff>
    </xdr:from>
    <xdr:ext cx="1847619" cy="969430"/>
    <xdr:pic>
      <xdr:nvPicPr>
        <xdr:cNvPr id="30" name="Picture 29">
          <a:extLst>
            <a:ext uri="{FF2B5EF4-FFF2-40B4-BE49-F238E27FC236}">
              <a16:creationId xmlns:a16="http://schemas.microsoft.com/office/drawing/2014/main" id="{4FB1BD6A-C3D5-40F0-BB15-C049574844BF}"/>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302126" y="85661500"/>
          <a:ext cx="1847619" cy="969430"/>
        </a:xfrm>
        <a:prstGeom prst="rect">
          <a:avLst/>
        </a:prstGeom>
      </xdr:spPr>
    </xdr:pic>
    <xdr:clientData/>
  </xdr:oneCellAnchor>
  <xdr:oneCellAnchor>
    <xdr:from>
      <xdr:col>7</xdr:col>
      <xdr:colOff>34926</xdr:colOff>
      <xdr:row>538</xdr:row>
      <xdr:rowOff>158750</xdr:rowOff>
    </xdr:from>
    <xdr:ext cx="1847619" cy="969430"/>
    <xdr:pic>
      <xdr:nvPicPr>
        <xdr:cNvPr id="31" name="Picture 30">
          <a:extLst>
            <a:ext uri="{FF2B5EF4-FFF2-40B4-BE49-F238E27FC236}">
              <a16:creationId xmlns:a16="http://schemas.microsoft.com/office/drawing/2014/main" id="{6DBCB530-1D0C-49E0-9361-94D0A0660645}"/>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2126" y="87274400"/>
          <a:ext cx="1847619" cy="969430"/>
        </a:xfrm>
        <a:prstGeom prst="rect">
          <a:avLst/>
        </a:prstGeom>
      </xdr:spPr>
    </xdr:pic>
    <xdr:clientData/>
  </xdr:oneCellAnchor>
  <xdr:oneCellAnchor>
    <xdr:from>
      <xdr:col>7</xdr:col>
      <xdr:colOff>34926</xdr:colOff>
      <xdr:row>549</xdr:row>
      <xdr:rowOff>3175</xdr:rowOff>
    </xdr:from>
    <xdr:ext cx="1847619" cy="969430"/>
    <xdr:pic>
      <xdr:nvPicPr>
        <xdr:cNvPr id="32" name="Picture 31">
          <a:extLst>
            <a:ext uri="{FF2B5EF4-FFF2-40B4-BE49-F238E27FC236}">
              <a16:creationId xmlns:a16="http://schemas.microsoft.com/office/drawing/2014/main" id="{B61243C5-CD79-4577-AE9C-3FEAC033B250}"/>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302126" y="88900000"/>
          <a:ext cx="1847619" cy="969430"/>
        </a:xfrm>
        <a:prstGeom prst="rect">
          <a:avLst/>
        </a:prstGeom>
      </xdr:spPr>
    </xdr:pic>
    <xdr:clientData/>
  </xdr:oneCellAnchor>
  <xdr:oneCellAnchor>
    <xdr:from>
      <xdr:col>7</xdr:col>
      <xdr:colOff>34926</xdr:colOff>
      <xdr:row>558</xdr:row>
      <xdr:rowOff>158750</xdr:rowOff>
    </xdr:from>
    <xdr:ext cx="1847619" cy="969430"/>
    <xdr:pic>
      <xdr:nvPicPr>
        <xdr:cNvPr id="33" name="Picture 32">
          <a:extLst>
            <a:ext uri="{FF2B5EF4-FFF2-40B4-BE49-F238E27FC236}">
              <a16:creationId xmlns:a16="http://schemas.microsoft.com/office/drawing/2014/main" id="{2E1B1D69-415D-4C52-882E-5D2FA61023D2}"/>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302126" y="90512900"/>
          <a:ext cx="1847619" cy="969430"/>
        </a:xfrm>
        <a:prstGeom prst="rect">
          <a:avLst/>
        </a:prstGeom>
      </xdr:spPr>
    </xdr:pic>
    <xdr:clientData/>
  </xdr:oneCellAnchor>
  <xdr:oneCellAnchor>
    <xdr:from>
      <xdr:col>7</xdr:col>
      <xdr:colOff>34926</xdr:colOff>
      <xdr:row>569</xdr:row>
      <xdr:rowOff>3175</xdr:rowOff>
    </xdr:from>
    <xdr:ext cx="1847619" cy="969430"/>
    <xdr:pic>
      <xdr:nvPicPr>
        <xdr:cNvPr id="34" name="Picture 33">
          <a:extLst>
            <a:ext uri="{FF2B5EF4-FFF2-40B4-BE49-F238E27FC236}">
              <a16:creationId xmlns:a16="http://schemas.microsoft.com/office/drawing/2014/main" id="{2975AEF3-43F4-4FFF-AEDC-B37B343A5550}"/>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302126" y="92138500"/>
          <a:ext cx="1847619" cy="969430"/>
        </a:xfrm>
        <a:prstGeom prst="rect">
          <a:avLst/>
        </a:prstGeom>
      </xdr:spPr>
    </xdr:pic>
    <xdr:clientData/>
  </xdr:oneCellAnchor>
  <xdr:oneCellAnchor>
    <xdr:from>
      <xdr:col>7</xdr:col>
      <xdr:colOff>34926</xdr:colOff>
      <xdr:row>578</xdr:row>
      <xdr:rowOff>158750</xdr:rowOff>
    </xdr:from>
    <xdr:ext cx="1847619" cy="969430"/>
    <xdr:pic>
      <xdr:nvPicPr>
        <xdr:cNvPr id="35" name="Picture 34">
          <a:extLst>
            <a:ext uri="{FF2B5EF4-FFF2-40B4-BE49-F238E27FC236}">
              <a16:creationId xmlns:a16="http://schemas.microsoft.com/office/drawing/2014/main" id="{EC517FF5-EFA4-4DC8-BF9E-8CB6EEDA8CE8}"/>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302126" y="93751400"/>
          <a:ext cx="1847619" cy="96943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200026</xdr:colOff>
      <xdr:row>37</xdr:row>
      <xdr:rowOff>155575</xdr:rowOff>
    </xdr:from>
    <xdr:ext cx="4628571" cy="2609524"/>
    <xdr:pic>
      <xdr:nvPicPr>
        <xdr:cNvPr id="2" name="Picture 1">
          <a:extLst>
            <a:ext uri="{FF2B5EF4-FFF2-40B4-BE49-F238E27FC236}">
              <a16:creationId xmlns:a16="http://schemas.microsoft.com/office/drawing/2014/main" id="{EB2FB647-A31F-4EAE-AA79-100F1AEB8E37}"/>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226" y="6146800"/>
          <a:ext cx="4628571" cy="2609524"/>
        </a:xfrm>
        <a:prstGeom prst="rect">
          <a:avLst/>
        </a:prstGeom>
      </xdr:spPr>
    </xdr:pic>
    <xdr:clientData/>
  </xdr:oneCellAnchor>
  <xdr:oneCellAnchor>
    <xdr:from>
      <xdr:col>2</xdr:col>
      <xdr:colOff>200026</xdr:colOff>
      <xdr:row>97</xdr:row>
      <xdr:rowOff>3176</xdr:rowOff>
    </xdr:from>
    <xdr:ext cx="4628571" cy="3152381"/>
    <xdr:pic>
      <xdr:nvPicPr>
        <xdr:cNvPr id="3" name="Picture 2">
          <a:extLst>
            <a:ext uri="{FF2B5EF4-FFF2-40B4-BE49-F238E27FC236}">
              <a16:creationId xmlns:a16="http://schemas.microsoft.com/office/drawing/2014/main" id="{F78E5839-37BE-4AF8-B722-E69E8E37D741}"/>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5709901"/>
          <a:ext cx="4628571" cy="3152381"/>
        </a:xfrm>
        <a:prstGeom prst="rect">
          <a:avLst/>
        </a:prstGeom>
      </xdr:spPr>
    </xdr:pic>
    <xdr:clientData/>
  </xdr:oneCellAnchor>
  <xdr:oneCellAnchor>
    <xdr:from>
      <xdr:col>2</xdr:col>
      <xdr:colOff>200026</xdr:colOff>
      <xdr:row>161</xdr:row>
      <xdr:rowOff>3176</xdr:rowOff>
    </xdr:from>
    <xdr:ext cx="4628571" cy="3152381"/>
    <xdr:pic>
      <xdr:nvPicPr>
        <xdr:cNvPr id="4" name="Picture 3">
          <a:extLst>
            <a:ext uri="{FF2B5EF4-FFF2-40B4-BE49-F238E27FC236}">
              <a16:creationId xmlns:a16="http://schemas.microsoft.com/office/drawing/2014/main" id="{B56E980C-4661-41E9-A17D-EB62DD819DD3}"/>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26073101"/>
          <a:ext cx="4628571" cy="3152381"/>
        </a:xfrm>
        <a:prstGeom prst="rect">
          <a:avLst/>
        </a:prstGeom>
      </xdr:spPr>
    </xdr:pic>
    <xdr:clientData/>
  </xdr:oneCellAnchor>
  <xdr:oneCellAnchor>
    <xdr:from>
      <xdr:col>2</xdr:col>
      <xdr:colOff>200026</xdr:colOff>
      <xdr:row>222</xdr:row>
      <xdr:rowOff>158750</xdr:rowOff>
    </xdr:from>
    <xdr:ext cx="4628571" cy="3590476"/>
    <xdr:pic>
      <xdr:nvPicPr>
        <xdr:cNvPr id="5" name="Picture 4">
          <a:extLst>
            <a:ext uri="{FF2B5EF4-FFF2-40B4-BE49-F238E27FC236}">
              <a16:creationId xmlns:a16="http://schemas.microsoft.com/office/drawing/2014/main" id="{4814AC5F-A473-445D-A0E3-200170362A13}"/>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19226" y="36106100"/>
          <a:ext cx="4628571" cy="3590476"/>
        </a:xfrm>
        <a:prstGeom prst="rect">
          <a:avLst/>
        </a:prstGeom>
      </xdr:spPr>
    </xdr:pic>
    <xdr:clientData/>
  </xdr:oneCellAnchor>
  <xdr:oneCellAnchor>
    <xdr:from>
      <xdr:col>7</xdr:col>
      <xdr:colOff>34926</xdr:colOff>
      <xdr:row>286</xdr:row>
      <xdr:rowOff>158750</xdr:rowOff>
    </xdr:from>
    <xdr:ext cx="1847619" cy="969430"/>
    <xdr:pic>
      <xdr:nvPicPr>
        <xdr:cNvPr id="6" name="Picture 5">
          <a:extLst>
            <a:ext uri="{FF2B5EF4-FFF2-40B4-BE49-F238E27FC236}">
              <a16:creationId xmlns:a16="http://schemas.microsoft.com/office/drawing/2014/main" id="{BEE08DCD-2148-4479-8256-50C6831F9EDF}"/>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02126" y="46469300"/>
          <a:ext cx="1847619" cy="969430"/>
        </a:xfrm>
        <a:prstGeom prst="rect">
          <a:avLst/>
        </a:prstGeom>
      </xdr:spPr>
    </xdr:pic>
    <xdr:clientData/>
  </xdr:oneCellAnchor>
  <xdr:oneCellAnchor>
    <xdr:from>
      <xdr:col>7</xdr:col>
      <xdr:colOff>34926</xdr:colOff>
      <xdr:row>297</xdr:row>
      <xdr:rowOff>3175</xdr:rowOff>
    </xdr:from>
    <xdr:ext cx="1847619" cy="969430"/>
    <xdr:pic>
      <xdr:nvPicPr>
        <xdr:cNvPr id="7" name="Picture 6">
          <a:extLst>
            <a:ext uri="{FF2B5EF4-FFF2-40B4-BE49-F238E27FC236}">
              <a16:creationId xmlns:a16="http://schemas.microsoft.com/office/drawing/2014/main" id="{E8A6607C-D10D-40AC-9A80-792AFC3A38FE}"/>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02126" y="48094900"/>
          <a:ext cx="1847619" cy="969430"/>
        </a:xfrm>
        <a:prstGeom prst="rect">
          <a:avLst/>
        </a:prstGeom>
      </xdr:spPr>
    </xdr:pic>
    <xdr:clientData/>
  </xdr:oneCellAnchor>
  <xdr:oneCellAnchor>
    <xdr:from>
      <xdr:col>7</xdr:col>
      <xdr:colOff>34926</xdr:colOff>
      <xdr:row>306</xdr:row>
      <xdr:rowOff>158750</xdr:rowOff>
    </xdr:from>
    <xdr:ext cx="1847619" cy="969430"/>
    <xdr:pic>
      <xdr:nvPicPr>
        <xdr:cNvPr id="8" name="Picture 7">
          <a:extLst>
            <a:ext uri="{FF2B5EF4-FFF2-40B4-BE49-F238E27FC236}">
              <a16:creationId xmlns:a16="http://schemas.microsoft.com/office/drawing/2014/main" id="{44D3AF9E-D6DF-4FAD-9256-58936E7F51C3}"/>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2126" y="49707800"/>
          <a:ext cx="1847619" cy="969430"/>
        </a:xfrm>
        <a:prstGeom prst="rect">
          <a:avLst/>
        </a:prstGeom>
      </xdr:spPr>
    </xdr:pic>
    <xdr:clientData/>
  </xdr:oneCellAnchor>
  <xdr:oneCellAnchor>
    <xdr:from>
      <xdr:col>7</xdr:col>
      <xdr:colOff>34926</xdr:colOff>
      <xdr:row>317</xdr:row>
      <xdr:rowOff>3175</xdr:rowOff>
    </xdr:from>
    <xdr:ext cx="1847619" cy="969430"/>
    <xdr:pic>
      <xdr:nvPicPr>
        <xdr:cNvPr id="9" name="Picture 8">
          <a:extLst>
            <a:ext uri="{FF2B5EF4-FFF2-40B4-BE49-F238E27FC236}">
              <a16:creationId xmlns:a16="http://schemas.microsoft.com/office/drawing/2014/main" id="{1F5A4E65-8FC7-4271-BE72-0F17ECBA89A3}"/>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2126" y="51333400"/>
          <a:ext cx="1847619" cy="969430"/>
        </a:xfrm>
        <a:prstGeom prst="rect">
          <a:avLst/>
        </a:prstGeom>
      </xdr:spPr>
    </xdr:pic>
    <xdr:clientData/>
  </xdr:oneCellAnchor>
  <xdr:oneCellAnchor>
    <xdr:from>
      <xdr:col>7</xdr:col>
      <xdr:colOff>34926</xdr:colOff>
      <xdr:row>326</xdr:row>
      <xdr:rowOff>158750</xdr:rowOff>
    </xdr:from>
    <xdr:ext cx="1847619" cy="969430"/>
    <xdr:pic>
      <xdr:nvPicPr>
        <xdr:cNvPr id="10" name="Picture 9">
          <a:extLst>
            <a:ext uri="{FF2B5EF4-FFF2-40B4-BE49-F238E27FC236}">
              <a16:creationId xmlns:a16="http://schemas.microsoft.com/office/drawing/2014/main" id="{937E5889-F8BD-421F-8438-D1E884482AD6}"/>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02126" y="52946300"/>
          <a:ext cx="1847619" cy="969430"/>
        </a:xfrm>
        <a:prstGeom prst="rect">
          <a:avLst/>
        </a:prstGeom>
      </xdr:spPr>
    </xdr:pic>
    <xdr:clientData/>
  </xdr:oneCellAnchor>
  <xdr:oneCellAnchor>
    <xdr:from>
      <xdr:col>7</xdr:col>
      <xdr:colOff>34926</xdr:colOff>
      <xdr:row>337</xdr:row>
      <xdr:rowOff>3175</xdr:rowOff>
    </xdr:from>
    <xdr:ext cx="1847619" cy="969430"/>
    <xdr:pic>
      <xdr:nvPicPr>
        <xdr:cNvPr id="11" name="Picture 10">
          <a:extLst>
            <a:ext uri="{FF2B5EF4-FFF2-40B4-BE49-F238E27FC236}">
              <a16:creationId xmlns:a16="http://schemas.microsoft.com/office/drawing/2014/main" id="{CCC78A8A-85CE-458A-9711-17100B7707D8}"/>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02126" y="54571900"/>
          <a:ext cx="1847619" cy="969430"/>
        </a:xfrm>
        <a:prstGeom prst="rect">
          <a:avLst/>
        </a:prstGeom>
      </xdr:spPr>
    </xdr:pic>
    <xdr:clientData/>
  </xdr:oneCellAnchor>
  <xdr:oneCellAnchor>
    <xdr:from>
      <xdr:col>7</xdr:col>
      <xdr:colOff>34926</xdr:colOff>
      <xdr:row>346</xdr:row>
      <xdr:rowOff>158750</xdr:rowOff>
    </xdr:from>
    <xdr:ext cx="1847619" cy="969430"/>
    <xdr:pic>
      <xdr:nvPicPr>
        <xdr:cNvPr id="12" name="Picture 11">
          <a:extLst>
            <a:ext uri="{FF2B5EF4-FFF2-40B4-BE49-F238E27FC236}">
              <a16:creationId xmlns:a16="http://schemas.microsoft.com/office/drawing/2014/main" id="{A7263160-A636-431E-9B88-EC3C223D7BDE}"/>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02126" y="56184800"/>
          <a:ext cx="1847619" cy="969430"/>
        </a:xfrm>
        <a:prstGeom prst="rect">
          <a:avLst/>
        </a:prstGeom>
      </xdr:spPr>
    </xdr:pic>
    <xdr:clientData/>
  </xdr:oneCellAnchor>
  <xdr:oneCellAnchor>
    <xdr:from>
      <xdr:col>7</xdr:col>
      <xdr:colOff>34926</xdr:colOff>
      <xdr:row>357</xdr:row>
      <xdr:rowOff>3175</xdr:rowOff>
    </xdr:from>
    <xdr:ext cx="1847619" cy="969430"/>
    <xdr:pic>
      <xdr:nvPicPr>
        <xdr:cNvPr id="13" name="Picture 12">
          <a:extLst>
            <a:ext uri="{FF2B5EF4-FFF2-40B4-BE49-F238E27FC236}">
              <a16:creationId xmlns:a16="http://schemas.microsoft.com/office/drawing/2014/main" id="{57F260D9-6799-4651-A754-F6C7F43011B4}"/>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02126" y="57810400"/>
          <a:ext cx="1847619" cy="969430"/>
        </a:xfrm>
        <a:prstGeom prst="rect">
          <a:avLst/>
        </a:prstGeom>
      </xdr:spPr>
    </xdr:pic>
    <xdr:clientData/>
  </xdr:oneCellAnchor>
  <xdr:oneCellAnchor>
    <xdr:from>
      <xdr:col>7</xdr:col>
      <xdr:colOff>34926</xdr:colOff>
      <xdr:row>366</xdr:row>
      <xdr:rowOff>158750</xdr:rowOff>
    </xdr:from>
    <xdr:ext cx="1847619" cy="969430"/>
    <xdr:pic>
      <xdr:nvPicPr>
        <xdr:cNvPr id="14" name="Picture 13">
          <a:extLst>
            <a:ext uri="{FF2B5EF4-FFF2-40B4-BE49-F238E27FC236}">
              <a16:creationId xmlns:a16="http://schemas.microsoft.com/office/drawing/2014/main" id="{8EA6DC0E-9C7B-40F8-ABCD-5633D17E5A2F}"/>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02126" y="59423300"/>
          <a:ext cx="1847619" cy="969430"/>
        </a:xfrm>
        <a:prstGeom prst="rect">
          <a:avLst/>
        </a:prstGeom>
      </xdr:spPr>
    </xdr:pic>
    <xdr:clientData/>
  </xdr:oneCellAnchor>
  <xdr:oneCellAnchor>
    <xdr:from>
      <xdr:col>7</xdr:col>
      <xdr:colOff>34926</xdr:colOff>
      <xdr:row>377</xdr:row>
      <xdr:rowOff>3175</xdr:rowOff>
    </xdr:from>
    <xdr:ext cx="1847619" cy="969430"/>
    <xdr:pic>
      <xdr:nvPicPr>
        <xdr:cNvPr id="15" name="Picture 14">
          <a:extLst>
            <a:ext uri="{FF2B5EF4-FFF2-40B4-BE49-F238E27FC236}">
              <a16:creationId xmlns:a16="http://schemas.microsoft.com/office/drawing/2014/main" id="{4061CE00-7DBD-4AC5-BAE9-2232D25DCE5F}"/>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02126" y="61048900"/>
          <a:ext cx="1847619" cy="969430"/>
        </a:xfrm>
        <a:prstGeom prst="rect">
          <a:avLst/>
        </a:prstGeom>
      </xdr:spPr>
    </xdr:pic>
    <xdr:clientData/>
  </xdr:oneCellAnchor>
  <xdr:oneCellAnchor>
    <xdr:from>
      <xdr:col>7</xdr:col>
      <xdr:colOff>34926</xdr:colOff>
      <xdr:row>386</xdr:row>
      <xdr:rowOff>158750</xdr:rowOff>
    </xdr:from>
    <xdr:ext cx="1847619" cy="969430"/>
    <xdr:pic>
      <xdr:nvPicPr>
        <xdr:cNvPr id="16" name="Picture 15">
          <a:extLst>
            <a:ext uri="{FF2B5EF4-FFF2-40B4-BE49-F238E27FC236}">
              <a16:creationId xmlns:a16="http://schemas.microsoft.com/office/drawing/2014/main" id="{BD1EA262-AC15-4089-AB85-48884537171A}"/>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02126" y="62661800"/>
          <a:ext cx="1847619" cy="969430"/>
        </a:xfrm>
        <a:prstGeom prst="rect">
          <a:avLst/>
        </a:prstGeom>
      </xdr:spPr>
    </xdr:pic>
    <xdr:clientData/>
  </xdr:oneCellAnchor>
  <xdr:oneCellAnchor>
    <xdr:from>
      <xdr:col>7</xdr:col>
      <xdr:colOff>34926</xdr:colOff>
      <xdr:row>397</xdr:row>
      <xdr:rowOff>3175</xdr:rowOff>
    </xdr:from>
    <xdr:ext cx="1847619" cy="969430"/>
    <xdr:pic>
      <xdr:nvPicPr>
        <xdr:cNvPr id="17" name="Picture 16">
          <a:extLst>
            <a:ext uri="{FF2B5EF4-FFF2-40B4-BE49-F238E27FC236}">
              <a16:creationId xmlns:a16="http://schemas.microsoft.com/office/drawing/2014/main" id="{1C893D61-E9BB-4965-82FD-E4AF265CAA5F}"/>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02126" y="64287400"/>
          <a:ext cx="1847619" cy="969430"/>
        </a:xfrm>
        <a:prstGeom prst="rect">
          <a:avLst/>
        </a:prstGeom>
      </xdr:spPr>
    </xdr:pic>
    <xdr:clientData/>
  </xdr:oneCellAnchor>
  <xdr:oneCellAnchor>
    <xdr:from>
      <xdr:col>7</xdr:col>
      <xdr:colOff>34926</xdr:colOff>
      <xdr:row>406</xdr:row>
      <xdr:rowOff>158750</xdr:rowOff>
    </xdr:from>
    <xdr:ext cx="1847619" cy="969430"/>
    <xdr:pic>
      <xdr:nvPicPr>
        <xdr:cNvPr id="18" name="Picture 17">
          <a:extLst>
            <a:ext uri="{FF2B5EF4-FFF2-40B4-BE49-F238E27FC236}">
              <a16:creationId xmlns:a16="http://schemas.microsoft.com/office/drawing/2014/main" id="{477A2067-E58C-437E-864D-EF219E89F535}"/>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302126" y="65900300"/>
          <a:ext cx="1847619" cy="969430"/>
        </a:xfrm>
        <a:prstGeom prst="rect">
          <a:avLst/>
        </a:prstGeom>
      </xdr:spPr>
    </xdr:pic>
    <xdr:clientData/>
  </xdr:oneCellAnchor>
  <xdr:oneCellAnchor>
    <xdr:from>
      <xdr:col>7</xdr:col>
      <xdr:colOff>34926</xdr:colOff>
      <xdr:row>417</xdr:row>
      <xdr:rowOff>3175</xdr:rowOff>
    </xdr:from>
    <xdr:ext cx="1847619" cy="969430"/>
    <xdr:pic>
      <xdr:nvPicPr>
        <xdr:cNvPr id="19" name="Picture 18">
          <a:extLst>
            <a:ext uri="{FF2B5EF4-FFF2-40B4-BE49-F238E27FC236}">
              <a16:creationId xmlns:a16="http://schemas.microsoft.com/office/drawing/2014/main" id="{EC459A88-A8D8-45FE-8D70-FCF4E1E174FD}"/>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02126" y="67525900"/>
          <a:ext cx="1847619" cy="969430"/>
        </a:xfrm>
        <a:prstGeom prst="rect">
          <a:avLst/>
        </a:prstGeom>
      </xdr:spPr>
    </xdr:pic>
    <xdr:clientData/>
  </xdr:oneCellAnchor>
  <xdr:oneCellAnchor>
    <xdr:from>
      <xdr:col>7</xdr:col>
      <xdr:colOff>34926</xdr:colOff>
      <xdr:row>426</xdr:row>
      <xdr:rowOff>158750</xdr:rowOff>
    </xdr:from>
    <xdr:ext cx="1847619" cy="969430"/>
    <xdr:pic>
      <xdr:nvPicPr>
        <xdr:cNvPr id="20" name="Picture 19">
          <a:extLst>
            <a:ext uri="{FF2B5EF4-FFF2-40B4-BE49-F238E27FC236}">
              <a16:creationId xmlns:a16="http://schemas.microsoft.com/office/drawing/2014/main" id="{6F1A5681-5140-440C-B7C9-07917D03A07D}"/>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302126" y="69138800"/>
          <a:ext cx="1847619" cy="969430"/>
        </a:xfrm>
        <a:prstGeom prst="rect">
          <a:avLst/>
        </a:prstGeom>
      </xdr:spPr>
    </xdr:pic>
    <xdr:clientData/>
  </xdr:oneCellAnchor>
  <xdr:oneCellAnchor>
    <xdr:from>
      <xdr:col>7</xdr:col>
      <xdr:colOff>34926</xdr:colOff>
      <xdr:row>437</xdr:row>
      <xdr:rowOff>3175</xdr:rowOff>
    </xdr:from>
    <xdr:ext cx="1847619" cy="969430"/>
    <xdr:pic>
      <xdr:nvPicPr>
        <xdr:cNvPr id="21" name="Picture 20">
          <a:extLst>
            <a:ext uri="{FF2B5EF4-FFF2-40B4-BE49-F238E27FC236}">
              <a16:creationId xmlns:a16="http://schemas.microsoft.com/office/drawing/2014/main" id="{9C52B7C9-7DF1-4F30-9940-14E85FD03534}"/>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302126" y="70764400"/>
          <a:ext cx="1847619" cy="969430"/>
        </a:xfrm>
        <a:prstGeom prst="rect">
          <a:avLst/>
        </a:prstGeom>
      </xdr:spPr>
    </xdr:pic>
    <xdr:clientData/>
  </xdr:oneCellAnchor>
  <xdr:oneCellAnchor>
    <xdr:from>
      <xdr:col>7</xdr:col>
      <xdr:colOff>34926</xdr:colOff>
      <xdr:row>446</xdr:row>
      <xdr:rowOff>158750</xdr:rowOff>
    </xdr:from>
    <xdr:ext cx="1847619" cy="969430"/>
    <xdr:pic>
      <xdr:nvPicPr>
        <xdr:cNvPr id="22" name="Picture 21">
          <a:extLst>
            <a:ext uri="{FF2B5EF4-FFF2-40B4-BE49-F238E27FC236}">
              <a16:creationId xmlns:a16="http://schemas.microsoft.com/office/drawing/2014/main" id="{A5A9509F-F0F5-4BC6-89FC-F8CF14D112BF}"/>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02126" y="72377300"/>
          <a:ext cx="1847619" cy="969430"/>
        </a:xfrm>
        <a:prstGeom prst="rect">
          <a:avLst/>
        </a:prstGeom>
      </xdr:spPr>
    </xdr:pic>
    <xdr:clientData/>
  </xdr:oneCellAnchor>
  <xdr:oneCellAnchor>
    <xdr:from>
      <xdr:col>7</xdr:col>
      <xdr:colOff>34926</xdr:colOff>
      <xdr:row>457</xdr:row>
      <xdr:rowOff>3175</xdr:rowOff>
    </xdr:from>
    <xdr:ext cx="1847619" cy="969430"/>
    <xdr:pic>
      <xdr:nvPicPr>
        <xdr:cNvPr id="23" name="Picture 22">
          <a:extLst>
            <a:ext uri="{FF2B5EF4-FFF2-40B4-BE49-F238E27FC236}">
              <a16:creationId xmlns:a16="http://schemas.microsoft.com/office/drawing/2014/main" id="{E54EED0B-35ED-46CE-A651-2BA4E1FC3516}"/>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302126" y="74002900"/>
          <a:ext cx="1847619" cy="969430"/>
        </a:xfrm>
        <a:prstGeom prst="rect">
          <a:avLst/>
        </a:prstGeom>
      </xdr:spPr>
    </xdr:pic>
    <xdr:clientData/>
  </xdr:oneCellAnchor>
  <xdr:oneCellAnchor>
    <xdr:from>
      <xdr:col>7</xdr:col>
      <xdr:colOff>34926</xdr:colOff>
      <xdr:row>466</xdr:row>
      <xdr:rowOff>158750</xdr:rowOff>
    </xdr:from>
    <xdr:ext cx="1847619" cy="969430"/>
    <xdr:pic>
      <xdr:nvPicPr>
        <xdr:cNvPr id="24" name="Picture 23">
          <a:extLst>
            <a:ext uri="{FF2B5EF4-FFF2-40B4-BE49-F238E27FC236}">
              <a16:creationId xmlns:a16="http://schemas.microsoft.com/office/drawing/2014/main" id="{248E9547-00CC-49D0-ACA2-D6B196B3500E}"/>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302126" y="75615800"/>
          <a:ext cx="1847619" cy="969430"/>
        </a:xfrm>
        <a:prstGeom prst="rect">
          <a:avLst/>
        </a:prstGeom>
      </xdr:spPr>
    </xdr:pic>
    <xdr:clientData/>
  </xdr:oneCellAnchor>
  <xdr:oneCellAnchor>
    <xdr:from>
      <xdr:col>7</xdr:col>
      <xdr:colOff>34926</xdr:colOff>
      <xdr:row>477</xdr:row>
      <xdr:rowOff>3175</xdr:rowOff>
    </xdr:from>
    <xdr:ext cx="1847619" cy="969430"/>
    <xdr:pic>
      <xdr:nvPicPr>
        <xdr:cNvPr id="25" name="Picture 24">
          <a:extLst>
            <a:ext uri="{FF2B5EF4-FFF2-40B4-BE49-F238E27FC236}">
              <a16:creationId xmlns:a16="http://schemas.microsoft.com/office/drawing/2014/main" id="{4A550A9C-69C2-4C7F-BEA8-3DF2D1204AB8}"/>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302126" y="77241400"/>
          <a:ext cx="1847619" cy="969430"/>
        </a:xfrm>
        <a:prstGeom prst="rect">
          <a:avLst/>
        </a:prstGeom>
      </xdr:spPr>
    </xdr:pic>
    <xdr:clientData/>
  </xdr:oneCellAnchor>
  <xdr:oneCellAnchor>
    <xdr:from>
      <xdr:col>7</xdr:col>
      <xdr:colOff>34926</xdr:colOff>
      <xdr:row>486</xdr:row>
      <xdr:rowOff>158750</xdr:rowOff>
    </xdr:from>
    <xdr:ext cx="1847619" cy="969430"/>
    <xdr:pic>
      <xdr:nvPicPr>
        <xdr:cNvPr id="26" name="Picture 25">
          <a:extLst>
            <a:ext uri="{FF2B5EF4-FFF2-40B4-BE49-F238E27FC236}">
              <a16:creationId xmlns:a16="http://schemas.microsoft.com/office/drawing/2014/main" id="{F568921A-148B-4A93-B8D8-8161D463C7EA}"/>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02126" y="78854300"/>
          <a:ext cx="1847619" cy="969430"/>
        </a:xfrm>
        <a:prstGeom prst="rect">
          <a:avLst/>
        </a:prstGeom>
      </xdr:spPr>
    </xdr:pic>
    <xdr:clientData/>
  </xdr:oneCellAnchor>
  <xdr:oneCellAnchor>
    <xdr:from>
      <xdr:col>7</xdr:col>
      <xdr:colOff>34926</xdr:colOff>
      <xdr:row>497</xdr:row>
      <xdr:rowOff>3175</xdr:rowOff>
    </xdr:from>
    <xdr:ext cx="1847619" cy="969430"/>
    <xdr:pic>
      <xdr:nvPicPr>
        <xdr:cNvPr id="27" name="Picture 26">
          <a:extLst>
            <a:ext uri="{FF2B5EF4-FFF2-40B4-BE49-F238E27FC236}">
              <a16:creationId xmlns:a16="http://schemas.microsoft.com/office/drawing/2014/main" id="{103CAEAE-B125-48C2-A320-C12888BB2C0A}"/>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02126" y="80479900"/>
          <a:ext cx="1847619" cy="969430"/>
        </a:xfrm>
        <a:prstGeom prst="rect">
          <a:avLst/>
        </a:prstGeom>
      </xdr:spPr>
    </xdr:pic>
    <xdr:clientData/>
  </xdr:oneCellAnchor>
  <xdr:oneCellAnchor>
    <xdr:from>
      <xdr:col>7</xdr:col>
      <xdr:colOff>34926</xdr:colOff>
      <xdr:row>506</xdr:row>
      <xdr:rowOff>158750</xdr:rowOff>
    </xdr:from>
    <xdr:ext cx="1847619" cy="969430"/>
    <xdr:pic>
      <xdr:nvPicPr>
        <xdr:cNvPr id="28" name="Picture 27">
          <a:extLst>
            <a:ext uri="{FF2B5EF4-FFF2-40B4-BE49-F238E27FC236}">
              <a16:creationId xmlns:a16="http://schemas.microsoft.com/office/drawing/2014/main" id="{852FCA10-4C9C-4FF2-B0BC-7EA378521A76}"/>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302126" y="82092800"/>
          <a:ext cx="1847619" cy="969430"/>
        </a:xfrm>
        <a:prstGeom prst="rect">
          <a:avLst/>
        </a:prstGeom>
      </xdr:spPr>
    </xdr:pic>
    <xdr:clientData/>
  </xdr:oneCellAnchor>
  <xdr:oneCellAnchor>
    <xdr:from>
      <xdr:col>7</xdr:col>
      <xdr:colOff>34926</xdr:colOff>
      <xdr:row>517</xdr:row>
      <xdr:rowOff>3175</xdr:rowOff>
    </xdr:from>
    <xdr:ext cx="1847619" cy="969430"/>
    <xdr:pic>
      <xdr:nvPicPr>
        <xdr:cNvPr id="29" name="Picture 28">
          <a:extLst>
            <a:ext uri="{FF2B5EF4-FFF2-40B4-BE49-F238E27FC236}">
              <a16:creationId xmlns:a16="http://schemas.microsoft.com/office/drawing/2014/main" id="{962A4769-0087-4EFC-A56E-75CE37EEA776}"/>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302126" y="83718400"/>
          <a:ext cx="1847619" cy="969430"/>
        </a:xfrm>
        <a:prstGeom prst="rect">
          <a:avLst/>
        </a:prstGeom>
      </xdr:spPr>
    </xdr:pic>
    <xdr:clientData/>
  </xdr:oneCellAnchor>
  <xdr:oneCellAnchor>
    <xdr:from>
      <xdr:col>7</xdr:col>
      <xdr:colOff>34926</xdr:colOff>
      <xdr:row>526</xdr:row>
      <xdr:rowOff>158750</xdr:rowOff>
    </xdr:from>
    <xdr:ext cx="1847619" cy="969430"/>
    <xdr:pic>
      <xdr:nvPicPr>
        <xdr:cNvPr id="30" name="Picture 29">
          <a:extLst>
            <a:ext uri="{FF2B5EF4-FFF2-40B4-BE49-F238E27FC236}">
              <a16:creationId xmlns:a16="http://schemas.microsoft.com/office/drawing/2014/main" id="{8AD95654-35D0-4233-B7EC-93D5FE193EED}"/>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302126" y="85331300"/>
          <a:ext cx="1847619" cy="969430"/>
        </a:xfrm>
        <a:prstGeom prst="rect">
          <a:avLst/>
        </a:prstGeom>
      </xdr:spPr>
    </xdr:pic>
    <xdr:clientData/>
  </xdr:oneCellAnchor>
  <xdr:oneCellAnchor>
    <xdr:from>
      <xdr:col>7</xdr:col>
      <xdr:colOff>34926</xdr:colOff>
      <xdr:row>537</xdr:row>
      <xdr:rowOff>3175</xdr:rowOff>
    </xdr:from>
    <xdr:ext cx="1847619" cy="969430"/>
    <xdr:pic>
      <xdr:nvPicPr>
        <xdr:cNvPr id="31" name="Picture 30">
          <a:extLst>
            <a:ext uri="{FF2B5EF4-FFF2-40B4-BE49-F238E27FC236}">
              <a16:creationId xmlns:a16="http://schemas.microsoft.com/office/drawing/2014/main" id="{0C58FD18-B080-4A11-83E8-48F042495143}"/>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2126" y="86956900"/>
          <a:ext cx="1847619" cy="969430"/>
        </a:xfrm>
        <a:prstGeom prst="rect">
          <a:avLst/>
        </a:prstGeom>
      </xdr:spPr>
    </xdr:pic>
    <xdr:clientData/>
  </xdr:oneCellAnchor>
  <xdr:oneCellAnchor>
    <xdr:from>
      <xdr:col>7</xdr:col>
      <xdr:colOff>34926</xdr:colOff>
      <xdr:row>546</xdr:row>
      <xdr:rowOff>158750</xdr:rowOff>
    </xdr:from>
    <xdr:ext cx="1847619" cy="969430"/>
    <xdr:pic>
      <xdr:nvPicPr>
        <xdr:cNvPr id="32" name="Picture 31">
          <a:extLst>
            <a:ext uri="{FF2B5EF4-FFF2-40B4-BE49-F238E27FC236}">
              <a16:creationId xmlns:a16="http://schemas.microsoft.com/office/drawing/2014/main" id="{81C257B4-381A-4050-8E68-8A74B40FCB98}"/>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302126" y="88569800"/>
          <a:ext cx="1847619" cy="969430"/>
        </a:xfrm>
        <a:prstGeom prst="rect">
          <a:avLst/>
        </a:prstGeom>
      </xdr:spPr>
    </xdr:pic>
    <xdr:clientData/>
  </xdr:oneCellAnchor>
  <xdr:oneCellAnchor>
    <xdr:from>
      <xdr:col>7</xdr:col>
      <xdr:colOff>34926</xdr:colOff>
      <xdr:row>557</xdr:row>
      <xdr:rowOff>3175</xdr:rowOff>
    </xdr:from>
    <xdr:ext cx="1847619" cy="969430"/>
    <xdr:pic>
      <xdr:nvPicPr>
        <xdr:cNvPr id="33" name="Picture 32">
          <a:extLst>
            <a:ext uri="{FF2B5EF4-FFF2-40B4-BE49-F238E27FC236}">
              <a16:creationId xmlns:a16="http://schemas.microsoft.com/office/drawing/2014/main" id="{9CEBD859-8057-4ABE-9F52-E756418B0064}"/>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302126" y="90195400"/>
          <a:ext cx="1847619" cy="969430"/>
        </a:xfrm>
        <a:prstGeom prst="rect">
          <a:avLst/>
        </a:prstGeom>
      </xdr:spPr>
    </xdr:pic>
    <xdr:clientData/>
  </xdr:oneCellAnchor>
  <xdr:oneCellAnchor>
    <xdr:from>
      <xdr:col>7</xdr:col>
      <xdr:colOff>34926</xdr:colOff>
      <xdr:row>566</xdr:row>
      <xdr:rowOff>158750</xdr:rowOff>
    </xdr:from>
    <xdr:ext cx="1847619" cy="969430"/>
    <xdr:pic>
      <xdr:nvPicPr>
        <xdr:cNvPr id="34" name="Picture 33">
          <a:extLst>
            <a:ext uri="{FF2B5EF4-FFF2-40B4-BE49-F238E27FC236}">
              <a16:creationId xmlns:a16="http://schemas.microsoft.com/office/drawing/2014/main" id="{804B5278-657E-4FEB-B8B6-9C080ECAFCAE}"/>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302126" y="91808300"/>
          <a:ext cx="1847619" cy="969430"/>
        </a:xfrm>
        <a:prstGeom prst="rect">
          <a:avLst/>
        </a:prstGeom>
      </xdr:spPr>
    </xdr:pic>
    <xdr:clientData/>
  </xdr:oneCellAnchor>
  <xdr:oneCellAnchor>
    <xdr:from>
      <xdr:col>7</xdr:col>
      <xdr:colOff>34926</xdr:colOff>
      <xdr:row>577</xdr:row>
      <xdr:rowOff>3175</xdr:rowOff>
    </xdr:from>
    <xdr:ext cx="1847619" cy="969430"/>
    <xdr:pic>
      <xdr:nvPicPr>
        <xdr:cNvPr id="35" name="Picture 34">
          <a:extLst>
            <a:ext uri="{FF2B5EF4-FFF2-40B4-BE49-F238E27FC236}">
              <a16:creationId xmlns:a16="http://schemas.microsoft.com/office/drawing/2014/main" id="{A93DCD8A-08BD-47FD-B90D-4EE2D24D2282}"/>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302126" y="93433900"/>
          <a:ext cx="1847619" cy="969430"/>
        </a:xfrm>
        <a:prstGeom prst="rect">
          <a:avLst/>
        </a:prstGeom>
      </xdr:spPr>
    </xdr:pic>
    <xdr:clientData/>
  </xdr:oneCellAnchor>
  <xdr:oneCellAnchor>
    <xdr:from>
      <xdr:col>7</xdr:col>
      <xdr:colOff>34926</xdr:colOff>
      <xdr:row>588</xdr:row>
      <xdr:rowOff>158750</xdr:rowOff>
    </xdr:from>
    <xdr:ext cx="1847619" cy="969430"/>
    <xdr:pic>
      <xdr:nvPicPr>
        <xdr:cNvPr id="36" name="Picture 35">
          <a:extLst>
            <a:ext uri="{FF2B5EF4-FFF2-40B4-BE49-F238E27FC236}">
              <a16:creationId xmlns:a16="http://schemas.microsoft.com/office/drawing/2014/main" id="{8664C157-90D8-4B89-AEA4-CC068050987D}"/>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302126" y="95370650"/>
          <a:ext cx="1847619" cy="969430"/>
        </a:xfrm>
        <a:prstGeom prst="rect">
          <a:avLst/>
        </a:prstGeom>
      </xdr:spPr>
    </xdr:pic>
    <xdr:clientData/>
  </xdr:oneCellAnchor>
  <xdr:oneCellAnchor>
    <xdr:from>
      <xdr:col>7</xdr:col>
      <xdr:colOff>34926</xdr:colOff>
      <xdr:row>599</xdr:row>
      <xdr:rowOff>3175</xdr:rowOff>
    </xdr:from>
    <xdr:ext cx="1847619" cy="969430"/>
    <xdr:pic>
      <xdr:nvPicPr>
        <xdr:cNvPr id="37" name="Picture 36">
          <a:extLst>
            <a:ext uri="{FF2B5EF4-FFF2-40B4-BE49-F238E27FC236}">
              <a16:creationId xmlns:a16="http://schemas.microsoft.com/office/drawing/2014/main" id="{1532A975-9129-4AAF-B362-F351D7C1A529}"/>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302126" y="96996250"/>
          <a:ext cx="1847619" cy="969430"/>
        </a:xfrm>
        <a:prstGeom prst="rect">
          <a:avLst/>
        </a:prstGeom>
      </xdr:spPr>
    </xdr:pic>
    <xdr:clientData/>
  </xdr:oneCellAnchor>
  <xdr:oneCellAnchor>
    <xdr:from>
      <xdr:col>7</xdr:col>
      <xdr:colOff>34926</xdr:colOff>
      <xdr:row>608</xdr:row>
      <xdr:rowOff>158750</xdr:rowOff>
    </xdr:from>
    <xdr:ext cx="1847619" cy="969430"/>
    <xdr:pic>
      <xdr:nvPicPr>
        <xdr:cNvPr id="38" name="Picture 37">
          <a:extLst>
            <a:ext uri="{FF2B5EF4-FFF2-40B4-BE49-F238E27FC236}">
              <a16:creationId xmlns:a16="http://schemas.microsoft.com/office/drawing/2014/main" id="{8263A296-AC8D-47E8-A320-1669BD154CF1}"/>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302126" y="98609150"/>
          <a:ext cx="1847619" cy="969430"/>
        </a:xfrm>
        <a:prstGeom prst="rect">
          <a:avLst/>
        </a:prstGeom>
      </xdr:spPr>
    </xdr:pic>
    <xdr:clientData/>
  </xdr:oneCellAnchor>
  <xdr:oneCellAnchor>
    <xdr:from>
      <xdr:col>7</xdr:col>
      <xdr:colOff>34926</xdr:colOff>
      <xdr:row>619</xdr:row>
      <xdr:rowOff>3175</xdr:rowOff>
    </xdr:from>
    <xdr:ext cx="1847619" cy="969430"/>
    <xdr:pic>
      <xdr:nvPicPr>
        <xdr:cNvPr id="39" name="Picture 38">
          <a:extLst>
            <a:ext uri="{FF2B5EF4-FFF2-40B4-BE49-F238E27FC236}">
              <a16:creationId xmlns:a16="http://schemas.microsoft.com/office/drawing/2014/main" id="{5FB4E7EA-856F-4368-975C-1158D8F474BD}"/>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302126" y="100234750"/>
          <a:ext cx="1847619" cy="969430"/>
        </a:xfrm>
        <a:prstGeom prst="rect">
          <a:avLst/>
        </a:prstGeom>
      </xdr:spPr>
    </xdr:pic>
    <xdr:clientData/>
  </xdr:oneCellAnchor>
  <xdr:oneCellAnchor>
    <xdr:from>
      <xdr:col>7</xdr:col>
      <xdr:colOff>34926</xdr:colOff>
      <xdr:row>628</xdr:row>
      <xdr:rowOff>158750</xdr:rowOff>
    </xdr:from>
    <xdr:ext cx="1847619" cy="969430"/>
    <xdr:pic>
      <xdr:nvPicPr>
        <xdr:cNvPr id="40" name="Picture 39">
          <a:extLst>
            <a:ext uri="{FF2B5EF4-FFF2-40B4-BE49-F238E27FC236}">
              <a16:creationId xmlns:a16="http://schemas.microsoft.com/office/drawing/2014/main" id="{070069C7-262F-415C-AF53-019E42557ED7}"/>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302126" y="101847650"/>
          <a:ext cx="1847619" cy="969430"/>
        </a:xfrm>
        <a:prstGeom prst="rect">
          <a:avLst/>
        </a:prstGeom>
      </xdr:spPr>
    </xdr:pic>
    <xdr:clientData/>
  </xdr:oneCellAnchor>
  <xdr:oneCellAnchor>
    <xdr:from>
      <xdr:col>7</xdr:col>
      <xdr:colOff>34926</xdr:colOff>
      <xdr:row>639</xdr:row>
      <xdr:rowOff>3175</xdr:rowOff>
    </xdr:from>
    <xdr:ext cx="1847619" cy="969430"/>
    <xdr:pic>
      <xdr:nvPicPr>
        <xdr:cNvPr id="41" name="Picture 40">
          <a:extLst>
            <a:ext uri="{FF2B5EF4-FFF2-40B4-BE49-F238E27FC236}">
              <a16:creationId xmlns:a16="http://schemas.microsoft.com/office/drawing/2014/main" id="{00A2F0E3-7304-4E59-A2EB-7CA76CDA712C}"/>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302126" y="103473250"/>
          <a:ext cx="1847619" cy="969430"/>
        </a:xfrm>
        <a:prstGeom prst="rect">
          <a:avLst/>
        </a:prstGeom>
      </xdr:spPr>
    </xdr:pic>
    <xdr:clientData/>
  </xdr:oneCellAnchor>
  <xdr:oneCellAnchor>
    <xdr:from>
      <xdr:col>7</xdr:col>
      <xdr:colOff>34926</xdr:colOff>
      <xdr:row>648</xdr:row>
      <xdr:rowOff>158750</xdr:rowOff>
    </xdr:from>
    <xdr:ext cx="1847619" cy="969430"/>
    <xdr:pic>
      <xdr:nvPicPr>
        <xdr:cNvPr id="42" name="Picture 41">
          <a:extLst>
            <a:ext uri="{FF2B5EF4-FFF2-40B4-BE49-F238E27FC236}">
              <a16:creationId xmlns:a16="http://schemas.microsoft.com/office/drawing/2014/main" id="{3B936E48-7532-4913-B1A8-A500B1622F77}"/>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302126" y="105086150"/>
          <a:ext cx="1847619" cy="969430"/>
        </a:xfrm>
        <a:prstGeom prst="rect">
          <a:avLst/>
        </a:prstGeom>
      </xdr:spPr>
    </xdr:pic>
    <xdr:clientData/>
  </xdr:oneCellAnchor>
  <xdr:oneCellAnchor>
    <xdr:from>
      <xdr:col>7</xdr:col>
      <xdr:colOff>34926</xdr:colOff>
      <xdr:row>659</xdr:row>
      <xdr:rowOff>3175</xdr:rowOff>
    </xdr:from>
    <xdr:ext cx="1847619" cy="969430"/>
    <xdr:pic>
      <xdr:nvPicPr>
        <xdr:cNvPr id="43" name="Picture 42">
          <a:extLst>
            <a:ext uri="{FF2B5EF4-FFF2-40B4-BE49-F238E27FC236}">
              <a16:creationId xmlns:a16="http://schemas.microsoft.com/office/drawing/2014/main" id="{967BABBB-69A9-46B6-B673-5949D14BBF54}"/>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302126" y="106711750"/>
          <a:ext cx="1847619" cy="969430"/>
        </a:xfrm>
        <a:prstGeom prst="rect">
          <a:avLst/>
        </a:prstGeom>
      </xdr:spPr>
    </xdr:pic>
    <xdr:clientData/>
  </xdr:oneCellAnchor>
  <xdr:oneCellAnchor>
    <xdr:from>
      <xdr:col>7</xdr:col>
      <xdr:colOff>34926</xdr:colOff>
      <xdr:row>668</xdr:row>
      <xdr:rowOff>158750</xdr:rowOff>
    </xdr:from>
    <xdr:ext cx="1847619" cy="969430"/>
    <xdr:pic>
      <xdr:nvPicPr>
        <xdr:cNvPr id="44" name="Picture 43">
          <a:extLst>
            <a:ext uri="{FF2B5EF4-FFF2-40B4-BE49-F238E27FC236}">
              <a16:creationId xmlns:a16="http://schemas.microsoft.com/office/drawing/2014/main" id="{234A50E6-B16C-4622-83B9-A92D8BD49B89}"/>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302126" y="108324650"/>
          <a:ext cx="1847619" cy="969430"/>
        </a:xfrm>
        <a:prstGeom prst="rect">
          <a:avLst/>
        </a:prstGeom>
      </xdr:spPr>
    </xdr:pic>
    <xdr:clientData/>
  </xdr:oneCellAnchor>
  <xdr:oneCellAnchor>
    <xdr:from>
      <xdr:col>7</xdr:col>
      <xdr:colOff>34926</xdr:colOff>
      <xdr:row>679</xdr:row>
      <xdr:rowOff>3175</xdr:rowOff>
    </xdr:from>
    <xdr:ext cx="1847619" cy="969430"/>
    <xdr:pic>
      <xdr:nvPicPr>
        <xdr:cNvPr id="45" name="Picture 44">
          <a:extLst>
            <a:ext uri="{FF2B5EF4-FFF2-40B4-BE49-F238E27FC236}">
              <a16:creationId xmlns:a16="http://schemas.microsoft.com/office/drawing/2014/main" id="{0107BBD3-0378-4D6B-81D8-E490532563B7}"/>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302126" y="109950250"/>
          <a:ext cx="1847619" cy="969430"/>
        </a:xfrm>
        <a:prstGeom prst="rect">
          <a:avLst/>
        </a:prstGeom>
      </xdr:spPr>
    </xdr:pic>
    <xdr:clientData/>
  </xdr:oneCellAnchor>
  <xdr:oneCellAnchor>
    <xdr:from>
      <xdr:col>7</xdr:col>
      <xdr:colOff>34926</xdr:colOff>
      <xdr:row>688</xdr:row>
      <xdr:rowOff>158750</xdr:rowOff>
    </xdr:from>
    <xdr:ext cx="1847619" cy="969430"/>
    <xdr:pic>
      <xdr:nvPicPr>
        <xdr:cNvPr id="46" name="Picture 45">
          <a:extLst>
            <a:ext uri="{FF2B5EF4-FFF2-40B4-BE49-F238E27FC236}">
              <a16:creationId xmlns:a16="http://schemas.microsoft.com/office/drawing/2014/main" id="{D2989BEA-3240-4CB1-899B-682127526564}"/>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302126" y="111563150"/>
          <a:ext cx="1847619" cy="969430"/>
        </a:xfrm>
        <a:prstGeom prst="rect">
          <a:avLst/>
        </a:prstGeom>
      </xdr:spPr>
    </xdr:pic>
    <xdr:clientData/>
  </xdr:oneCellAnchor>
  <xdr:oneCellAnchor>
    <xdr:from>
      <xdr:col>7</xdr:col>
      <xdr:colOff>34926</xdr:colOff>
      <xdr:row>699</xdr:row>
      <xdr:rowOff>3175</xdr:rowOff>
    </xdr:from>
    <xdr:ext cx="1847619" cy="969430"/>
    <xdr:pic>
      <xdr:nvPicPr>
        <xdr:cNvPr id="47" name="Picture 46">
          <a:extLst>
            <a:ext uri="{FF2B5EF4-FFF2-40B4-BE49-F238E27FC236}">
              <a16:creationId xmlns:a16="http://schemas.microsoft.com/office/drawing/2014/main" id="{50EE9C50-4154-4E10-A7BF-C754346DE6BB}"/>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302126" y="113188750"/>
          <a:ext cx="1847619" cy="969430"/>
        </a:xfrm>
        <a:prstGeom prst="rect">
          <a:avLst/>
        </a:prstGeom>
      </xdr:spPr>
    </xdr:pic>
    <xdr:clientData/>
  </xdr:oneCellAnchor>
  <xdr:oneCellAnchor>
    <xdr:from>
      <xdr:col>7</xdr:col>
      <xdr:colOff>34926</xdr:colOff>
      <xdr:row>708</xdr:row>
      <xdr:rowOff>158750</xdr:rowOff>
    </xdr:from>
    <xdr:ext cx="1847619" cy="969430"/>
    <xdr:pic>
      <xdr:nvPicPr>
        <xdr:cNvPr id="48" name="Picture 47">
          <a:extLst>
            <a:ext uri="{FF2B5EF4-FFF2-40B4-BE49-F238E27FC236}">
              <a16:creationId xmlns:a16="http://schemas.microsoft.com/office/drawing/2014/main" id="{996C2553-80F7-4629-BBBA-10502A67A965}"/>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302126" y="114801650"/>
          <a:ext cx="1847619" cy="969430"/>
        </a:xfrm>
        <a:prstGeom prst="rect">
          <a:avLst/>
        </a:prstGeom>
      </xdr:spPr>
    </xdr:pic>
    <xdr:clientData/>
  </xdr:oneCellAnchor>
  <xdr:oneCellAnchor>
    <xdr:from>
      <xdr:col>7</xdr:col>
      <xdr:colOff>34926</xdr:colOff>
      <xdr:row>719</xdr:row>
      <xdr:rowOff>3175</xdr:rowOff>
    </xdr:from>
    <xdr:ext cx="1847619" cy="969430"/>
    <xdr:pic>
      <xdr:nvPicPr>
        <xdr:cNvPr id="49" name="Picture 48">
          <a:extLst>
            <a:ext uri="{FF2B5EF4-FFF2-40B4-BE49-F238E27FC236}">
              <a16:creationId xmlns:a16="http://schemas.microsoft.com/office/drawing/2014/main" id="{7E17B434-5803-4A38-8F20-B78A70C838A7}"/>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302126" y="116427250"/>
          <a:ext cx="1847619" cy="969430"/>
        </a:xfrm>
        <a:prstGeom prst="rect">
          <a:avLst/>
        </a:prstGeom>
      </xdr:spPr>
    </xdr:pic>
    <xdr:clientData/>
  </xdr:oneCellAnchor>
  <xdr:oneCellAnchor>
    <xdr:from>
      <xdr:col>7</xdr:col>
      <xdr:colOff>34926</xdr:colOff>
      <xdr:row>728</xdr:row>
      <xdr:rowOff>158750</xdr:rowOff>
    </xdr:from>
    <xdr:ext cx="1847619" cy="969430"/>
    <xdr:pic>
      <xdr:nvPicPr>
        <xdr:cNvPr id="50" name="Picture 49">
          <a:extLst>
            <a:ext uri="{FF2B5EF4-FFF2-40B4-BE49-F238E27FC236}">
              <a16:creationId xmlns:a16="http://schemas.microsoft.com/office/drawing/2014/main" id="{FE9CA9B7-A0A1-45EA-BFBB-C1C8CF966248}"/>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302126" y="118040150"/>
          <a:ext cx="1847619" cy="969430"/>
        </a:xfrm>
        <a:prstGeom prst="rect">
          <a:avLst/>
        </a:prstGeom>
      </xdr:spPr>
    </xdr:pic>
    <xdr:clientData/>
  </xdr:oneCellAnchor>
  <xdr:oneCellAnchor>
    <xdr:from>
      <xdr:col>7</xdr:col>
      <xdr:colOff>34926</xdr:colOff>
      <xdr:row>739</xdr:row>
      <xdr:rowOff>3175</xdr:rowOff>
    </xdr:from>
    <xdr:ext cx="1847619" cy="969430"/>
    <xdr:pic>
      <xdr:nvPicPr>
        <xdr:cNvPr id="51" name="Picture 50">
          <a:extLst>
            <a:ext uri="{FF2B5EF4-FFF2-40B4-BE49-F238E27FC236}">
              <a16:creationId xmlns:a16="http://schemas.microsoft.com/office/drawing/2014/main" id="{37F844C4-6963-438A-9B72-50885F8C9215}"/>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302126" y="119665750"/>
          <a:ext cx="1847619" cy="969430"/>
        </a:xfrm>
        <a:prstGeom prst="rect">
          <a:avLst/>
        </a:prstGeom>
      </xdr:spPr>
    </xdr:pic>
    <xdr:clientData/>
  </xdr:oneCellAnchor>
  <xdr:oneCellAnchor>
    <xdr:from>
      <xdr:col>7</xdr:col>
      <xdr:colOff>34926</xdr:colOff>
      <xdr:row>748</xdr:row>
      <xdr:rowOff>158750</xdr:rowOff>
    </xdr:from>
    <xdr:ext cx="1847619" cy="969430"/>
    <xdr:pic>
      <xdr:nvPicPr>
        <xdr:cNvPr id="52" name="Picture 51">
          <a:extLst>
            <a:ext uri="{FF2B5EF4-FFF2-40B4-BE49-F238E27FC236}">
              <a16:creationId xmlns:a16="http://schemas.microsoft.com/office/drawing/2014/main" id="{79B70E84-C483-4349-B993-48BB63AB7E06}"/>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302126" y="121278650"/>
          <a:ext cx="1847619" cy="969430"/>
        </a:xfrm>
        <a:prstGeom prst="rect">
          <a:avLst/>
        </a:prstGeom>
      </xdr:spPr>
    </xdr:pic>
    <xdr:clientData/>
  </xdr:oneCellAnchor>
  <xdr:oneCellAnchor>
    <xdr:from>
      <xdr:col>7</xdr:col>
      <xdr:colOff>34926</xdr:colOff>
      <xdr:row>759</xdr:row>
      <xdr:rowOff>3175</xdr:rowOff>
    </xdr:from>
    <xdr:ext cx="1847619" cy="969430"/>
    <xdr:pic>
      <xdr:nvPicPr>
        <xdr:cNvPr id="53" name="Picture 52">
          <a:extLst>
            <a:ext uri="{FF2B5EF4-FFF2-40B4-BE49-F238E27FC236}">
              <a16:creationId xmlns:a16="http://schemas.microsoft.com/office/drawing/2014/main" id="{9FBF58BA-DFB5-4B42-AE0E-BA7A894CF1AC}"/>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302126" y="122904250"/>
          <a:ext cx="1847619" cy="969430"/>
        </a:xfrm>
        <a:prstGeom prst="rect">
          <a:avLst/>
        </a:prstGeom>
      </xdr:spPr>
    </xdr:pic>
    <xdr:clientData/>
  </xdr:oneCellAnchor>
  <xdr:oneCellAnchor>
    <xdr:from>
      <xdr:col>7</xdr:col>
      <xdr:colOff>34926</xdr:colOff>
      <xdr:row>768</xdr:row>
      <xdr:rowOff>158750</xdr:rowOff>
    </xdr:from>
    <xdr:ext cx="1847619" cy="969430"/>
    <xdr:pic>
      <xdr:nvPicPr>
        <xdr:cNvPr id="54" name="Picture 53">
          <a:extLst>
            <a:ext uri="{FF2B5EF4-FFF2-40B4-BE49-F238E27FC236}">
              <a16:creationId xmlns:a16="http://schemas.microsoft.com/office/drawing/2014/main" id="{58118099-9A20-411E-B4B8-1519FD933483}"/>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302126" y="124517150"/>
          <a:ext cx="1847619" cy="969430"/>
        </a:xfrm>
        <a:prstGeom prst="rect">
          <a:avLst/>
        </a:prstGeom>
      </xdr:spPr>
    </xdr:pic>
    <xdr:clientData/>
  </xdr:oneCellAnchor>
  <xdr:oneCellAnchor>
    <xdr:from>
      <xdr:col>7</xdr:col>
      <xdr:colOff>34926</xdr:colOff>
      <xdr:row>779</xdr:row>
      <xdr:rowOff>3175</xdr:rowOff>
    </xdr:from>
    <xdr:ext cx="1847619" cy="969430"/>
    <xdr:pic>
      <xdr:nvPicPr>
        <xdr:cNvPr id="55" name="Picture 54">
          <a:extLst>
            <a:ext uri="{FF2B5EF4-FFF2-40B4-BE49-F238E27FC236}">
              <a16:creationId xmlns:a16="http://schemas.microsoft.com/office/drawing/2014/main" id="{4378389B-2603-475E-91F7-18B746B13D17}"/>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4302126" y="126142750"/>
          <a:ext cx="1847619" cy="969430"/>
        </a:xfrm>
        <a:prstGeom prst="rect">
          <a:avLst/>
        </a:prstGeom>
      </xdr:spPr>
    </xdr:pic>
    <xdr:clientData/>
  </xdr:oneCellAnchor>
  <xdr:oneCellAnchor>
    <xdr:from>
      <xdr:col>7</xdr:col>
      <xdr:colOff>34926</xdr:colOff>
      <xdr:row>788</xdr:row>
      <xdr:rowOff>158750</xdr:rowOff>
    </xdr:from>
    <xdr:ext cx="1847619" cy="969430"/>
    <xdr:pic>
      <xdr:nvPicPr>
        <xdr:cNvPr id="56" name="Picture 55">
          <a:extLst>
            <a:ext uri="{FF2B5EF4-FFF2-40B4-BE49-F238E27FC236}">
              <a16:creationId xmlns:a16="http://schemas.microsoft.com/office/drawing/2014/main" id="{639C40E6-B186-4382-9636-97A6CB054FDF}"/>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302126" y="127755650"/>
          <a:ext cx="1847619" cy="969430"/>
        </a:xfrm>
        <a:prstGeom prst="rect">
          <a:avLst/>
        </a:prstGeom>
      </xdr:spPr>
    </xdr:pic>
    <xdr:clientData/>
  </xdr:oneCellAnchor>
  <xdr:oneCellAnchor>
    <xdr:from>
      <xdr:col>7</xdr:col>
      <xdr:colOff>34926</xdr:colOff>
      <xdr:row>799</xdr:row>
      <xdr:rowOff>3175</xdr:rowOff>
    </xdr:from>
    <xdr:ext cx="1847619" cy="969430"/>
    <xdr:pic>
      <xdr:nvPicPr>
        <xdr:cNvPr id="57" name="Picture 56">
          <a:extLst>
            <a:ext uri="{FF2B5EF4-FFF2-40B4-BE49-F238E27FC236}">
              <a16:creationId xmlns:a16="http://schemas.microsoft.com/office/drawing/2014/main" id="{ABC97DBE-1CD3-41BC-95C5-74CE1A9F63E1}"/>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302126" y="129381250"/>
          <a:ext cx="1847619" cy="969430"/>
        </a:xfrm>
        <a:prstGeom prst="rect">
          <a:avLst/>
        </a:prstGeom>
      </xdr:spPr>
    </xdr:pic>
    <xdr:clientData/>
  </xdr:oneCellAnchor>
  <xdr:oneCellAnchor>
    <xdr:from>
      <xdr:col>7</xdr:col>
      <xdr:colOff>34926</xdr:colOff>
      <xdr:row>808</xdr:row>
      <xdr:rowOff>158750</xdr:rowOff>
    </xdr:from>
    <xdr:ext cx="1847619" cy="969430"/>
    <xdr:pic>
      <xdr:nvPicPr>
        <xdr:cNvPr id="58" name="Picture 57">
          <a:extLst>
            <a:ext uri="{FF2B5EF4-FFF2-40B4-BE49-F238E27FC236}">
              <a16:creationId xmlns:a16="http://schemas.microsoft.com/office/drawing/2014/main" id="{FE71EE85-F8B5-4D25-A036-0E2F1BA874D8}"/>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302126" y="130994150"/>
          <a:ext cx="1847619" cy="969430"/>
        </a:xfrm>
        <a:prstGeom prst="rect">
          <a:avLst/>
        </a:prstGeom>
      </xdr:spPr>
    </xdr:pic>
    <xdr:clientData/>
  </xdr:oneCellAnchor>
  <xdr:oneCellAnchor>
    <xdr:from>
      <xdr:col>7</xdr:col>
      <xdr:colOff>34926</xdr:colOff>
      <xdr:row>819</xdr:row>
      <xdr:rowOff>3175</xdr:rowOff>
    </xdr:from>
    <xdr:ext cx="1847619" cy="969430"/>
    <xdr:pic>
      <xdr:nvPicPr>
        <xdr:cNvPr id="59" name="Picture 58">
          <a:extLst>
            <a:ext uri="{FF2B5EF4-FFF2-40B4-BE49-F238E27FC236}">
              <a16:creationId xmlns:a16="http://schemas.microsoft.com/office/drawing/2014/main" id="{CD463ED3-B72E-43E4-A4B5-2F18011C76B7}"/>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302126" y="132619750"/>
          <a:ext cx="1847619" cy="969430"/>
        </a:xfrm>
        <a:prstGeom prst="rect">
          <a:avLst/>
        </a:prstGeom>
      </xdr:spPr>
    </xdr:pic>
    <xdr:clientData/>
  </xdr:oneCellAnchor>
  <xdr:oneCellAnchor>
    <xdr:from>
      <xdr:col>7</xdr:col>
      <xdr:colOff>34926</xdr:colOff>
      <xdr:row>828</xdr:row>
      <xdr:rowOff>158750</xdr:rowOff>
    </xdr:from>
    <xdr:ext cx="1847619" cy="969430"/>
    <xdr:pic>
      <xdr:nvPicPr>
        <xdr:cNvPr id="60" name="Picture 59">
          <a:extLst>
            <a:ext uri="{FF2B5EF4-FFF2-40B4-BE49-F238E27FC236}">
              <a16:creationId xmlns:a16="http://schemas.microsoft.com/office/drawing/2014/main" id="{BEF4E409-191C-420C-9930-D8E7A5525E4D}"/>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4302126" y="134232650"/>
          <a:ext cx="1847619" cy="969430"/>
        </a:xfrm>
        <a:prstGeom prst="rect">
          <a:avLst/>
        </a:prstGeom>
      </xdr:spPr>
    </xdr:pic>
    <xdr:clientData/>
  </xdr:oneCellAnchor>
  <xdr:oneCellAnchor>
    <xdr:from>
      <xdr:col>7</xdr:col>
      <xdr:colOff>34926</xdr:colOff>
      <xdr:row>839</xdr:row>
      <xdr:rowOff>3175</xdr:rowOff>
    </xdr:from>
    <xdr:ext cx="1847619" cy="969430"/>
    <xdr:pic>
      <xdr:nvPicPr>
        <xdr:cNvPr id="61" name="Picture 60">
          <a:extLst>
            <a:ext uri="{FF2B5EF4-FFF2-40B4-BE49-F238E27FC236}">
              <a16:creationId xmlns:a16="http://schemas.microsoft.com/office/drawing/2014/main" id="{4DF48A4D-C40E-4266-8DE5-196CC78A0D04}"/>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4302126" y="135858250"/>
          <a:ext cx="1847619" cy="969430"/>
        </a:xfrm>
        <a:prstGeom prst="rect">
          <a:avLst/>
        </a:prstGeom>
      </xdr:spPr>
    </xdr:pic>
    <xdr:clientData/>
  </xdr:oneCellAnchor>
  <xdr:oneCellAnchor>
    <xdr:from>
      <xdr:col>7</xdr:col>
      <xdr:colOff>34926</xdr:colOff>
      <xdr:row>848</xdr:row>
      <xdr:rowOff>158750</xdr:rowOff>
    </xdr:from>
    <xdr:ext cx="1847619" cy="969430"/>
    <xdr:pic>
      <xdr:nvPicPr>
        <xdr:cNvPr id="62" name="Picture 61">
          <a:extLst>
            <a:ext uri="{FF2B5EF4-FFF2-40B4-BE49-F238E27FC236}">
              <a16:creationId xmlns:a16="http://schemas.microsoft.com/office/drawing/2014/main" id="{0F191584-6E65-454E-AC87-0866ECBFEFFF}"/>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302126" y="137471150"/>
          <a:ext cx="1847619" cy="969430"/>
        </a:xfrm>
        <a:prstGeom prst="rect">
          <a:avLst/>
        </a:prstGeom>
      </xdr:spPr>
    </xdr:pic>
    <xdr:clientData/>
  </xdr:oneCellAnchor>
  <xdr:oneCellAnchor>
    <xdr:from>
      <xdr:col>7</xdr:col>
      <xdr:colOff>34926</xdr:colOff>
      <xdr:row>859</xdr:row>
      <xdr:rowOff>3175</xdr:rowOff>
    </xdr:from>
    <xdr:ext cx="1847619" cy="969430"/>
    <xdr:pic>
      <xdr:nvPicPr>
        <xdr:cNvPr id="63" name="Picture 62">
          <a:extLst>
            <a:ext uri="{FF2B5EF4-FFF2-40B4-BE49-F238E27FC236}">
              <a16:creationId xmlns:a16="http://schemas.microsoft.com/office/drawing/2014/main" id="{A648292E-0906-40CC-9804-121445663856}"/>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4302126" y="139096750"/>
          <a:ext cx="1847619" cy="969430"/>
        </a:xfrm>
        <a:prstGeom prst="rect">
          <a:avLst/>
        </a:prstGeom>
      </xdr:spPr>
    </xdr:pic>
    <xdr:clientData/>
  </xdr:oneCellAnchor>
  <xdr:oneCellAnchor>
    <xdr:from>
      <xdr:col>7</xdr:col>
      <xdr:colOff>34926</xdr:colOff>
      <xdr:row>868</xdr:row>
      <xdr:rowOff>158750</xdr:rowOff>
    </xdr:from>
    <xdr:ext cx="1847619" cy="969430"/>
    <xdr:pic>
      <xdr:nvPicPr>
        <xdr:cNvPr id="64" name="Picture 63">
          <a:extLst>
            <a:ext uri="{FF2B5EF4-FFF2-40B4-BE49-F238E27FC236}">
              <a16:creationId xmlns:a16="http://schemas.microsoft.com/office/drawing/2014/main" id="{B25E7595-F4BB-4237-A528-95B79BE06323}"/>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302126" y="140709650"/>
          <a:ext cx="1847619" cy="969430"/>
        </a:xfrm>
        <a:prstGeom prst="rect">
          <a:avLst/>
        </a:prstGeom>
      </xdr:spPr>
    </xdr:pic>
    <xdr:clientData/>
  </xdr:oneCellAnchor>
  <xdr:oneCellAnchor>
    <xdr:from>
      <xdr:col>7</xdr:col>
      <xdr:colOff>34926</xdr:colOff>
      <xdr:row>879</xdr:row>
      <xdr:rowOff>3175</xdr:rowOff>
    </xdr:from>
    <xdr:ext cx="1847619" cy="969430"/>
    <xdr:pic>
      <xdr:nvPicPr>
        <xdr:cNvPr id="65" name="Picture 64">
          <a:extLst>
            <a:ext uri="{FF2B5EF4-FFF2-40B4-BE49-F238E27FC236}">
              <a16:creationId xmlns:a16="http://schemas.microsoft.com/office/drawing/2014/main" id="{65509C66-95AA-42DC-910D-7C385C411457}"/>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4302126" y="142335250"/>
          <a:ext cx="1847619" cy="969430"/>
        </a:xfrm>
        <a:prstGeom prst="rect">
          <a:avLst/>
        </a:prstGeom>
      </xdr:spPr>
    </xdr:pic>
    <xdr:clientData/>
  </xdr:oneCellAnchor>
  <xdr:oneCellAnchor>
    <xdr:from>
      <xdr:col>3</xdr:col>
      <xdr:colOff>781051</xdr:colOff>
      <xdr:row>894</xdr:row>
      <xdr:rowOff>0</xdr:rowOff>
    </xdr:from>
    <xdr:ext cx="1847619" cy="969430"/>
    <xdr:pic>
      <xdr:nvPicPr>
        <xdr:cNvPr id="66" name="Picture 65">
          <a:extLst>
            <a:ext uri="{FF2B5EF4-FFF2-40B4-BE49-F238E27FC236}">
              <a16:creationId xmlns:a16="http://schemas.microsoft.com/office/drawing/2014/main" id="{65FFE9DC-5F89-4F8C-B3A2-192410B5FEE5}"/>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438401" y="144760950"/>
          <a:ext cx="1847619" cy="969430"/>
        </a:xfrm>
        <a:prstGeom prst="rect">
          <a:avLst/>
        </a:prstGeom>
      </xdr:spPr>
    </xdr:pic>
    <xdr:clientData/>
  </xdr:oneCellAnchor>
  <xdr:oneCellAnchor>
    <xdr:from>
      <xdr:col>3</xdr:col>
      <xdr:colOff>781051</xdr:colOff>
      <xdr:row>907</xdr:row>
      <xdr:rowOff>3175</xdr:rowOff>
    </xdr:from>
    <xdr:ext cx="1847619" cy="969430"/>
    <xdr:pic>
      <xdr:nvPicPr>
        <xdr:cNvPr id="67" name="Picture 66">
          <a:extLst>
            <a:ext uri="{FF2B5EF4-FFF2-40B4-BE49-F238E27FC236}">
              <a16:creationId xmlns:a16="http://schemas.microsoft.com/office/drawing/2014/main" id="{4B19A7D7-D7D4-4C46-B626-DB0B697DD798}"/>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438401" y="146869150"/>
          <a:ext cx="1847619" cy="969430"/>
        </a:xfrm>
        <a:prstGeom prst="rect">
          <a:avLst/>
        </a:prstGeom>
      </xdr:spPr>
    </xdr:pic>
    <xdr:clientData/>
  </xdr:oneCellAnchor>
  <xdr:oneCellAnchor>
    <xdr:from>
      <xdr:col>3</xdr:col>
      <xdr:colOff>781051</xdr:colOff>
      <xdr:row>920</xdr:row>
      <xdr:rowOff>6350</xdr:rowOff>
    </xdr:from>
    <xdr:ext cx="1847619" cy="969430"/>
    <xdr:pic>
      <xdr:nvPicPr>
        <xdr:cNvPr id="68" name="Picture 67">
          <a:extLst>
            <a:ext uri="{FF2B5EF4-FFF2-40B4-BE49-F238E27FC236}">
              <a16:creationId xmlns:a16="http://schemas.microsoft.com/office/drawing/2014/main" id="{7497585D-1AE0-4BE1-97BD-1178F30B649B}"/>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438401" y="148977350"/>
          <a:ext cx="1847619" cy="969430"/>
        </a:xfrm>
        <a:prstGeom prst="rect">
          <a:avLst/>
        </a:prstGeom>
      </xdr:spPr>
    </xdr:pic>
    <xdr:clientData/>
  </xdr:oneCellAnchor>
  <xdr:oneCellAnchor>
    <xdr:from>
      <xdr:col>3</xdr:col>
      <xdr:colOff>781051</xdr:colOff>
      <xdr:row>935</xdr:row>
      <xdr:rowOff>3175</xdr:rowOff>
    </xdr:from>
    <xdr:ext cx="1847619" cy="969430"/>
    <xdr:pic>
      <xdr:nvPicPr>
        <xdr:cNvPr id="69" name="Picture 68">
          <a:extLst>
            <a:ext uri="{FF2B5EF4-FFF2-40B4-BE49-F238E27FC236}">
              <a16:creationId xmlns:a16="http://schemas.microsoft.com/office/drawing/2014/main" id="{30652C74-6E08-4498-B2BB-70B600532DA0}"/>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438401" y="151403050"/>
          <a:ext cx="1847619" cy="969430"/>
        </a:xfrm>
        <a:prstGeom prst="rect">
          <a:avLst/>
        </a:prstGeom>
      </xdr:spPr>
    </xdr:pic>
    <xdr:clientData/>
  </xdr:oneCellAnchor>
  <xdr:oneCellAnchor>
    <xdr:from>
      <xdr:col>7</xdr:col>
      <xdr:colOff>34926</xdr:colOff>
      <xdr:row>944</xdr:row>
      <xdr:rowOff>158750</xdr:rowOff>
    </xdr:from>
    <xdr:ext cx="1847619" cy="969430"/>
    <xdr:pic>
      <xdr:nvPicPr>
        <xdr:cNvPr id="70" name="Picture 69">
          <a:extLst>
            <a:ext uri="{FF2B5EF4-FFF2-40B4-BE49-F238E27FC236}">
              <a16:creationId xmlns:a16="http://schemas.microsoft.com/office/drawing/2014/main" id="{EC367D11-EB10-415E-B409-7FB7FD4E30A2}"/>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4302126" y="153015950"/>
          <a:ext cx="1847619" cy="969430"/>
        </a:xfrm>
        <a:prstGeom prst="rect">
          <a:avLst/>
        </a:prstGeom>
      </xdr:spPr>
    </xdr:pic>
    <xdr:clientData/>
  </xdr:oneCellAnchor>
  <xdr:oneCellAnchor>
    <xdr:from>
      <xdr:col>3</xdr:col>
      <xdr:colOff>781051</xdr:colOff>
      <xdr:row>958</xdr:row>
      <xdr:rowOff>0</xdr:rowOff>
    </xdr:from>
    <xdr:ext cx="1847619" cy="969430"/>
    <xdr:pic>
      <xdr:nvPicPr>
        <xdr:cNvPr id="71" name="Picture 70">
          <a:extLst>
            <a:ext uri="{FF2B5EF4-FFF2-40B4-BE49-F238E27FC236}">
              <a16:creationId xmlns:a16="http://schemas.microsoft.com/office/drawing/2014/main" id="{3C793023-B87C-4A57-84BC-B58B6342B26D}"/>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438401" y="155124150"/>
          <a:ext cx="1847619" cy="969430"/>
        </a:xfrm>
        <a:prstGeom prst="rect">
          <a:avLst/>
        </a:prstGeom>
      </xdr:spPr>
    </xdr:pic>
    <xdr:clientData/>
  </xdr:oneCellAnchor>
  <xdr:oneCellAnchor>
    <xdr:from>
      <xdr:col>7</xdr:col>
      <xdr:colOff>34926</xdr:colOff>
      <xdr:row>968</xdr:row>
      <xdr:rowOff>6350</xdr:rowOff>
    </xdr:from>
    <xdr:ext cx="1847619" cy="969430"/>
    <xdr:pic>
      <xdr:nvPicPr>
        <xdr:cNvPr id="72" name="Picture 71">
          <a:extLst>
            <a:ext uri="{FF2B5EF4-FFF2-40B4-BE49-F238E27FC236}">
              <a16:creationId xmlns:a16="http://schemas.microsoft.com/office/drawing/2014/main" id="{B21C0EB9-C8A1-4267-9BFB-9E4FBEF4C478}"/>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302126" y="156749750"/>
          <a:ext cx="1847619" cy="969430"/>
        </a:xfrm>
        <a:prstGeom prst="rect">
          <a:avLst/>
        </a:prstGeom>
      </xdr:spPr>
    </xdr:pic>
    <xdr:clientData/>
  </xdr:oneCellAnchor>
  <xdr:oneCellAnchor>
    <xdr:from>
      <xdr:col>7</xdr:col>
      <xdr:colOff>34926</xdr:colOff>
      <xdr:row>978</xdr:row>
      <xdr:rowOff>0</xdr:rowOff>
    </xdr:from>
    <xdr:ext cx="1847619" cy="969430"/>
    <xdr:pic>
      <xdr:nvPicPr>
        <xdr:cNvPr id="73" name="Picture 72">
          <a:extLst>
            <a:ext uri="{FF2B5EF4-FFF2-40B4-BE49-F238E27FC236}">
              <a16:creationId xmlns:a16="http://schemas.microsoft.com/office/drawing/2014/main" id="{676E50ED-0DE7-4B54-9B58-4FC62D575076}"/>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4302126" y="158362650"/>
          <a:ext cx="1847619" cy="969430"/>
        </a:xfrm>
        <a:prstGeom prst="rect">
          <a:avLst/>
        </a:prstGeom>
      </xdr:spPr>
    </xdr:pic>
    <xdr:clientData/>
  </xdr:oneCellAnchor>
  <xdr:oneCellAnchor>
    <xdr:from>
      <xdr:col>7</xdr:col>
      <xdr:colOff>34926</xdr:colOff>
      <xdr:row>987</xdr:row>
      <xdr:rowOff>155575</xdr:rowOff>
    </xdr:from>
    <xdr:ext cx="1847619" cy="969430"/>
    <xdr:pic>
      <xdr:nvPicPr>
        <xdr:cNvPr id="74" name="Picture 73">
          <a:extLst>
            <a:ext uri="{FF2B5EF4-FFF2-40B4-BE49-F238E27FC236}">
              <a16:creationId xmlns:a16="http://schemas.microsoft.com/office/drawing/2014/main" id="{ACE4605E-9F38-435F-8887-0A001E931DB0}"/>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302126" y="159975550"/>
          <a:ext cx="1847619" cy="969430"/>
        </a:xfrm>
        <a:prstGeom prst="rect">
          <a:avLst/>
        </a:prstGeom>
      </xdr:spPr>
    </xdr:pic>
    <xdr:clientData/>
  </xdr:oneCellAnchor>
  <xdr:oneCellAnchor>
    <xdr:from>
      <xdr:col>7</xdr:col>
      <xdr:colOff>34926</xdr:colOff>
      <xdr:row>998</xdr:row>
      <xdr:rowOff>0</xdr:rowOff>
    </xdr:from>
    <xdr:ext cx="1847619" cy="969430"/>
    <xdr:pic>
      <xdr:nvPicPr>
        <xdr:cNvPr id="75" name="Picture 74">
          <a:extLst>
            <a:ext uri="{FF2B5EF4-FFF2-40B4-BE49-F238E27FC236}">
              <a16:creationId xmlns:a16="http://schemas.microsoft.com/office/drawing/2014/main" id="{9464811F-BE94-4E86-BB43-4B1B10831687}"/>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302126" y="161601150"/>
          <a:ext cx="1847619" cy="969430"/>
        </a:xfrm>
        <a:prstGeom prst="rect">
          <a:avLst/>
        </a:prstGeom>
      </xdr:spPr>
    </xdr:pic>
    <xdr:clientData/>
  </xdr:oneCellAnchor>
  <xdr:oneCellAnchor>
    <xdr:from>
      <xdr:col>7</xdr:col>
      <xdr:colOff>34926</xdr:colOff>
      <xdr:row>1008</xdr:row>
      <xdr:rowOff>6350</xdr:rowOff>
    </xdr:from>
    <xdr:ext cx="1847619" cy="969430"/>
    <xdr:pic>
      <xdr:nvPicPr>
        <xdr:cNvPr id="76" name="Picture 75">
          <a:extLst>
            <a:ext uri="{FF2B5EF4-FFF2-40B4-BE49-F238E27FC236}">
              <a16:creationId xmlns:a16="http://schemas.microsoft.com/office/drawing/2014/main" id="{4EDBF73C-4190-4BDE-A5B9-7ADD73B9C748}"/>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4302126" y="163226750"/>
          <a:ext cx="1847619" cy="969430"/>
        </a:xfrm>
        <a:prstGeom prst="rect">
          <a:avLst/>
        </a:prstGeom>
      </xdr:spPr>
    </xdr:pic>
    <xdr:clientData/>
  </xdr:oneCellAnchor>
  <xdr:oneCellAnchor>
    <xdr:from>
      <xdr:col>7</xdr:col>
      <xdr:colOff>34926</xdr:colOff>
      <xdr:row>1018</xdr:row>
      <xdr:rowOff>0</xdr:rowOff>
    </xdr:from>
    <xdr:ext cx="1847619" cy="969430"/>
    <xdr:pic>
      <xdr:nvPicPr>
        <xdr:cNvPr id="77" name="Picture 76">
          <a:extLst>
            <a:ext uri="{FF2B5EF4-FFF2-40B4-BE49-F238E27FC236}">
              <a16:creationId xmlns:a16="http://schemas.microsoft.com/office/drawing/2014/main" id="{3401617C-4D4C-495B-9067-57BD4279B1CD}"/>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302126" y="164839650"/>
          <a:ext cx="1847619" cy="969430"/>
        </a:xfrm>
        <a:prstGeom prst="rect">
          <a:avLst/>
        </a:prstGeom>
      </xdr:spPr>
    </xdr:pic>
    <xdr:clientData/>
  </xdr:oneCellAnchor>
  <xdr:oneCellAnchor>
    <xdr:from>
      <xdr:col>7</xdr:col>
      <xdr:colOff>34926</xdr:colOff>
      <xdr:row>1030</xdr:row>
      <xdr:rowOff>0</xdr:rowOff>
    </xdr:from>
    <xdr:ext cx="1847619" cy="969430"/>
    <xdr:pic>
      <xdr:nvPicPr>
        <xdr:cNvPr id="78" name="Picture 77">
          <a:extLst>
            <a:ext uri="{FF2B5EF4-FFF2-40B4-BE49-F238E27FC236}">
              <a16:creationId xmlns:a16="http://schemas.microsoft.com/office/drawing/2014/main" id="{E2197319-5706-418E-9198-94190F8BDFD6}"/>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4302126" y="166782750"/>
          <a:ext cx="1847619" cy="969430"/>
        </a:xfrm>
        <a:prstGeom prst="rect">
          <a:avLst/>
        </a:prstGeom>
      </xdr:spPr>
    </xdr:pic>
    <xdr:clientData/>
  </xdr:oneCellAnchor>
  <xdr:oneCellAnchor>
    <xdr:from>
      <xdr:col>7</xdr:col>
      <xdr:colOff>34926</xdr:colOff>
      <xdr:row>1040</xdr:row>
      <xdr:rowOff>6350</xdr:rowOff>
    </xdr:from>
    <xdr:ext cx="1847619" cy="969430"/>
    <xdr:pic>
      <xdr:nvPicPr>
        <xdr:cNvPr id="79" name="Picture 78">
          <a:extLst>
            <a:ext uri="{FF2B5EF4-FFF2-40B4-BE49-F238E27FC236}">
              <a16:creationId xmlns:a16="http://schemas.microsoft.com/office/drawing/2014/main" id="{203AA7CB-2DC9-41DD-8DBD-A34B58407929}"/>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4302126" y="168408350"/>
          <a:ext cx="1847619" cy="969430"/>
        </a:xfrm>
        <a:prstGeom prst="rect">
          <a:avLst/>
        </a:prstGeom>
      </xdr:spPr>
    </xdr:pic>
    <xdr:clientData/>
  </xdr:oneCellAnchor>
  <xdr:oneCellAnchor>
    <xdr:from>
      <xdr:col>7</xdr:col>
      <xdr:colOff>34926</xdr:colOff>
      <xdr:row>1050</xdr:row>
      <xdr:rowOff>0</xdr:rowOff>
    </xdr:from>
    <xdr:ext cx="1847619" cy="969430"/>
    <xdr:pic>
      <xdr:nvPicPr>
        <xdr:cNvPr id="80" name="Picture 79">
          <a:extLst>
            <a:ext uri="{FF2B5EF4-FFF2-40B4-BE49-F238E27FC236}">
              <a16:creationId xmlns:a16="http://schemas.microsoft.com/office/drawing/2014/main" id="{186573F1-CAAE-46B6-98E3-6C17745372FB}"/>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302126" y="170021250"/>
          <a:ext cx="1847619" cy="969430"/>
        </a:xfrm>
        <a:prstGeom prst="rect">
          <a:avLst/>
        </a:prstGeom>
      </xdr:spPr>
    </xdr:pic>
    <xdr:clientData/>
  </xdr:oneCellAnchor>
  <xdr:oneCellAnchor>
    <xdr:from>
      <xdr:col>7</xdr:col>
      <xdr:colOff>34926</xdr:colOff>
      <xdr:row>1059</xdr:row>
      <xdr:rowOff>155575</xdr:rowOff>
    </xdr:from>
    <xdr:ext cx="1847619" cy="969430"/>
    <xdr:pic>
      <xdr:nvPicPr>
        <xdr:cNvPr id="81" name="Picture 80">
          <a:extLst>
            <a:ext uri="{FF2B5EF4-FFF2-40B4-BE49-F238E27FC236}">
              <a16:creationId xmlns:a16="http://schemas.microsoft.com/office/drawing/2014/main" id="{3D216D8C-BAA5-497E-B29C-0BBFAB6F531D}"/>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4302126" y="171634150"/>
          <a:ext cx="1847619" cy="969430"/>
        </a:xfrm>
        <a:prstGeom prst="rect">
          <a:avLst/>
        </a:prstGeom>
      </xdr:spPr>
    </xdr:pic>
    <xdr:clientData/>
  </xdr:oneCellAnchor>
  <xdr:oneCellAnchor>
    <xdr:from>
      <xdr:col>7</xdr:col>
      <xdr:colOff>34926</xdr:colOff>
      <xdr:row>1070</xdr:row>
      <xdr:rowOff>0</xdr:rowOff>
    </xdr:from>
    <xdr:ext cx="1847619" cy="969430"/>
    <xdr:pic>
      <xdr:nvPicPr>
        <xdr:cNvPr id="82" name="Picture 81">
          <a:extLst>
            <a:ext uri="{FF2B5EF4-FFF2-40B4-BE49-F238E27FC236}">
              <a16:creationId xmlns:a16="http://schemas.microsoft.com/office/drawing/2014/main" id="{AEA55F95-3085-4317-BCE8-86A18DFD8E4C}"/>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4302126" y="173259750"/>
          <a:ext cx="1847619" cy="969430"/>
        </a:xfrm>
        <a:prstGeom prst="rect">
          <a:avLst/>
        </a:prstGeom>
      </xdr:spPr>
    </xdr:pic>
    <xdr:clientData/>
  </xdr:oneCellAnchor>
  <xdr:oneCellAnchor>
    <xdr:from>
      <xdr:col>7</xdr:col>
      <xdr:colOff>34926</xdr:colOff>
      <xdr:row>1080</xdr:row>
      <xdr:rowOff>6350</xdr:rowOff>
    </xdr:from>
    <xdr:ext cx="1847619" cy="969430"/>
    <xdr:pic>
      <xdr:nvPicPr>
        <xdr:cNvPr id="83" name="Picture 82">
          <a:extLst>
            <a:ext uri="{FF2B5EF4-FFF2-40B4-BE49-F238E27FC236}">
              <a16:creationId xmlns:a16="http://schemas.microsoft.com/office/drawing/2014/main" id="{E842BB45-4C1B-44CF-AEEF-5FDFFA47EB10}"/>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302126" y="174885350"/>
          <a:ext cx="1847619" cy="969430"/>
        </a:xfrm>
        <a:prstGeom prst="rect">
          <a:avLst/>
        </a:prstGeom>
      </xdr:spPr>
    </xdr:pic>
    <xdr:clientData/>
  </xdr:oneCellAnchor>
  <xdr:oneCellAnchor>
    <xdr:from>
      <xdr:col>7</xdr:col>
      <xdr:colOff>34926</xdr:colOff>
      <xdr:row>1090</xdr:row>
      <xdr:rowOff>0</xdr:rowOff>
    </xdr:from>
    <xdr:ext cx="1847619" cy="969430"/>
    <xdr:pic>
      <xdr:nvPicPr>
        <xdr:cNvPr id="84" name="Picture 83">
          <a:extLst>
            <a:ext uri="{FF2B5EF4-FFF2-40B4-BE49-F238E27FC236}">
              <a16:creationId xmlns:a16="http://schemas.microsoft.com/office/drawing/2014/main" id="{1FD3C8EA-BE1A-448B-A655-A33F015EDCA1}"/>
            </a:ext>
          </a:extLst>
        </xdr:cNvPr>
        <xdr:cNvPicPr>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4302126" y="176498250"/>
          <a:ext cx="1847619" cy="969430"/>
        </a:xfrm>
        <a:prstGeom prst="rect">
          <a:avLst/>
        </a:prstGeom>
      </xdr:spPr>
    </xdr:pic>
    <xdr:clientData/>
  </xdr:oneCellAnchor>
  <xdr:oneCellAnchor>
    <xdr:from>
      <xdr:col>7</xdr:col>
      <xdr:colOff>34926</xdr:colOff>
      <xdr:row>1102</xdr:row>
      <xdr:rowOff>0</xdr:rowOff>
    </xdr:from>
    <xdr:ext cx="1847619" cy="969430"/>
    <xdr:pic>
      <xdr:nvPicPr>
        <xdr:cNvPr id="85" name="Picture 84">
          <a:extLst>
            <a:ext uri="{FF2B5EF4-FFF2-40B4-BE49-F238E27FC236}">
              <a16:creationId xmlns:a16="http://schemas.microsoft.com/office/drawing/2014/main" id="{D5FEF5C1-F9B9-4C7D-8C23-CD2AE99901F1}"/>
            </a:ext>
          </a:extLst>
        </xdr:cNvPr>
        <xdr:cNvPicPr>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4302126" y="178441350"/>
          <a:ext cx="1847619" cy="969430"/>
        </a:xfrm>
        <a:prstGeom prst="rect">
          <a:avLst/>
        </a:prstGeom>
      </xdr:spPr>
    </xdr:pic>
    <xdr:clientData/>
  </xdr:oneCellAnchor>
  <xdr:oneCellAnchor>
    <xdr:from>
      <xdr:col>7</xdr:col>
      <xdr:colOff>34926</xdr:colOff>
      <xdr:row>1112</xdr:row>
      <xdr:rowOff>6350</xdr:rowOff>
    </xdr:from>
    <xdr:ext cx="1847619" cy="969430"/>
    <xdr:pic>
      <xdr:nvPicPr>
        <xdr:cNvPr id="86" name="Picture 85">
          <a:extLst>
            <a:ext uri="{FF2B5EF4-FFF2-40B4-BE49-F238E27FC236}">
              <a16:creationId xmlns:a16="http://schemas.microsoft.com/office/drawing/2014/main" id="{B7331135-4675-4072-A5CF-1C9ED1544767}"/>
            </a:ext>
          </a:extLst>
        </xdr:cNvPr>
        <xdr:cNvPicPr>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4302126" y="180066950"/>
          <a:ext cx="1847619" cy="969430"/>
        </a:xfrm>
        <a:prstGeom prst="rect">
          <a:avLst/>
        </a:prstGeom>
      </xdr:spPr>
    </xdr:pic>
    <xdr:clientData/>
  </xdr:oneCellAnchor>
  <xdr:oneCellAnchor>
    <xdr:from>
      <xdr:col>2</xdr:col>
      <xdr:colOff>200026</xdr:colOff>
      <xdr:row>1123</xdr:row>
      <xdr:rowOff>155576</xdr:rowOff>
    </xdr:from>
    <xdr:ext cx="4628571" cy="4133333"/>
    <xdr:pic>
      <xdr:nvPicPr>
        <xdr:cNvPr id="87" name="Picture 86">
          <a:extLst>
            <a:ext uri="{FF2B5EF4-FFF2-40B4-BE49-F238E27FC236}">
              <a16:creationId xmlns:a16="http://schemas.microsoft.com/office/drawing/2014/main" id="{AE8B04E3-78DC-4487-883F-D9C76DBB9F20}"/>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419226" y="181997351"/>
          <a:ext cx="4628571" cy="4133333"/>
        </a:xfrm>
        <a:prstGeom prst="rect">
          <a:avLst/>
        </a:prstGeom>
      </xdr:spPr>
    </xdr:pic>
    <xdr:clientData/>
  </xdr:oneCellAnchor>
  <xdr:oneCellAnchor>
    <xdr:from>
      <xdr:col>2</xdr:col>
      <xdr:colOff>200026</xdr:colOff>
      <xdr:row>1154</xdr:row>
      <xdr:rowOff>1</xdr:rowOff>
    </xdr:from>
    <xdr:ext cx="4628571" cy="4038095"/>
    <xdr:pic>
      <xdr:nvPicPr>
        <xdr:cNvPr id="88" name="Picture 87">
          <a:extLst>
            <a:ext uri="{FF2B5EF4-FFF2-40B4-BE49-F238E27FC236}">
              <a16:creationId xmlns:a16="http://schemas.microsoft.com/office/drawing/2014/main" id="{FCC9FCE6-5D1B-4B2A-8A35-6017BAD686E6}"/>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419226" y="186861451"/>
          <a:ext cx="4628571" cy="4038095"/>
        </a:xfrm>
        <a:prstGeom prst="rect">
          <a:avLst/>
        </a:prstGeom>
      </xdr:spPr>
    </xdr:pic>
    <xdr:clientData/>
  </xdr:oneCellAnchor>
  <xdr:oneCellAnchor>
    <xdr:from>
      <xdr:col>2</xdr:col>
      <xdr:colOff>200026</xdr:colOff>
      <xdr:row>1183</xdr:row>
      <xdr:rowOff>3176</xdr:rowOff>
    </xdr:from>
    <xdr:ext cx="4628571" cy="4038095"/>
    <xdr:pic>
      <xdr:nvPicPr>
        <xdr:cNvPr id="89" name="Picture 88">
          <a:extLst>
            <a:ext uri="{FF2B5EF4-FFF2-40B4-BE49-F238E27FC236}">
              <a16:creationId xmlns:a16="http://schemas.microsoft.com/office/drawing/2014/main" id="{72C170FA-8215-4731-ABE9-737274568F1D}"/>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191560451"/>
          <a:ext cx="4628571" cy="4038095"/>
        </a:xfrm>
        <a:prstGeom prst="rect">
          <a:avLst/>
        </a:prstGeom>
      </xdr:spPr>
    </xdr:pic>
    <xdr:clientData/>
  </xdr:oneCellAnchor>
  <xdr:oneCellAnchor>
    <xdr:from>
      <xdr:col>2</xdr:col>
      <xdr:colOff>200026</xdr:colOff>
      <xdr:row>1211</xdr:row>
      <xdr:rowOff>155576</xdr:rowOff>
    </xdr:from>
    <xdr:ext cx="4628571" cy="4038095"/>
    <xdr:pic>
      <xdr:nvPicPr>
        <xdr:cNvPr id="90" name="Picture 89">
          <a:extLst>
            <a:ext uri="{FF2B5EF4-FFF2-40B4-BE49-F238E27FC236}">
              <a16:creationId xmlns:a16="http://schemas.microsoft.com/office/drawing/2014/main" id="{3A651414-9E27-468B-8CF4-C16463A293E5}"/>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196246751"/>
          <a:ext cx="4628571" cy="4038095"/>
        </a:xfrm>
        <a:prstGeom prst="rect">
          <a:avLst/>
        </a:prstGeom>
      </xdr:spPr>
    </xdr:pic>
    <xdr:clientData/>
  </xdr:oneCellAnchor>
  <xdr:oneCellAnchor>
    <xdr:from>
      <xdr:col>2</xdr:col>
      <xdr:colOff>200026</xdr:colOff>
      <xdr:row>1240</xdr:row>
      <xdr:rowOff>158751</xdr:rowOff>
    </xdr:from>
    <xdr:ext cx="4628571" cy="4038095"/>
    <xdr:pic>
      <xdr:nvPicPr>
        <xdr:cNvPr id="91" name="Picture 90">
          <a:extLst>
            <a:ext uri="{FF2B5EF4-FFF2-40B4-BE49-F238E27FC236}">
              <a16:creationId xmlns:a16="http://schemas.microsoft.com/office/drawing/2014/main" id="{367994C2-DA3A-467B-9131-DC6B83D53371}"/>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200945751"/>
          <a:ext cx="4628571" cy="4038095"/>
        </a:xfrm>
        <a:prstGeom prst="rect">
          <a:avLst/>
        </a:prstGeom>
      </xdr:spPr>
    </xdr:pic>
    <xdr:clientData/>
  </xdr:oneCellAnchor>
  <xdr:oneCellAnchor>
    <xdr:from>
      <xdr:col>2</xdr:col>
      <xdr:colOff>200026</xdr:colOff>
      <xdr:row>1270</xdr:row>
      <xdr:rowOff>1</xdr:rowOff>
    </xdr:from>
    <xdr:ext cx="4628571" cy="4133333"/>
    <xdr:pic>
      <xdr:nvPicPr>
        <xdr:cNvPr id="92" name="Picture 91">
          <a:extLst>
            <a:ext uri="{FF2B5EF4-FFF2-40B4-BE49-F238E27FC236}">
              <a16:creationId xmlns:a16="http://schemas.microsoft.com/office/drawing/2014/main" id="{3D310A2E-6C2C-4A0D-BA64-34C496ED8636}"/>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9226" y="205644751"/>
          <a:ext cx="4628571" cy="4133333"/>
        </a:xfrm>
        <a:prstGeom prst="rect">
          <a:avLst/>
        </a:prstGeom>
      </xdr:spPr>
    </xdr:pic>
    <xdr:clientData/>
  </xdr:oneCellAnchor>
  <xdr:oneCellAnchor>
    <xdr:from>
      <xdr:col>2</xdr:col>
      <xdr:colOff>200026</xdr:colOff>
      <xdr:row>1299</xdr:row>
      <xdr:rowOff>155576</xdr:rowOff>
    </xdr:from>
    <xdr:ext cx="4628571" cy="4038095"/>
    <xdr:pic>
      <xdr:nvPicPr>
        <xdr:cNvPr id="93" name="Picture 92">
          <a:extLst>
            <a:ext uri="{FF2B5EF4-FFF2-40B4-BE49-F238E27FC236}">
              <a16:creationId xmlns:a16="http://schemas.microsoft.com/office/drawing/2014/main" id="{0D9DA4B7-54A2-4F84-845E-DBB5D9F6EC92}"/>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9226" y="210496151"/>
          <a:ext cx="4628571" cy="4038095"/>
        </a:xfrm>
        <a:prstGeom prst="rect">
          <a:avLst/>
        </a:prstGeom>
      </xdr:spPr>
    </xdr:pic>
    <xdr:clientData/>
  </xdr:oneCellAnchor>
  <xdr:oneCellAnchor>
    <xdr:from>
      <xdr:col>2</xdr:col>
      <xdr:colOff>200026</xdr:colOff>
      <xdr:row>1328</xdr:row>
      <xdr:rowOff>158751</xdr:rowOff>
    </xdr:from>
    <xdr:ext cx="4628571" cy="4038095"/>
    <xdr:pic>
      <xdr:nvPicPr>
        <xdr:cNvPr id="94" name="Picture 93">
          <a:extLst>
            <a:ext uri="{FF2B5EF4-FFF2-40B4-BE49-F238E27FC236}">
              <a16:creationId xmlns:a16="http://schemas.microsoft.com/office/drawing/2014/main" id="{B9D1F0C5-08B4-43E4-AC1E-E23774FE392F}"/>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419226" y="215195151"/>
          <a:ext cx="4628571" cy="4038095"/>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200026</xdr:colOff>
      <xdr:row>37</xdr:row>
      <xdr:rowOff>155575</xdr:rowOff>
    </xdr:from>
    <xdr:ext cx="4628571" cy="2609524"/>
    <xdr:pic>
      <xdr:nvPicPr>
        <xdr:cNvPr id="2" name="Picture 1">
          <a:extLst>
            <a:ext uri="{FF2B5EF4-FFF2-40B4-BE49-F238E27FC236}">
              <a16:creationId xmlns:a16="http://schemas.microsoft.com/office/drawing/2014/main" id="{32C10C80-B60F-466A-8121-2263FDF4D2FE}"/>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9226" y="6146800"/>
          <a:ext cx="4628571" cy="2609524"/>
        </a:xfrm>
        <a:prstGeom prst="rect">
          <a:avLst/>
        </a:prstGeom>
      </xdr:spPr>
    </xdr:pic>
    <xdr:clientData/>
  </xdr:oneCellAnchor>
  <xdr:oneCellAnchor>
    <xdr:from>
      <xdr:col>2</xdr:col>
      <xdr:colOff>200026</xdr:colOff>
      <xdr:row>98</xdr:row>
      <xdr:rowOff>158751</xdr:rowOff>
    </xdr:from>
    <xdr:ext cx="4628571" cy="3152381"/>
    <xdr:pic>
      <xdr:nvPicPr>
        <xdr:cNvPr id="3" name="Picture 2">
          <a:extLst>
            <a:ext uri="{FF2B5EF4-FFF2-40B4-BE49-F238E27FC236}">
              <a16:creationId xmlns:a16="http://schemas.microsoft.com/office/drawing/2014/main" id="{23F1B3F1-9C80-43FB-A56C-3C817553CD36}"/>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6027401"/>
          <a:ext cx="4628571" cy="3152381"/>
        </a:xfrm>
        <a:prstGeom prst="rect">
          <a:avLst/>
        </a:prstGeom>
      </xdr:spPr>
    </xdr:pic>
    <xdr:clientData/>
  </xdr:oneCellAnchor>
  <xdr:oneCellAnchor>
    <xdr:from>
      <xdr:col>2</xdr:col>
      <xdr:colOff>200026</xdr:colOff>
      <xdr:row>162</xdr:row>
      <xdr:rowOff>158751</xdr:rowOff>
    </xdr:from>
    <xdr:ext cx="4628571" cy="3152381"/>
    <xdr:pic>
      <xdr:nvPicPr>
        <xdr:cNvPr id="4" name="Picture 3">
          <a:extLst>
            <a:ext uri="{FF2B5EF4-FFF2-40B4-BE49-F238E27FC236}">
              <a16:creationId xmlns:a16="http://schemas.microsoft.com/office/drawing/2014/main" id="{6524D9E3-D4E9-4A42-AD09-2326A60D5392}"/>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26390601"/>
          <a:ext cx="4628571" cy="3152381"/>
        </a:xfrm>
        <a:prstGeom prst="rect">
          <a:avLst/>
        </a:prstGeom>
      </xdr:spPr>
    </xdr:pic>
    <xdr:clientData/>
  </xdr:oneCellAnchor>
  <xdr:oneCellAnchor>
    <xdr:from>
      <xdr:col>2</xdr:col>
      <xdr:colOff>200026</xdr:colOff>
      <xdr:row>225</xdr:row>
      <xdr:rowOff>3175</xdr:rowOff>
    </xdr:from>
    <xdr:ext cx="4628571" cy="3590476"/>
    <xdr:pic>
      <xdr:nvPicPr>
        <xdr:cNvPr id="5" name="Picture 4">
          <a:extLst>
            <a:ext uri="{FF2B5EF4-FFF2-40B4-BE49-F238E27FC236}">
              <a16:creationId xmlns:a16="http://schemas.microsoft.com/office/drawing/2014/main" id="{7AC81D5C-B553-4042-861D-650400A5DBC2}"/>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19226" y="36436300"/>
          <a:ext cx="4628571" cy="3590476"/>
        </a:xfrm>
        <a:prstGeom prst="rect">
          <a:avLst/>
        </a:prstGeom>
      </xdr:spPr>
    </xdr:pic>
    <xdr:clientData/>
  </xdr:oneCellAnchor>
  <xdr:oneCellAnchor>
    <xdr:from>
      <xdr:col>7</xdr:col>
      <xdr:colOff>34926</xdr:colOff>
      <xdr:row>289</xdr:row>
      <xdr:rowOff>3175</xdr:rowOff>
    </xdr:from>
    <xdr:ext cx="1847619" cy="969430"/>
    <xdr:pic>
      <xdr:nvPicPr>
        <xdr:cNvPr id="6" name="Picture 5">
          <a:extLst>
            <a:ext uri="{FF2B5EF4-FFF2-40B4-BE49-F238E27FC236}">
              <a16:creationId xmlns:a16="http://schemas.microsoft.com/office/drawing/2014/main" id="{99E913C6-9936-4B00-BB78-18E960BCE768}"/>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02126" y="46799500"/>
          <a:ext cx="1847619" cy="969430"/>
        </a:xfrm>
        <a:prstGeom prst="rect">
          <a:avLst/>
        </a:prstGeom>
      </xdr:spPr>
    </xdr:pic>
    <xdr:clientData/>
  </xdr:oneCellAnchor>
  <xdr:oneCellAnchor>
    <xdr:from>
      <xdr:col>7</xdr:col>
      <xdr:colOff>34926</xdr:colOff>
      <xdr:row>298</xdr:row>
      <xdr:rowOff>158750</xdr:rowOff>
    </xdr:from>
    <xdr:ext cx="1847619" cy="969430"/>
    <xdr:pic>
      <xdr:nvPicPr>
        <xdr:cNvPr id="7" name="Picture 6">
          <a:extLst>
            <a:ext uri="{FF2B5EF4-FFF2-40B4-BE49-F238E27FC236}">
              <a16:creationId xmlns:a16="http://schemas.microsoft.com/office/drawing/2014/main" id="{C944148E-593B-4694-B605-FE2F15A4C511}"/>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02126" y="48412400"/>
          <a:ext cx="1847619" cy="969430"/>
        </a:xfrm>
        <a:prstGeom prst="rect">
          <a:avLst/>
        </a:prstGeom>
      </xdr:spPr>
    </xdr:pic>
    <xdr:clientData/>
  </xdr:oneCellAnchor>
  <xdr:oneCellAnchor>
    <xdr:from>
      <xdr:col>7</xdr:col>
      <xdr:colOff>34926</xdr:colOff>
      <xdr:row>309</xdr:row>
      <xdr:rowOff>3175</xdr:rowOff>
    </xdr:from>
    <xdr:ext cx="1847619" cy="969430"/>
    <xdr:pic>
      <xdr:nvPicPr>
        <xdr:cNvPr id="8" name="Picture 7">
          <a:extLst>
            <a:ext uri="{FF2B5EF4-FFF2-40B4-BE49-F238E27FC236}">
              <a16:creationId xmlns:a16="http://schemas.microsoft.com/office/drawing/2014/main" id="{B5BA450C-08B5-4D2C-AD9D-A2E5B4B25BF7}"/>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2126" y="50038000"/>
          <a:ext cx="1847619" cy="969430"/>
        </a:xfrm>
        <a:prstGeom prst="rect">
          <a:avLst/>
        </a:prstGeom>
      </xdr:spPr>
    </xdr:pic>
    <xdr:clientData/>
  </xdr:oneCellAnchor>
  <xdr:oneCellAnchor>
    <xdr:from>
      <xdr:col>7</xdr:col>
      <xdr:colOff>34926</xdr:colOff>
      <xdr:row>318</xdr:row>
      <xdr:rowOff>158750</xdr:rowOff>
    </xdr:from>
    <xdr:ext cx="1847619" cy="969430"/>
    <xdr:pic>
      <xdr:nvPicPr>
        <xdr:cNvPr id="9" name="Picture 8">
          <a:extLst>
            <a:ext uri="{FF2B5EF4-FFF2-40B4-BE49-F238E27FC236}">
              <a16:creationId xmlns:a16="http://schemas.microsoft.com/office/drawing/2014/main" id="{E6DB1A40-3039-4C22-868F-32A2ADE5B667}"/>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2126" y="51650900"/>
          <a:ext cx="1847619" cy="969430"/>
        </a:xfrm>
        <a:prstGeom prst="rect">
          <a:avLst/>
        </a:prstGeom>
      </xdr:spPr>
    </xdr:pic>
    <xdr:clientData/>
  </xdr:oneCellAnchor>
  <xdr:oneCellAnchor>
    <xdr:from>
      <xdr:col>7</xdr:col>
      <xdr:colOff>34926</xdr:colOff>
      <xdr:row>329</xdr:row>
      <xdr:rowOff>3175</xdr:rowOff>
    </xdr:from>
    <xdr:ext cx="1847619" cy="969430"/>
    <xdr:pic>
      <xdr:nvPicPr>
        <xdr:cNvPr id="10" name="Picture 9">
          <a:extLst>
            <a:ext uri="{FF2B5EF4-FFF2-40B4-BE49-F238E27FC236}">
              <a16:creationId xmlns:a16="http://schemas.microsoft.com/office/drawing/2014/main" id="{B3FB9C60-5339-479F-AEF8-019F2F64CB8F}"/>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02126" y="53276500"/>
          <a:ext cx="1847619" cy="969430"/>
        </a:xfrm>
        <a:prstGeom prst="rect">
          <a:avLst/>
        </a:prstGeom>
      </xdr:spPr>
    </xdr:pic>
    <xdr:clientData/>
  </xdr:oneCellAnchor>
  <xdr:oneCellAnchor>
    <xdr:from>
      <xdr:col>7</xdr:col>
      <xdr:colOff>34926</xdr:colOff>
      <xdr:row>338</xdr:row>
      <xdr:rowOff>158750</xdr:rowOff>
    </xdr:from>
    <xdr:ext cx="1847619" cy="969430"/>
    <xdr:pic>
      <xdr:nvPicPr>
        <xdr:cNvPr id="11" name="Picture 10">
          <a:extLst>
            <a:ext uri="{FF2B5EF4-FFF2-40B4-BE49-F238E27FC236}">
              <a16:creationId xmlns:a16="http://schemas.microsoft.com/office/drawing/2014/main" id="{C7D43D5E-379A-4459-8D48-9D1703B62358}"/>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02126" y="54889400"/>
          <a:ext cx="1847619" cy="969430"/>
        </a:xfrm>
        <a:prstGeom prst="rect">
          <a:avLst/>
        </a:prstGeom>
      </xdr:spPr>
    </xdr:pic>
    <xdr:clientData/>
  </xdr:oneCellAnchor>
  <xdr:oneCellAnchor>
    <xdr:from>
      <xdr:col>7</xdr:col>
      <xdr:colOff>34926</xdr:colOff>
      <xdr:row>349</xdr:row>
      <xdr:rowOff>3175</xdr:rowOff>
    </xdr:from>
    <xdr:ext cx="1847619" cy="969430"/>
    <xdr:pic>
      <xdr:nvPicPr>
        <xdr:cNvPr id="12" name="Picture 11">
          <a:extLst>
            <a:ext uri="{FF2B5EF4-FFF2-40B4-BE49-F238E27FC236}">
              <a16:creationId xmlns:a16="http://schemas.microsoft.com/office/drawing/2014/main" id="{4D985E61-E18F-4C74-BCE2-AF3B8624542D}"/>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02126" y="56515000"/>
          <a:ext cx="1847619" cy="969430"/>
        </a:xfrm>
        <a:prstGeom prst="rect">
          <a:avLst/>
        </a:prstGeom>
      </xdr:spPr>
    </xdr:pic>
    <xdr:clientData/>
  </xdr:oneCellAnchor>
  <xdr:oneCellAnchor>
    <xdr:from>
      <xdr:col>7</xdr:col>
      <xdr:colOff>34926</xdr:colOff>
      <xdr:row>358</xdr:row>
      <xdr:rowOff>158750</xdr:rowOff>
    </xdr:from>
    <xdr:ext cx="1847619" cy="969430"/>
    <xdr:pic>
      <xdr:nvPicPr>
        <xdr:cNvPr id="13" name="Picture 12">
          <a:extLst>
            <a:ext uri="{FF2B5EF4-FFF2-40B4-BE49-F238E27FC236}">
              <a16:creationId xmlns:a16="http://schemas.microsoft.com/office/drawing/2014/main" id="{5E9804F9-25DB-4EFF-A67E-ED4DA207E44C}"/>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02126" y="58127900"/>
          <a:ext cx="1847619" cy="969430"/>
        </a:xfrm>
        <a:prstGeom prst="rect">
          <a:avLst/>
        </a:prstGeom>
      </xdr:spPr>
    </xdr:pic>
    <xdr:clientData/>
  </xdr:oneCellAnchor>
  <xdr:oneCellAnchor>
    <xdr:from>
      <xdr:col>7</xdr:col>
      <xdr:colOff>34926</xdr:colOff>
      <xdr:row>369</xdr:row>
      <xdr:rowOff>3175</xdr:rowOff>
    </xdr:from>
    <xdr:ext cx="1847619" cy="969430"/>
    <xdr:pic>
      <xdr:nvPicPr>
        <xdr:cNvPr id="14" name="Picture 13">
          <a:extLst>
            <a:ext uri="{FF2B5EF4-FFF2-40B4-BE49-F238E27FC236}">
              <a16:creationId xmlns:a16="http://schemas.microsoft.com/office/drawing/2014/main" id="{294FC71A-EF0A-4B34-B680-81537B8E1F33}"/>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302126" y="59753500"/>
          <a:ext cx="1847619" cy="969430"/>
        </a:xfrm>
        <a:prstGeom prst="rect">
          <a:avLst/>
        </a:prstGeom>
      </xdr:spPr>
    </xdr:pic>
    <xdr:clientData/>
  </xdr:oneCellAnchor>
  <xdr:oneCellAnchor>
    <xdr:from>
      <xdr:col>7</xdr:col>
      <xdr:colOff>34926</xdr:colOff>
      <xdr:row>378</xdr:row>
      <xdr:rowOff>158750</xdr:rowOff>
    </xdr:from>
    <xdr:ext cx="1847619" cy="969430"/>
    <xdr:pic>
      <xdr:nvPicPr>
        <xdr:cNvPr id="15" name="Picture 14">
          <a:extLst>
            <a:ext uri="{FF2B5EF4-FFF2-40B4-BE49-F238E27FC236}">
              <a16:creationId xmlns:a16="http://schemas.microsoft.com/office/drawing/2014/main" id="{1D243BB4-92A7-4BEA-B4C1-349838EB09F6}"/>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302126" y="61366400"/>
          <a:ext cx="1847619" cy="969430"/>
        </a:xfrm>
        <a:prstGeom prst="rect">
          <a:avLst/>
        </a:prstGeom>
      </xdr:spPr>
    </xdr:pic>
    <xdr:clientData/>
  </xdr:oneCellAnchor>
  <xdr:oneCellAnchor>
    <xdr:from>
      <xdr:col>7</xdr:col>
      <xdr:colOff>34926</xdr:colOff>
      <xdr:row>389</xdr:row>
      <xdr:rowOff>3175</xdr:rowOff>
    </xdr:from>
    <xdr:ext cx="1847619" cy="969430"/>
    <xdr:pic>
      <xdr:nvPicPr>
        <xdr:cNvPr id="16" name="Picture 15">
          <a:extLst>
            <a:ext uri="{FF2B5EF4-FFF2-40B4-BE49-F238E27FC236}">
              <a16:creationId xmlns:a16="http://schemas.microsoft.com/office/drawing/2014/main" id="{67ABC546-F69E-4E8A-8A78-F6C52339130A}"/>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302126" y="62992000"/>
          <a:ext cx="1847619" cy="969430"/>
        </a:xfrm>
        <a:prstGeom prst="rect">
          <a:avLst/>
        </a:prstGeom>
      </xdr:spPr>
    </xdr:pic>
    <xdr:clientData/>
  </xdr:oneCellAnchor>
  <xdr:oneCellAnchor>
    <xdr:from>
      <xdr:col>7</xdr:col>
      <xdr:colOff>34926</xdr:colOff>
      <xdr:row>398</xdr:row>
      <xdr:rowOff>158750</xdr:rowOff>
    </xdr:from>
    <xdr:ext cx="1847619" cy="969430"/>
    <xdr:pic>
      <xdr:nvPicPr>
        <xdr:cNvPr id="17" name="Picture 16">
          <a:extLst>
            <a:ext uri="{FF2B5EF4-FFF2-40B4-BE49-F238E27FC236}">
              <a16:creationId xmlns:a16="http://schemas.microsoft.com/office/drawing/2014/main" id="{9F1F9C8C-3DFA-4E15-9C80-9CB58BBB5FEF}"/>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302126" y="64604900"/>
          <a:ext cx="1847619" cy="969430"/>
        </a:xfrm>
        <a:prstGeom prst="rect">
          <a:avLst/>
        </a:prstGeom>
      </xdr:spPr>
    </xdr:pic>
    <xdr:clientData/>
  </xdr:oneCellAnchor>
  <xdr:oneCellAnchor>
    <xdr:from>
      <xdr:col>7</xdr:col>
      <xdr:colOff>34926</xdr:colOff>
      <xdr:row>409</xdr:row>
      <xdr:rowOff>3175</xdr:rowOff>
    </xdr:from>
    <xdr:ext cx="1847619" cy="969430"/>
    <xdr:pic>
      <xdr:nvPicPr>
        <xdr:cNvPr id="18" name="Picture 17">
          <a:extLst>
            <a:ext uri="{FF2B5EF4-FFF2-40B4-BE49-F238E27FC236}">
              <a16:creationId xmlns:a16="http://schemas.microsoft.com/office/drawing/2014/main" id="{17DC1BB3-599E-41E3-B13A-B1FAE6F51C03}"/>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302126" y="66230500"/>
          <a:ext cx="1847619" cy="969430"/>
        </a:xfrm>
        <a:prstGeom prst="rect">
          <a:avLst/>
        </a:prstGeom>
      </xdr:spPr>
    </xdr:pic>
    <xdr:clientData/>
  </xdr:oneCellAnchor>
  <xdr:oneCellAnchor>
    <xdr:from>
      <xdr:col>7</xdr:col>
      <xdr:colOff>34926</xdr:colOff>
      <xdr:row>418</xdr:row>
      <xdr:rowOff>158750</xdr:rowOff>
    </xdr:from>
    <xdr:ext cx="1847619" cy="969430"/>
    <xdr:pic>
      <xdr:nvPicPr>
        <xdr:cNvPr id="19" name="Picture 18">
          <a:extLst>
            <a:ext uri="{FF2B5EF4-FFF2-40B4-BE49-F238E27FC236}">
              <a16:creationId xmlns:a16="http://schemas.microsoft.com/office/drawing/2014/main" id="{D07A915E-9680-4C30-8647-388E4B61CE48}"/>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302126" y="67843400"/>
          <a:ext cx="1847619" cy="969430"/>
        </a:xfrm>
        <a:prstGeom prst="rect">
          <a:avLst/>
        </a:prstGeom>
      </xdr:spPr>
    </xdr:pic>
    <xdr:clientData/>
  </xdr:oneCellAnchor>
  <xdr:oneCellAnchor>
    <xdr:from>
      <xdr:col>7</xdr:col>
      <xdr:colOff>34926</xdr:colOff>
      <xdr:row>429</xdr:row>
      <xdr:rowOff>3175</xdr:rowOff>
    </xdr:from>
    <xdr:ext cx="1847619" cy="969430"/>
    <xdr:pic>
      <xdr:nvPicPr>
        <xdr:cNvPr id="20" name="Picture 19">
          <a:extLst>
            <a:ext uri="{FF2B5EF4-FFF2-40B4-BE49-F238E27FC236}">
              <a16:creationId xmlns:a16="http://schemas.microsoft.com/office/drawing/2014/main" id="{81D2C8E5-7139-429B-9D66-85F43B269317}"/>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302126" y="69469000"/>
          <a:ext cx="1847619" cy="969430"/>
        </a:xfrm>
        <a:prstGeom prst="rect">
          <a:avLst/>
        </a:prstGeom>
      </xdr:spPr>
    </xdr:pic>
    <xdr:clientData/>
  </xdr:oneCellAnchor>
  <xdr:oneCellAnchor>
    <xdr:from>
      <xdr:col>7</xdr:col>
      <xdr:colOff>34926</xdr:colOff>
      <xdr:row>438</xdr:row>
      <xdr:rowOff>158750</xdr:rowOff>
    </xdr:from>
    <xdr:ext cx="1847619" cy="969430"/>
    <xdr:pic>
      <xdr:nvPicPr>
        <xdr:cNvPr id="21" name="Picture 20">
          <a:extLst>
            <a:ext uri="{FF2B5EF4-FFF2-40B4-BE49-F238E27FC236}">
              <a16:creationId xmlns:a16="http://schemas.microsoft.com/office/drawing/2014/main" id="{D18147E9-A464-488F-91DF-F8D20F038779}"/>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302126" y="71081900"/>
          <a:ext cx="1847619" cy="969430"/>
        </a:xfrm>
        <a:prstGeom prst="rect">
          <a:avLst/>
        </a:prstGeom>
      </xdr:spPr>
    </xdr:pic>
    <xdr:clientData/>
  </xdr:oneCellAnchor>
  <xdr:oneCellAnchor>
    <xdr:from>
      <xdr:col>7</xdr:col>
      <xdr:colOff>34926</xdr:colOff>
      <xdr:row>449</xdr:row>
      <xdr:rowOff>3175</xdr:rowOff>
    </xdr:from>
    <xdr:ext cx="1847619" cy="969430"/>
    <xdr:pic>
      <xdr:nvPicPr>
        <xdr:cNvPr id="22" name="Picture 21">
          <a:extLst>
            <a:ext uri="{FF2B5EF4-FFF2-40B4-BE49-F238E27FC236}">
              <a16:creationId xmlns:a16="http://schemas.microsoft.com/office/drawing/2014/main" id="{67B69BB1-3191-43F5-86BF-916299658C83}"/>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302126" y="72707500"/>
          <a:ext cx="1847619" cy="969430"/>
        </a:xfrm>
        <a:prstGeom prst="rect">
          <a:avLst/>
        </a:prstGeom>
      </xdr:spPr>
    </xdr:pic>
    <xdr:clientData/>
  </xdr:oneCellAnchor>
  <xdr:oneCellAnchor>
    <xdr:from>
      <xdr:col>7</xdr:col>
      <xdr:colOff>34926</xdr:colOff>
      <xdr:row>458</xdr:row>
      <xdr:rowOff>158750</xdr:rowOff>
    </xdr:from>
    <xdr:ext cx="1847619" cy="969430"/>
    <xdr:pic>
      <xdr:nvPicPr>
        <xdr:cNvPr id="23" name="Picture 22">
          <a:extLst>
            <a:ext uri="{FF2B5EF4-FFF2-40B4-BE49-F238E27FC236}">
              <a16:creationId xmlns:a16="http://schemas.microsoft.com/office/drawing/2014/main" id="{C3B8973D-D919-4F31-80B8-1A8C6CED600E}"/>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302126" y="74320400"/>
          <a:ext cx="1847619" cy="969430"/>
        </a:xfrm>
        <a:prstGeom prst="rect">
          <a:avLst/>
        </a:prstGeom>
      </xdr:spPr>
    </xdr:pic>
    <xdr:clientData/>
  </xdr:oneCellAnchor>
  <xdr:oneCellAnchor>
    <xdr:from>
      <xdr:col>7</xdr:col>
      <xdr:colOff>34926</xdr:colOff>
      <xdr:row>469</xdr:row>
      <xdr:rowOff>3175</xdr:rowOff>
    </xdr:from>
    <xdr:ext cx="1847619" cy="969430"/>
    <xdr:pic>
      <xdr:nvPicPr>
        <xdr:cNvPr id="24" name="Picture 23">
          <a:extLst>
            <a:ext uri="{FF2B5EF4-FFF2-40B4-BE49-F238E27FC236}">
              <a16:creationId xmlns:a16="http://schemas.microsoft.com/office/drawing/2014/main" id="{177AA817-2531-494E-98E2-8570F012EDEB}"/>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302126" y="75946000"/>
          <a:ext cx="1847619" cy="969430"/>
        </a:xfrm>
        <a:prstGeom prst="rect">
          <a:avLst/>
        </a:prstGeom>
      </xdr:spPr>
    </xdr:pic>
    <xdr:clientData/>
  </xdr:oneCellAnchor>
  <xdr:oneCellAnchor>
    <xdr:from>
      <xdr:col>7</xdr:col>
      <xdr:colOff>34926</xdr:colOff>
      <xdr:row>478</xdr:row>
      <xdr:rowOff>158750</xdr:rowOff>
    </xdr:from>
    <xdr:ext cx="1847619" cy="969430"/>
    <xdr:pic>
      <xdr:nvPicPr>
        <xdr:cNvPr id="25" name="Picture 24">
          <a:extLst>
            <a:ext uri="{FF2B5EF4-FFF2-40B4-BE49-F238E27FC236}">
              <a16:creationId xmlns:a16="http://schemas.microsoft.com/office/drawing/2014/main" id="{7D0C5C74-0DF4-4DED-A73A-B6ADD720F8FF}"/>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302126" y="77558900"/>
          <a:ext cx="1847619" cy="969430"/>
        </a:xfrm>
        <a:prstGeom prst="rect">
          <a:avLst/>
        </a:prstGeom>
      </xdr:spPr>
    </xdr:pic>
    <xdr:clientData/>
  </xdr:oneCellAnchor>
  <xdr:oneCellAnchor>
    <xdr:from>
      <xdr:col>7</xdr:col>
      <xdr:colOff>34926</xdr:colOff>
      <xdr:row>489</xdr:row>
      <xdr:rowOff>3175</xdr:rowOff>
    </xdr:from>
    <xdr:ext cx="1847619" cy="969430"/>
    <xdr:pic>
      <xdr:nvPicPr>
        <xdr:cNvPr id="26" name="Picture 25">
          <a:extLst>
            <a:ext uri="{FF2B5EF4-FFF2-40B4-BE49-F238E27FC236}">
              <a16:creationId xmlns:a16="http://schemas.microsoft.com/office/drawing/2014/main" id="{76265120-259E-4357-82CE-6DB57E157D7B}"/>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302126" y="79184500"/>
          <a:ext cx="1847619" cy="969430"/>
        </a:xfrm>
        <a:prstGeom prst="rect">
          <a:avLst/>
        </a:prstGeom>
      </xdr:spPr>
    </xdr:pic>
    <xdr:clientData/>
  </xdr:oneCellAnchor>
  <xdr:oneCellAnchor>
    <xdr:from>
      <xdr:col>7</xdr:col>
      <xdr:colOff>34926</xdr:colOff>
      <xdr:row>498</xdr:row>
      <xdr:rowOff>158750</xdr:rowOff>
    </xdr:from>
    <xdr:ext cx="1847619" cy="969430"/>
    <xdr:pic>
      <xdr:nvPicPr>
        <xdr:cNvPr id="27" name="Picture 26">
          <a:extLst>
            <a:ext uri="{FF2B5EF4-FFF2-40B4-BE49-F238E27FC236}">
              <a16:creationId xmlns:a16="http://schemas.microsoft.com/office/drawing/2014/main" id="{46B791B2-F611-4E4C-B4EB-E4C880B32FC1}"/>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302126" y="80797400"/>
          <a:ext cx="1847619" cy="969430"/>
        </a:xfrm>
        <a:prstGeom prst="rect">
          <a:avLst/>
        </a:prstGeom>
      </xdr:spPr>
    </xdr:pic>
    <xdr:clientData/>
  </xdr:oneCellAnchor>
  <xdr:oneCellAnchor>
    <xdr:from>
      <xdr:col>7</xdr:col>
      <xdr:colOff>34926</xdr:colOff>
      <xdr:row>509</xdr:row>
      <xdr:rowOff>3175</xdr:rowOff>
    </xdr:from>
    <xdr:ext cx="1847619" cy="969430"/>
    <xdr:pic>
      <xdr:nvPicPr>
        <xdr:cNvPr id="28" name="Picture 27">
          <a:extLst>
            <a:ext uri="{FF2B5EF4-FFF2-40B4-BE49-F238E27FC236}">
              <a16:creationId xmlns:a16="http://schemas.microsoft.com/office/drawing/2014/main" id="{1AE28A26-A58A-4DEB-944F-B3CB9174549B}"/>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302126" y="82423000"/>
          <a:ext cx="1847619" cy="969430"/>
        </a:xfrm>
        <a:prstGeom prst="rect">
          <a:avLst/>
        </a:prstGeom>
      </xdr:spPr>
    </xdr:pic>
    <xdr:clientData/>
  </xdr:oneCellAnchor>
  <xdr:oneCellAnchor>
    <xdr:from>
      <xdr:col>7</xdr:col>
      <xdr:colOff>34926</xdr:colOff>
      <xdr:row>518</xdr:row>
      <xdr:rowOff>158750</xdr:rowOff>
    </xdr:from>
    <xdr:ext cx="1847619" cy="969430"/>
    <xdr:pic>
      <xdr:nvPicPr>
        <xdr:cNvPr id="29" name="Picture 28">
          <a:extLst>
            <a:ext uri="{FF2B5EF4-FFF2-40B4-BE49-F238E27FC236}">
              <a16:creationId xmlns:a16="http://schemas.microsoft.com/office/drawing/2014/main" id="{100989D9-91A2-4607-A8E5-B08C35782DB9}"/>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302126" y="84035900"/>
          <a:ext cx="1847619" cy="969430"/>
        </a:xfrm>
        <a:prstGeom prst="rect">
          <a:avLst/>
        </a:prstGeom>
      </xdr:spPr>
    </xdr:pic>
    <xdr:clientData/>
  </xdr:oneCellAnchor>
  <xdr:oneCellAnchor>
    <xdr:from>
      <xdr:col>7</xdr:col>
      <xdr:colOff>34926</xdr:colOff>
      <xdr:row>529</xdr:row>
      <xdr:rowOff>3175</xdr:rowOff>
    </xdr:from>
    <xdr:ext cx="1847619" cy="969430"/>
    <xdr:pic>
      <xdr:nvPicPr>
        <xdr:cNvPr id="30" name="Picture 29">
          <a:extLst>
            <a:ext uri="{FF2B5EF4-FFF2-40B4-BE49-F238E27FC236}">
              <a16:creationId xmlns:a16="http://schemas.microsoft.com/office/drawing/2014/main" id="{16159325-197C-49A3-ABCE-44E6B00CAA7B}"/>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302126" y="85661500"/>
          <a:ext cx="1847619" cy="969430"/>
        </a:xfrm>
        <a:prstGeom prst="rect">
          <a:avLst/>
        </a:prstGeom>
      </xdr:spPr>
    </xdr:pic>
    <xdr:clientData/>
  </xdr:oneCellAnchor>
  <xdr:oneCellAnchor>
    <xdr:from>
      <xdr:col>7</xdr:col>
      <xdr:colOff>34926</xdr:colOff>
      <xdr:row>538</xdr:row>
      <xdr:rowOff>158750</xdr:rowOff>
    </xdr:from>
    <xdr:ext cx="1847619" cy="969430"/>
    <xdr:pic>
      <xdr:nvPicPr>
        <xdr:cNvPr id="31" name="Picture 30">
          <a:extLst>
            <a:ext uri="{FF2B5EF4-FFF2-40B4-BE49-F238E27FC236}">
              <a16:creationId xmlns:a16="http://schemas.microsoft.com/office/drawing/2014/main" id="{E1EBA555-E93B-4A40-B611-948598C30F91}"/>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302126" y="87274400"/>
          <a:ext cx="1847619" cy="969430"/>
        </a:xfrm>
        <a:prstGeom prst="rect">
          <a:avLst/>
        </a:prstGeom>
      </xdr:spPr>
    </xdr:pic>
    <xdr:clientData/>
  </xdr:oneCellAnchor>
  <xdr:oneCellAnchor>
    <xdr:from>
      <xdr:col>7</xdr:col>
      <xdr:colOff>34926</xdr:colOff>
      <xdr:row>549</xdr:row>
      <xdr:rowOff>3175</xdr:rowOff>
    </xdr:from>
    <xdr:ext cx="1847619" cy="969430"/>
    <xdr:pic>
      <xdr:nvPicPr>
        <xdr:cNvPr id="32" name="Picture 31">
          <a:extLst>
            <a:ext uri="{FF2B5EF4-FFF2-40B4-BE49-F238E27FC236}">
              <a16:creationId xmlns:a16="http://schemas.microsoft.com/office/drawing/2014/main" id="{BEE30232-88C4-4CB8-BA08-85B73AD8BE7B}"/>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302126" y="88900000"/>
          <a:ext cx="1847619" cy="969430"/>
        </a:xfrm>
        <a:prstGeom prst="rect">
          <a:avLst/>
        </a:prstGeom>
      </xdr:spPr>
    </xdr:pic>
    <xdr:clientData/>
  </xdr:oneCellAnchor>
  <xdr:oneCellAnchor>
    <xdr:from>
      <xdr:col>7</xdr:col>
      <xdr:colOff>34926</xdr:colOff>
      <xdr:row>558</xdr:row>
      <xdr:rowOff>158750</xdr:rowOff>
    </xdr:from>
    <xdr:ext cx="1847619" cy="969430"/>
    <xdr:pic>
      <xdr:nvPicPr>
        <xdr:cNvPr id="33" name="Picture 32">
          <a:extLst>
            <a:ext uri="{FF2B5EF4-FFF2-40B4-BE49-F238E27FC236}">
              <a16:creationId xmlns:a16="http://schemas.microsoft.com/office/drawing/2014/main" id="{C38A7234-B806-4557-9CF3-E42BD6CA5E3F}"/>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302126" y="90512900"/>
          <a:ext cx="1847619" cy="969430"/>
        </a:xfrm>
        <a:prstGeom prst="rect">
          <a:avLst/>
        </a:prstGeom>
      </xdr:spPr>
    </xdr:pic>
    <xdr:clientData/>
  </xdr:oneCellAnchor>
  <xdr:oneCellAnchor>
    <xdr:from>
      <xdr:col>7</xdr:col>
      <xdr:colOff>34926</xdr:colOff>
      <xdr:row>569</xdr:row>
      <xdr:rowOff>3175</xdr:rowOff>
    </xdr:from>
    <xdr:ext cx="1847619" cy="969430"/>
    <xdr:pic>
      <xdr:nvPicPr>
        <xdr:cNvPr id="34" name="Picture 33">
          <a:extLst>
            <a:ext uri="{FF2B5EF4-FFF2-40B4-BE49-F238E27FC236}">
              <a16:creationId xmlns:a16="http://schemas.microsoft.com/office/drawing/2014/main" id="{26BA4B8C-7991-4254-B321-51F6FC7F5573}"/>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302126" y="92138500"/>
          <a:ext cx="1847619" cy="969430"/>
        </a:xfrm>
        <a:prstGeom prst="rect">
          <a:avLst/>
        </a:prstGeom>
      </xdr:spPr>
    </xdr:pic>
    <xdr:clientData/>
  </xdr:oneCellAnchor>
  <xdr:oneCellAnchor>
    <xdr:from>
      <xdr:col>7</xdr:col>
      <xdr:colOff>34926</xdr:colOff>
      <xdr:row>578</xdr:row>
      <xdr:rowOff>158750</xdr:rowOff>
    </xdr:from>
    <xdr:ext cx="1847619" cy="969430"/>
    <xdr:pic>
      <xdr:nvPicPr>
        <xdr:cNvPr id="35" name="Picture 34">
          <a:extLst>
            <a:ext uri="{FF2B5EF4-FFF2-40B4-BE49-F238E27FC236}">
              <a16:creationId xmlns:a16="http://schemas.microsoft.com/office/drawing/2014/main" id="{F643D2D1-890F-4B68-BA00-0D489F90E6AF}"/>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302126" y="93751400"/>
          <a:ext cx="1847619" cy="969430"/>
        </a:xfrm>
        <a:prstGeom prst="rect">
          <a:avLst/>
        </a:prstGeom>
      </xdr:spPr>
    </xdr:pic>
    <xdr:clientData/>
  </xdr:oneCellAnchor>
  <xdr:oneCellAnchor>
    <xdr:from>
      <xdr:col>7</xdr:col>
      <xdr:colOff>34926</xdr:colOff>
      <xdr:row>591</xdr:row>
      <xdr:rowOff>3175</xdr:rowOff>
    </xdr:from>
    <xdr:ext cx="1847619" cy="969430"/>
    <xdr:pic>
      <xdr:nvPicPr>
        <xdr:cNvPr id="36" name="Picture 35">
          <a:extLst>
            <a:ext uri="{FF2B5EF4-FFF2-40B4-BE49-F238E27FC236}">
              <a16:creationId xmlns:a16="http://schemas.microsoft.com/office/drawing/2014/main" id="{383FB945-08A7-4BDF-BF4D-3D4384D4E573}"/>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302126" y="95700850"/>
          <a:ext cx="1847619" cy="969430"/>
        </a:xfrm>
        <a:prstGeom prst="rect">
          <a:avLst/>
        </a:prstGeom>
      </xdr:spPr>
    </xdr:pic>
    <xdr:clientData/>
  </xdr:oneCellAnchor>
  <xdr:oneCellAnchor>
    <xdr:from>
      <xdr:col>7</xdr:col>
      <xdr:colOff>34926</xdr:colOff>
      <xdr:row>600</xdr:row>
      <xdr:rowOff>158750</xdr:rowOff>
    </xdr:from>
    <xdr:ext cx="1847619" cy="969430"/>
    <xdr:pic>
      <xdr:nvPicPr>
        <xdr:cNvPr id="37" name="Picture 36">
          <a:extLst>
            <a:ext uri="{FF2B5EF4-FFF2-40B4-BE49-F238E27FC236}">
              <a16:creationId xmlns:a16="http://schemas.microsoft.com/office/drawing/2014/main" id="{04EB79C6-297F-43EB-9555-5805D7BE86BF}"/>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302126" y="97313750"/>
          <a:ext cx="1847619" cy="969430"/>
        </a:xfrm>
        <a:prstGeom prst="rect">
          <a:avLst/>
        </a:prstGeom>
      </xdr:spPr>
    </xdr:pic>
    <xdr:clientData/>
  </xdr:oneCellAnchor>
  <xdr:oneCellAnchor>
    <xdr:from>
      <xdr:col>7</xdr:col>
      <xdr:colOff>34926</xdr:colOff>
      <xdr:row>611</xdr:row>
      <xdr:rowOff>3175</xdr:rowOff>
    </xdr:from>
    <xdr:ext cx="1847619" cy="969430"/>
    <xdr:pic>
      <xdr:nvPicPr>
        <xdr:cNvPr id="38" name="Picture 37">
          <a:extLst>
            <a:ext uri="{FF2B5EF4-FFF2-40B4-BE49-F238E27FC236}">
              <a16:creationId xmlns:a16="http://schemas.microsoft.com/office/drawing/2014/main" id="{DC084A33-20F6-48A9-9300-F376118AB5E2}"/>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302126" y="98939350"/>
          <a:ext cx="1847619" cy="969430"/>
        </a:xfrm>
        <a:prstGeom prst="rect">
          <a:avLst/>
        </a:prstGeom>
      </xdr:spPr>
    </xdr:pic>
    <xdr:clientData/>
  </xdr:oneCellAnchor>
  <xdr:oneCellAnchor>
    <xdr:from>
      <xdr:col>7</xdr:col>
      <xdr:colOff>34926</xdr:colOff>
      <xdr:row>620</xdr:row>
      <xdr:rowOff>158750</xdr:rowOff>
    </xdr:from>
    <xdr:ext cx="1847619" cy="969430"/>
    <xdr:pic>
      <xdr:nvPicPr>
        <xdr:cNvPr id="39" name="Picture 38">
          <a:extLst>
            <a:ext uri="{FF2B5EF4-FFF2-40B4-BE49-F238E27FC236}">
              <a16:creationId xmlns:a16="http://schemas.microsoft.com/office/drawing/2014/main" id="{1949258A-90E1-4C4C-8CDE-C32F3E0FE824}"/>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302126" y="100552250"/>
          <a:ext cx="1847619" cy="969430"/>
        </a:xfrm>
        <a:prstGeom prst="rect">
          <a:avLst/>
        </a:prstGeom>
      </xdr:spPr>
    </xdr:pic>
    <xdr:clientData/>
  </xdr:oneCellAnchor>
  <xdr:oneCellAnchor>
    <xdr:from>
      <xdr:col>7</xdr:col>
      <xdr:colOff>34926</xdr:colOff>
      <xdr:row>631</xdr:row>
      <xdr:rowOff>3175</xdr:rowOff>
    </xdr:from>
    <xdr:ext cx="1847619" cy="969430"/>
    <xdr:pic>
      <xdr:nvPicPr>
        <xdr:cNvPr id="40" name="Picture 39">
          <a:extLst>
            <a:ext uri="{FF2B5EF4-FFF2-40B4-BE49-F238E27FC236}">
              <a16:creationId xmlns:a16="http://schemas.microsoft.com/office/drawing/2014/main" id="{5DDF3E77-F3B8-4AAE-AB7E-A0BABAFD86A8}"/>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302126" y="102177850"/>
          <a:ext cx="1847619" cy="969430"/>
        </a:xfrm>
        <a:prstGeom prst="rect">
          <a:avLst/>
        </a:prstGeom>
      </xdr:spPr>
    </xdr:pic>
    <xdr:clientData/>
  </xdr:oneCellAnchor>
  <xdr:oneCellAnchor>
    <xdr:from>
      <xdr:col>7</xdr:col>
      <xdr:colOff>34926</xdr:colOff>
      <xdr:row>640</xdr:row>
      <xdr:rowOff>158750</xdr:rowOff>
    </xdr:from>
    <xdr:ext cx="1847619" cy="969430"/>
    <xdr:pic>
      <xdr:nvPicPr>
        <xdr:cNvPr id="41" name="Picture 40">
          <a:extLst>
            <a:ext uri="{FF2B5EF4-FFF2-40B4-BE49-F238E27FC236}">
              <a16:creationId xmlns:a16="http://schemas.microsoft.com/office/drawing/2014/main" id="{49028B99-FAA5-4F64-8EB9-E3A6AB7159BC}"/>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302126" y="103790750"/>
          <a:ext cx="1847619" cy="969430"/>
        </a:xfrm>
        <a:prstGeom prst="rect">
          <a:avLst/>
        </a:prstGeom>
      </xdr:spPr>
    </xdr:pic>
    <xdr:clientData/>
  </xdr:oneCellAnchor>
  <xdr:oneCellAnchor>
    <xdr:from>
      <xdr:col>7</xdr:col>
      <xdr:colOff>34926</xdr:colOff>
      <xdr:row>651</xdr:row>
      <xdr:rowOff>3175</xdr:rowOff>
    </xdr:from>
    <xdr:ext cx="1847619" cy="969430"/>
    <xdr:pic>
      <xdr:nvPicPr>
        <xdr:cNvPr id="42" name="Picture 41">
          <a:extLst>
            <a:ext uri="{FF2B5EF4-FFF2-40B4-BE49-F238E27FC236}">
              <a16:creationId xmlns:a16="http://schemas.microsoft.com/office/drawing/2014/main" id="{EDC18CDA-C6EC-4EC6-B83A-9E46D4664CE3}"/>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302126" y="105416350"/>
          <a:ext cx="1847619" cy="969430"/>
        </a:xfrm>
        <a:prstGeom prst="rect">
          <a:avLst/>
        </a:prstGeom>
      </xdr:spPr>
    </xdr:pic>
    <xdr:clientData/>
  </xdr:oneCellAnchor>
  <xdr:oneCellAnchor>
    <xdr:from>
      <xdr:col>7</xdr:col>
      <xdr:colOff>34926</xdr:colOff>
      <xdr:row>660</xdr:row>
      <xdr:rowOff>158750</xdr:rowOff>
    </xdr:from>
    <xdr:ext cx="1847619" cy="969430"/>
    <xdr:pic>
      <xdr:nvPicPr>
        <xdr:cNvPr id="43" name="Picture 42">
          <a:extLst>
            <a:ext uri="{FF2B5EF4-FFF2-40B4-BE49-F238E27FC236}">
              <a16:creationId xmlns:a16="http://schemas.microsoft.com/office/drawing/2014/main" id="{7E8CF271-1FA8-48FD-A6B4-A9DA6011D42C}"/>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302126" y="107029250"/>
          <a:ext cx="1847619" cy="969430"/>
        </a:xfrm>
        <a:prstGeom prst="rect">
          <a:avLst/>
        </a:prstGeom>
      </xdr:spPr>
    </xdr:pic>
    <xdr:clientData/>
  </xdr:oneCellAnchor>
  <xdr:oneCellAnchor>
    <xdr:from>
      <xdr:col>7</xdr:col>
      <xdr:colOff>34926</xdr:colOff>
      <xdr:row>671</xdr:row>
      <xdr:rowOff>3175</xdr:rowOff>
    </xdr:from>
    <xdr:ext cx="1847619" cy="969430"/>
    <xdr:pic>
      <xdr:nvPicPr>
        <xdr:cNvPr id="44" name="Picture 43">
          <a:extLst>
            <a:ext uri="{FF2B5EF4-FFF2-40B4-BE49-F238E27FC236}">
              <a16:creationId xmlns:a16="http://schemas.microsoft.com/office/drawing/2014/main" id="{FA9121EC-7675-42BA-9A99-389DBCE881FD}"/>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302126" y="108654850"/>
          <a:ext cx="1847619" cy="969430"/>
        </a:xfrm>
        <a:prstGeom prst="rect">
          <a:avLst/>
        </a:prstGeom>
      </xdr:spPr>
    </xdr:pic>
    <xdr:clientData/>
  </xdr:oneCellAnchor>
  <xdr:oneCellAnchor>
    <xdr:from>
      <xdr:col>7</xdr:col>
      <xdr:colOff>34926</xdr:colOff>
      <xdr:row>680</xdr:row>
      <xdr:rowOff>158750</xdr:rowOff>
    </xdr:from>
    <xdr:ext cx="1847619" cy="969430"/>
    <xdr:pic>
      <xdr:nvPicPr>
        <xdr:cNvPr id="45" name="Picture 44">
          <a:extLst>
            <a:ext uri="{FF2B5EF4-FFF2-40B4-BE49-F238E27FC236}">
              <a16:creationId xmlns:a16="http://schemas.microsoft.com/office/drawing/2014/main" id="{18D02537-54CE-4B6A-BDA0-72B464C6CC6C}"/>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302126" y="110267750"/>
          <a:ext cx="1847619" cy="969430"/>
        </a:xfrm>
        <a:prstGeom prst="rect">
          <a:avLst/>
        </a:prstGeom>
      </xdr:spPr>
    </xdr:pic>
    <xdr:clientData/>
  </xdr:oneCellAnchor>
  <xdr:oneCellAnchor>
    <xdr:from>
      <xdr:col>7</xdr:col>
      <xdr:colOff>34926</xdr:colOff>
      <xdr:row>691</xdr:row>
      <xdr:rowOff>3175</xdr:rowOff>
    </xdr:from>
    <xdr:ext cx="1847619" cy="969430"/>
    <xdr:pic>
      <xdr:nvPicPr>
        <xdr:cNvPr id="46" name="Picture 45">
          <a:extLst>
            <a:ext uri="{FF2B5EF4-FFF2-40B4-BE49-F238E27FC236}">
              <a16:creationId xmlns:a16="http://schemas.microsoft.com/office/drawing/2014/main" id="{2F14642B-20EF-4005-829A-447DB7951EF8}"/>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302126" y="111893350"/>
          <a:ext cx="1847619" cy="969430"/>
        </a:xfrm>
        <a:prstGeom prst="rect">
          <a:avLst/>
        </a:prstGeom>
      </xdr:spPr>
    </xdr:pic>
    <xdr:clientData/>
  </xdr:oneCellAnchor>
  <xdr:oneCellAnchor>
    <xdr:from>
      <xdr:col>7</xdr:col>
      <xdr:colOff>34926</xdr:colOff>
      <xdr:row>700</xdr:row>
      <xdr:rowOff>158750</xdr:rowOff>
    </xdr:from>
    <xdr:ext cx="1847619" cy="969430"/>
    <xdr:pic>
      <xdr:nvPicPr>
        <xdr:cNvPr id="47" name="Picture 46">
          <a:extLst>
            <a:ext uri="{FF2B5EF4-FFF2-40B4-BE49-F238E27FC236}">
              <a16:creationId xmlns:a16="http://schemas.microsoft.com/office/drawing/2014/main" id="{20AC8005-BE20-440B-9D92-47D8FC3A74C5}"/>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302126" y="113506250"/>
          <a:ext cx="1847619" cy="969430"/>
        </a:xfrm>
        <a:prstGeom prst="rect">
          <a:avLst/>
        </a:prstGeom>
      </xdr:spPr>
    </xdr:pic>
    <xdr:clientData/>
  </xdr:oneCellAnchor>
  <xdr:oneCellAnchor>
    <xdr:from>
      <xdr:col>7</xdr:col>
      <xdr:colOff>34926</xdr:colOff>
      <xdr:row>711</xdr:row>
      <xdr:rowOff>3175</xdr:rowOff>
    </xdr:from>
    <xdr:ext cx="1847619" cy="969430"/>
    <xdr:pic>
      <xdr:nvPicPr>
        <xdr:cNvPr id="48" name="Picture 47">
          <a:extLst>
            <a:ext uri="{FF2B5EF4-FFF2-40B4-BE49-F238E27FC236}">
              <a16:creationId xmlns:a16="http://schemas.microsoft.com/office/drawing/2014/main" id="{2E59AE36-EB92-4B1D-BA92-A200CD225821}"/>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302126" y="115131850"/>
          <a:ext cx="1847619" cy="969430"/>
        </a:xfrm>
        <a:prstGeom prst="rect">
          <a:avLst/>
        </a:prstGeom>
      </xdr:spPr>
    </xdr:pic>
    <xdr:clientData/>
  </xdr:oneCellAnchor>
  <xdr:oneCellAnchor>
    <xdr:from>
      <xdr:col>7</xdr:col>
      <xdr:colOff>34926</xdr:colOff>
      <xdr:row>720</xdr:row>
      <xdr:rowOff>158750</xdr:rowOff>
    </xdr:from>
    <xdr:ext cx="1847619" cy="969430"/>
    <xdr:pic>
      <xdr:nvPicPr>
        <xdr:cNvPr id="49" name="Picture 48">
          <a:extLst>
            <a:ext uri="{FF2B5EF4-FFF2-40B4-BE49-F238E27FC236}">
              <a16:creationId xmlns:a16="http://schemas.microsoft.com/office/drawing/2014/main" id="{C112A50E-9489-46BE-9FC9-2A586C651767}"/>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302126" y="116744750"/>
          <a:ext cx="1847619" cy="969430"/>
        </a:xfrm>
        <a:prstGeom prst="rect">
          <a:avLst/>
        </a:prstGeom>
      </xdr:spPr>
    </xdr:pic>
    <xdr:clientData/>
  </xdr:oneCellAnchor>
  <xdr:oneCellAnchor>
    <xdr:from>
      <xdr:col>7</xdr:col>
      <xdr:colOff>34926</xdr:colOff>
      <xdr:row>731</xdr:row>
      <xdr:rowOff>3175</xdr:rowOff>
    </xdr:from>
    <xdr:ext cx="1847619" cy="969430"/>
    <xdr:pic>
      <xdr:nvPicPr>
        <xdr:cNvPr id="50" name="Picture 49">
          <a:extLst>
            <a:ext uri="{FF2B5EF4-FFF2-40B4-BE49-F238E27FC236}">
              <a16:creationId xmlns:a16="http://schemas.microsoft.com/office/drawing/2014/main" id="{62725E94-552E-45F9-90EF-920C4E9342B4}"/>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302126" y="118370350"/>
          <a:ext cx="1847619" cy="969430"/>
        </a:xfrm>
        <a:prstGeom prst="rect">
          <a:avLst/>
        </a:prstGeom>
      </xdr:spPr>
    </xdr:pic>
    <xdr:clientData/>
  </xdr:oneCellAnchor>
  <xdr:oneCellAnchor>
    <xdr:from>
      <xdr:col>7</xdr:col>
      <xdr:colOff>34926</xdr:colOff>
      <xdr:row>740</xdr:row>
      <xdr:rowOff>158750</xdr:rowOff>
    </xdr:from>
    <xdr:ext cx="1847619" cy="969430"/>
    <xdr:pic>
      <xdr:nvPicPr>
        <xdr:cNvPr id="51" name="Picture 50">
          <a:extLst>
            <a:ext uri="{FF2B5EF4-FFF2-40B4-BE49-F238E27FC236}">
              <a16:creationId xmlns:a16="http://schemas.microsoft.com/office/drawing/2014/main" id="{BED28C08-FB9F-44E6-9FA5-7A8336A5EA97}"/>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302126" y="119983250"/>
          <a:ext cx="1847619" cy="969430"/>
        </a:xfrm>
        <a:prstGeom prst="rect">
          <a:avLst/>
        </a:prstGeom>
      </xdr:spPr>
    </xdr:pic>
    <xdr:clientData/>
  </xdr:oneCellAnchor>
  <xdr:oneCellAnchor>
    <xdr:from>
      <xdr:col>7</xdr:col>
      <xdr:colOff>34926</xdr:colOff>
      <xdr:row>751</xdr:row>
      <xdr:rowOff>3175</xdr:rowOff>
    </xdr:from>
    <xdr:ext cx="1847619" cy="969430"/>
    <xdr:pic>
      <xdr:nvPicPr>
        <xdr:cNvPr id="52" name="Picture 51">
          <a:extLst>
            <a:ext uri="{FF2B5EF4-FFF2-40B4-BE49-F238E27FC236}">
              <a16:creationId xmlns:a16="http://schemas.microsoft.com/office/drawing/2014/main" id="{7DAFEEA6-CE0D-401F-B054-82188ED5E1FC}"/>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302126" y="121608850"/>
          <a:ext cx="1847619" cy="969430"/>
        </a:xfrm>
        <a:prstGeom prst="rect">
          <a:avLst/>
        </a:prstGeom>
      </xdr:spPr>
    </xdr:pic>
    <xdr:clientData/>
  </xdr:oneCellAnchor>
  <xdr:oneCellAnchor>
    <xdr:from>
      <xdr:col>7</xdr:col>
      <xdr:colOff>34926</xdr:colOff>
      <xdr:row>760</xdr:row>
      <xdr:rowOff>158750</xdr:rowOff>
    </xdr:from>
    <xdr:ext cx="1847619" cy="969430"/>
    <xdr:pic>
      <xdr:nvPicPr>
        <xdr:cNvPr id="53" name="Picture 52">
          <a:extLst>
            <a:ext uri="{FF2B5EF4-FFF2-40B4-BE49-F238E27FC236}">
              <a16:creationId xmlns:a16="http://schemas.microsoft.com/office/drawing/2014/main" id="{59EED476-3E4A-47A9-A98E-B7544614069F}"/>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302126" y="123221750"/>
          <a:ext cx="1847619" cy="969430"/>
        </a:xfrm>
        <a:prstGeom prst="rect">
          <a:avLst/>
        </a:prstGeom>
      </xdr:spPr>
    </xdr:pic>
    <xdr:clientData/>
  </xdr:oneCellAnchor>
  <xdr:oneCellAnchor>
    <xdr:from>
      <xdr:col>7</xdr:col>
      <xdr:colOff>34926</xdr:colOff>
      <xdr:row>771</xdr:row>
      <xdr:rowOff>3175</xdr:rowOff>
    </xdr:from>
    <xdr:ext cx="1847619" cy="969430"/>
    <xdr:pic>
      <xdr:nvPicPr>
        <xdr:cNvPr id="54" name="Picture 53">
          <a:extLst>
            <a:ext uri="{FF2B5EF4-FFF2-40B4-BE49-F238E27FC236}">
              <a16:creationId xmlns:a16="http://schemas.microsoft.com/office/drawing/2014/main" id="{6765B000-8806-4E6C-98A7-2439165DDE56}"/>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302126" y="124847350"/>
          <a:ext cx="1847619" cy="969430"/>
        </a:xfrm>
        <a:prstGeom prst="rect">
          <a:avLst/>
        </a:prstGeom>
      </xdr:spPr>
    </xdr:pic>
    <xdr:clientData/>
  </xdr:oneCellAnchor>
  <xdr:oneCellAnchor>
    <xdr:from>
      <xdr:col>7</xdr:col>
      <xdr:colOff>34926</xdr:colOff>
      <xdr:row>780</xdr:row>
      <xdr:rowOff>158750</xdr:rowOff>
    </xdr:from>
    <xdr:ext cx="1847619" cy="969430"/>
    <xdr:pic>
      <xdr:nvPicPr>
        <xdr:cNvPr id="55" name="Picture 54">
          <a:extLst>
            <a:ext uri="{FF2B5EF4-FFF2-40B4-BE49-F238E27FC236}">
              <a16:creationId xmlns:a16="http://schemas.microsoft.com/office/drawing/2014/main" id="{2B2DD251-4C95-48E0-80BB-57C2EAEDE62A}"/>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4302126" y="126460250"/>
          <a:ext cx="1847619" cy="969430"/>
        </a:xfrm>
        <a:prstGeom prst="rect">
          <a:avLst/>
        </a:prstGeom>
      </xdr:spPr>
    </xdr:pic>
    <xdr:clientData/>
  </xdr:oneCellAnchor>
  <xdr:oneCellAnchor>
    <xdr:from>
      <xdr:col>7</xdr:col>
      <xdr:colOff>34926</xdr:colOff>
      <xdr:row>791</xdr:row>
      <xdr:rowOff>3175</xdr:rowOff>
    </xdr:from>
    <xdr:ext cx="1847619" cy="969430"/>
    <xdr:pic>
      <xdr:nvPicPr>
        <xdr:cNvPr id="56" name="Picture 55">
          <a:extLst>
            <a:ext uri="{FF2B5EF4-FFF2-40B4-BE49-F238E27FC236}">
              <a16:creationId xmlns:a16="http://schemas.microsoft.com/office/drawing/2014/main" id="{41F7D168-9143-4556-84E7-E0E92DCCF055}"/>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302126" y="128085850"/>
          <a:ext cx="1847619" cy="969430"/>
        </a:xfrm>
        <a:prstGeom prst="rect">
          <a:avLst/>
        </a:prstGeom>
      </xdr:spPr>
    </xdr:pic>
    <xdr:clientData/>
  </xdr:oneCellAnchor>
  <xdr:oneCellAnchor>
    <xdr:from>
      <xdr:col>7</xdr:col>
      <xdr:colOff>34926</xdr:colOff>
      <xdr:row>800</xdr:row>
      <xdr:rowOff>158750</xdr:rowOff>
    </xdr:from>
    <xdr:ext cx="1847619" cy="969430"/>
    <xdr:pic>
      <xdr:nvPicPr>
        <xdr:cNvPr id="57" name="Picture 56">
          <a:extLst>
            <a:ext uri="{FF2B5EF4-FFF2-40B4-BE49-F238E27FC236}">
              <a16:creationId xmlns:a16="http://schemas.microsoft.com/office/drawing/2014/main" id="{34F9C3B7-1E09-44FB-9C00-1D69147D3352}"/>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302126" y="129698750"/>
          <a:ext cx="1847619" cy="969430"/>
        </a:xfrm>
        <a:prstGeom prst="rect">
          <a:avLst/>
        </a:prstGeom>
      </xdr:spPr>
    </xdr:pic>
    <xdr:clientData/>
  </xdr:oneCellAnchor>
  <xdr:oneCellAnchor>
    <xdr:from>
      <xdr:col>7</xdr:col>
      <xdr:colOff>34926</xdr:colOff>
      <xdr:row>811</xdr:row>
      <xdr:rowOff>3175</xdr:rowOff>
    </xdr:from>
    <xdr:ext cx="1847619" cy="969430"/>
    <xdr:pic>
      <xdr:nvPicPr>
        <xdr:cNvPr id="58" name="Picture 57">
          <a:extLst>
            <a:ext uri="{FF2B5EF4-FFF2-40B4-BE49-F238E27FC236}">
              <a16:creationId xmlns:a16="http://schemas.microsoft.com/office/drawing/2014/main" id="{37201C3F-C59C-4A5E-ABDE-C09416EDD337}"/>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302126" y="131324350"/>
          <a:ext cx="1847619" cy="969430"/>
        </a:xfrm>
        <a:prstGeom prst="rect">
          <a:avLst/>
        </a:prstGeom>
      </xdr:spPr>
    </xdr:pic>
    <xdr:clientData/>
  </xdr:oneCellAnchor>
  <xdr:oneCellAnchor>
    <xdr:from>
      <xdr:col>7</xdr:col>
      <xdr:colOff>34926</xdr:colOff>
      <xdr:row>820</xdr:row>
      <xdr:rowOff>158750</xdr:rowOff>
    </xdr:from>
    <xdr:ext cx="1847619" cy="969430"/>
    <xdr:pic>
      <xdr:nvPicPr>
        <xdr:cNvPr id="59" name="Picture 58">
          <a:extLst>
            <a:ext uri="{FF2B5EF4-FFF2-40B4-BE49-F238E27FC236}">
              <a16:creationId xmlns:a16="http://schemas.microsoft.com/office/drawing/2014/main" id="{101A2C72-623A-4E7C-970F-51397C2D3360}"/>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302126" y="132937250"/>
          <a:ext cx="1847619" cy="969430"/>
        </a:xfrm>
        <a:prstGeom prst="rect">
          <a:avLst/>
        </a:prstGeom>
      </xdr:spPr>
    </xdr:pic>
    <xdr:clientData/>
  </xdr:oneCellAnchor>
  <xdr:oneCellAnchor>
    <xdr:from>
      <xdr:col>7</xdr:col>
      <xdr:colOff>34926</xdr:colOff>
      <xdr:row>831</xdr:row>
      <xdr:rowOff>3175</xdr:rowOff>
    </xdr:from>
    <xdr:ext cx="1847619" cy="969430"/>
    <xdr:pic>
      <xdr:nvPicPr>
        <xdr:cNvPr id="60" name="Picture 59">
          <a:extLst>
            <a:ext uri="{FF2B5EF4-FFF2-40B4-BE49-F238E27FC236}">
              <a16:creationId xmlns:a16="http://schemas.microsoft.com/office/drawing/2014/main" id="{73F4AD8D-E999-462F-A123-DE1EDCE7A253}"/>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4302126" y="134562850"/>
          <a:ext cx="1847619" cy="969430"/>
        </a:xfrm>
        <a:prstGeom prst="rect">
          <a:avLst/>
        </a:prstGeom>
      </xdr:spPr>
    </xdr:pic>
    <xdr:clientData/>
  </xdr:oneCellAnchor>
  <xdr:oneCellAnchor>
    <xdr:from>
      <xdr:col>7</xdr:col>
      <xdr:colOff>34926</xdr:colOff>
      <xdr:row>840</xdr:row>
      <xdr:rowOff>158750</xdr:rowOff>
    </xdr:from>
    <xdr:ext cx="1847619" cy="969430"/>
    <xdr:pic>
      <xdr:nvPicPr>
        <xdr:cNvPr id="61" name="Picture 60">
          <a:extLst>
            <a:ext uri="{FF2B5EF4-FFF2-40B4-BE49-F238E27FC236}">
              <a16:creationId xmlns:a16="http://schemas.microsoft.com/office/drawing/2014/main" id="{29442C58-329F-40E5-80F1-67E4F9A3A90E}"/>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4302126" y="136175750"/>
          <a:ext cx="1847619" cy="969430"/>
        </a:xfrm>
        <a:prstGeom prst="rect">
          <a:avLst/>
        </a:prstGeom>
      </xdr:spPr>
    </xdr:pic>
    <xdr:clientData/>
  </xdr:oneCellAnchor>
  <xdr:oneCellAnchor>
    <xdr:from>
      <xdr:col>7</xdr:col>
      <xdr:colOff>34926</xdr:colOff>
      <xdr:row>851</xdr:row>
      <xdr:rowOff>3175</xdr:rowOff>
    </xdr:from>
    <xdr:ext cx="1847619" cy="969430"/>
    <xdr:pic>
      <xdr:nvPicPr>
        <xdr:cNvPr id="62" name="Picture 61">
          <a:extLst>
            <a:ext uri="{FF2B5EF4-FFF2-40B4-BE49-F238E27FC236}">
              <a16:creationId xmlns:a16="http://schemas.microsoft.com/office/drawing/2014/main" id="{D7D28ADE-F412-4CED-96C5-4AD08054A9B6}"/>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302126" y="137801350"/>
          <a:ext cx="1847619" cy="969430"/>
        </a:xfrm>
        <a:prstGeom prst="rect">
          <a:avLst/>
        </a:prstGeom>
      </xdr:spPr>
    </xdr:pic>
    <xdr:clientData/>
  </xdr:oneCellAnchor>
  <xdr:oneCellAnchor>
    <xdr:from>
      <xdr:col>7</xdr:col>
      <xdr:colOff>34926</xdr:colOff>
      <xdr:row>860</xdr:row>
      <xdr:rowOff>158750</xdr:rowOff>
    </xdr:from>
    <xdr:ext cx="1847619" cy="969430"/>
    <xdr:pic>
      <xdr:nvPicPr>
        <xdr:cNvPr id="63" name="Picture 62">
          <a:extLst>
            <a:ext uri="{FF2B5EF4-FFF2-40B4-BE49-F238E27FC236}">
              <a16:creationId xmlns:a16="http://schemas.microsoft.com/office/drawing/2014/main" id="{46B9462A-19E6-4F3A-B78D-85D21358DC5B}"/>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4302126" y="139414250"/>
          <a:ext cx="1847619" cy="969430"/>
        </a:xfrm>
        <a:prstGeom prst="rect">
          <a:avLst/>
        </a:prstGeom>
      </xdr:spPr>
    </xdr:pic>
    <xdr:clientData/>
  </xdr:oneCellAnchor>
  <xdr:oneCellAnchor>
    <xdr:from>
      <xdr:col>7</xdr:col>
      <xdr:colOff>34926</xdr:colOff>
      <xdr:row>871</xdr:row>
      <xdr:rowOff>3175</xdr:rowOff>
    </xdr:from>
    <xdr:ext cx="1847619" cy="969430"/>
    <xdr:pic>
      <xdr:nvPicPr>
        <xdr:cNvPr id="64" name="Picture 63">
          <a:extLst>
            <a:ext uri="{FF2B5EF4-FFF2-40B4-BE49-F238E27FC236}">
              <a16:creationId xmlns:a16="http://schemas.microsoft.com/office/drawing/2014/main" id="{E260B691-B367-4DEF-AD6C-85A2627A2C99}"/>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302126" y="141039850"/>
          <a:ext cx="1847619" cy="969430"/>
        </a:xfrm>
        <a:prstGeom prst="rect">
          <a:avLst/>
        </a:prstGeom>
      </xdr:spPr>
    </xdr:pic>
    <xdr:clientData/>
  </xdr:oneCellAnchor>
  <xdr:oneCellAnchor>
    <xdr:from>
      <xdr:col>7</xdr:col>
      <xdr:colOff>34926</xdr:colOff>
      <xdr:row>880</xdr:row>
      <xdr:rowOff>158750</xdr:rowOff>
    </xdr:from>
    <xdr:ext cx="1847619" cy="969430"/>
    <xdr:pic>
      <xdr:nvPicPr>
        <xdr:cNvPr id="65" name="Picture 64">
          <a:extLst>
            <a:ext uri="{FF2B5EF4-FFF2-40B4-BE49-F238E27FC236}">
              <a16:creationId xmlns:a16="http://schemas.microsoft.com/office/drawing/2014/main" id="{F77C23C9-385B-47C4-9B5F-69C2D1E2DB43}"/>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4302126" y="142652750"/>
          <a:ext cx="1847619" cy="969430"/>
        </a:xfrm>
        <a:prstGeom prst="rect">
          <a:avLst/>
        </a:prstGeom>
      </xdr:spPr>
    </xdr:pic>
    <xdr:clientData/>
  </xdr:oneCellAnchor>
  <xdr:oneCellAnchor>
    <xdr:from>
      <xdr:col>3</xdr:col>
      <xdr:colOff>781051</xdr:colOff>
      <xdr:row>896</xdr:row>
      <xdr:rowOff>6350</xdr:rowOff>
    </xdr:from>
    <xdr:ext cx="1847619" cy="969430"/>
    <xdr:pic>
      <xdr:nvPicPr>
        <xdr:cNvPr id="66" name="Picture 65">
          <a:extLst>
            <a:ext uri="{FF2B5EF4-FFF2-40B4-BE49-F238E27FC236}">
              <a16:creationId xmlns:a16="http://schemas.microsoft.com/office/drawing/2014/main" id="{3A9374B8-D0D4-4898-A59C-C7B570F57D23}"/>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438401" y="145091150"/>
          <a:ext cx="1847619" cy="969430"/>
        </a:xfrm>
        <a:prstGeom prst="rect">
          <a:avLst/>
        </a:prstGeom>
      </xdr:spPr>
    </xdr:pic>
    <xdr:clientData/>
  </xdr:oneCellAnchor>
  <xdr:oneCellAnchor>
    <xdr:from>
      <xdr:col>3</xdr:col>
      <xdr:colOff>781051</xdr:colOff>
      <xdr:row>908</xdr:row>
      <xdr:rowOff>158750</xdr:rowOff>
    </xdr:from>
    <xdr:ext cx="1847619" cy="969430"/>
    <xdr:pic>
      <xdr:nvPicPr>
        <xdr:cNvPr id="67" name="Picture 66">
          <a:extLst>
            <a:ext uri="{FF2B5EF4-FFF2-40B4-BE49-F238E27FC236}">
              <a16:creationId xmlns:a16="http://schemas.microsoft.com/office/drawing/2014/main" id="{EEB4E78E-DB0A-4017-A614-1682B411D078}"/>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438401" y="147186650"/>
          <a:ext cx="1847619" cy="969430"/>
        </a:xfrm>
        <a:prstGeom prst="rect">
          <a:avLst/>
        </a:prstGeom>
      </xdr:spPr>
    </xdr:pic>
    <xdr:clientData/>
  </xdr:oneCellAnchor>
  <xdr:oneCellAnchor>
    <xdr:from>
      <xdr:col>3</xdr:col>
      <xdr:colOff>781051</xdr:colOff>
      <xdr:row>922</xdr:row>
      <xdr:rowOff>0</xdr:rowOff>
    </xdr:from>
    <xdr:ext cx="1847619" cy="969430"/>
    <xdr:pic>
      <xdr:nvPicPr>
        <xdr:cNvPr id="68" name="Picture 67">
          <a:extLst>
            <a:ext uri="{FF2B5EF4-FFF2-40B4-BE49-F238E27FC236}">
              <a16:creationId xmlns:a16="http://schemas.microsoft.com/office/drawing/2014/main" id="{0DD98D21-26DB-4F69-820C-E9CAF94EF54E}"/>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438401" y="149294850"/>
          <a:ext cx="1847619" cy="969430"/>
        </a:xfrm>
        <a:prstGeom prst="rect">
          <a:avLst/>
        </a:prstGeom>
      </xdr:spPr>
    </xdr:pic>
    <xdr:clientData/>
  </xdr:oneCellAnchor>
  <xdr:oneCellAnchor>
    <xdr:from>
      <xdr:col>3</xdr:col>
      <xdr:colOff>781051</xdr:colOff>
      <xdr:row>936</xdr:row>
      <xdr:rowOff>158750</xdr:rowOff>
    </xdr:from>
    <xdr:ext cx="1847619" cy="969430"/>
    <xdr:pic>
      <xdr:nvPicPr>
        <xdr:cNvPr id="69" name="Picture 68">
          <a:extLst>
            <a:ext uri="{FF2B5EF4-FFF2-40B4-BE49-F238E27FC236}">
              <a16:creationId xmlns:a16="http://schemas.microsoft.com/office/drawing/2014/main" id="{CEAD4AA6-35DF-4448-9136-3ED6ABEE4FE5}"/>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2438401" y="151720550"/>
          <a:ext cx="1847619" cy="969430"/>
        </a:xfrm>
        <a:prstGeom prst="rect">
          <a:avLst/>
        </a:prstGeom>
      </xdr:spPr>
    </xdr:pic>
    <xdr:clientData/>
  </xdr:oneCellAnchor>
  <xdr:oneCellAnchor>
    <xdr:from>
      <xdr:col>7</xdr:col>
      <xdr:colOff>34926</xdr:colOff>
      <xdr:row>947</xdr:row>
      <xdr:rowOff>3175</xdr:rowOff>
    </xdr:from>
    <xdr:ext cx="1847619" cy="969430"/>
    <xdr:pic>
      <xdr:nvPicPr>
        <xdr:cNvPr id="70" name="Picture 69">
          <a:extLst>
            <a:ext uri="{FF2B5EF4-FFF2-40B4-BE49-F238E27FC236}">
              <a16:creationId xmlns:a16="http://schemas.microsoft.com/office/drawing/2014/main" id="{1D289198-8988-48D8-AAA5-EAA215174077}"/>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4302126" y="153346150"/>
          <a:ext cx="1847619" cy="969430"/>
        </a:xfrm>
        <a:prstGeom prst="rect">
          <a:avLst/>
        </a:prstGeom>
      </xdr:spPr>
    </xdr:pic>
    <xdr:clientData/>
  </xdr:oneCellAnchor>
  <xdr:oneCellAnchor>
    <xdr:from>
      <xdr:col>3</xdr:col>
      <xdr:colOff>781051</xdr:colOff>
      <xdr:row>960</xdr:row>
      <xdr:rowOff>6350</xdr:rowOff>
    </xdr:from>
    <xdr:ext cx="1847619" cy="969430"/>
    <xdr:pic>
      <xdr:nvPicPr>
        <xdr:cNvPr id="71" name="Picture 70">
          <a:extLst>
            <a:ext uri="{FF2B5EF4-FFF2-40B4-BE49-F238E27FC236}">
              <a16:creationId xmlns:a16="http://schemas.microsoft.com/office/drawing/2014/main" id="{E5C734D4-94AF-4035-A991-2550F76C8A11}"/>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438401" y="155454350"/>
          <a:ext cx="1847619" cy="969430"/>
        </a:xfrm>
        <a:prstGeom prst="rect">
          <a:avLst/>
        </a:prstGeom>
      </xdr:spPr>
    </xdr:pic>
    <xdr:clientData/>
  </xdr:oneCellAnchor>
  <xdr:oneCellAnchor>
    <xdr:from>
      <xdr:col>7</xdr:col>
      <xdr:colOff>34926</xdr:colOff>
      <xdr:row>970</xdr:row>
      <xdr:rowOff>0</xdr:rowOff>
    </xdr:from>
    <xdr:ext cx="1847619" cy="969430"/>
    <xdr:pic>
      <xdr:nvPicPr>
        <xdr:cNvPr id="72" name="Picture 71">
          <a:extLst>
            <a:ext uri="{FF2B5EF4-FFF2-40B4-BE49-F238E27FC236}">
              <a16:creationId xmlns:a16="http://schemas.microsoft.com/office/drawing/2014/main" id="{9B14F0FF-CB62-405B-9CCC-38CF79D0C85B}"/>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302126" y="157067250"/>
          <a:ext cx="1847619" cy="969430"/>
        </a:xfrm>
        <a:prstGeom prst="rect">
          <a:avLst/>
        </a:prstGeom>
      </xdr:spPr>
    </xdr:pic>
    <xdr:clientData/>
  </xdr:oneCellAnchor>
  <xdr:oneCellAnchor>
    <xdr:from>
      <xdr:col>7</xdr:col>
      <xdr:colOff>34926</xdr:colOff>
      <xdr:row>979</xdr:row>
      <xdr:rowOff>155575</xdr:rowOff>
    </xdr:from>
    <xdr:ext cx="1847619" cy="969430"/>
    <xdr:pic>
      <xdr:nvPicPr>
        <xdr:cNvPr id="73" name="Picture 72">
          <a:extLst>
            <a:ext uri="{FF2B5EF4-FFF2-40B4-BE49-F238E27FC236}">
              <a16:creationId xmlns:a16="http://schemas.microsoft.com/office/drawing/2014/main" id="{67609DE7-CBB0-4B25-BECC-6C41365DF9A2}"/>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4302126" y="158680150"/>
          <a:ext cx="1847619" cy="969430"/>
        </a:xfrm>
        <a:prstGeom prst="rect">
          <a:avLst/>
        </a:prstGeom>
      </xdr:spPr>
    </xdr:pic>
    <xdr:clientData/>
  </xdr:oneCellAnchor>
  <xdr:oneCellAnchor>
    <xdr:from>
      <xdr:col>7</xdr:col>
      <xdr:colOff>34926</xdr:colOff>
      <xdr:row>990</xdr:row>
      <xdr:rowOff>0</xdr:rowOff>
    </xdr:from>
    <xdr:ext cx="1847619" cy="969430"/>
    <xdr:pic>
      <xdr:nvPicPr>
        <xdr:cNvPr id="74" name="Picture 73">
          <a:extLst>
            <a:ext uri="{FF2B5EF4-FFF2-40B4-BE49-F238E27FC236}">
              <a16:creationId xmlns:a16="http://schemas.microsoft.com/office/drawing/2014/main" id="{3595101B-2C34-4EBE-B6C6-C7DFBA717D4D}"/>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302126" y="160305750"/>
          <a:ext cx="1847619" cy="969430"/>
        </a:xfrm>
        <a:prstGeom prst="rect">
          <a:avLst/>
        </a:prstGeom>
      </xdr:spPr>
    </xdr:pic>
    <xdr:clientData/>
  </xdr:oneCellAnchor>
  <xdr:oneCellAnchor>
    <xdr:from>
      <xdr:col>7</xdr:col>
      <xdr:colOff>34926</xdr:colOff>
      <xdr:row>1000</xdr:row>
      <xdr:rowOff>6350</xdr:rowOff>
    </xdr:from>
    <xdr:ext cx="1847619" cy="969430"/>
    <xdr:pic>
      <xdr:nvPicPr>
        <xdr:cNvPr id="75" name="Picture 74">
          <a:extLst>
            <a:ext uri="{FF2B5EF4-FFF2-40B4-BE49-F238E27FC236}">
              <a16:creationId xmlns:a16="http://schemas.microsoft.com/office/drawing/2014/main" id="{72E70C6E-3D2A-4BD0-90F7-B24D1A2F7CFA}"/>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302126" y="161931350"/>
          <a:ext cx="1847619" cy="969430"/>
        </a:xfrm>
        <a:prstGeom prst="rect">
          <a:avLst/>
        </a:prstGeom>
      </xdr:spPr>
    </xdr:pic>
    <xdr:clientData/>
  </xdr:oneCellAnchor>
  <xdr:oneCellAnchor>
    <xdr:from>
      <xdr:col>7</xdr:col>
      <xdr:colOff>34926</xdr:colOff>
      <xdr:row>1010</xdr:row>
      <xdr:rowOff>0</xdr:rowOff>
    </xdr:from>
    <xdr:ext cx="1847619" cy="969430"/>
    <xdr:pic>
      <xdr:nvPicPr>
        <xdr:cNvPr id="76" name="Picture 75">
          <a:extLst>
            <a:ext uri="{FF2B5EF4-FFF2-40B4-BE49-F238E27FC236}">
              <a16:creationId xmlns:a16="http://schemas.microsoft.com/office/drawing/2014/main" id="{C86A8968-DD0B-4F3D-ADEF-B3166A5C0C59}"/>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4302126" y="163544250"/>
          <a:ext cx="1847619" cy="969430"/>
        </a:xfrm>
        <a:prstGeom prst="rect">
          <a:avLst/>
        </a:prstGeom>
      </xdr:spPr>
    </xdr:pic>
    <xdr:clientData/>
  </xdr:oneCellAnchor>
  <xdr:oneCellAnchor>
    <xdr:from>
      <xdr:col>7</xdr:col>
      <xdr:colOff>34926</xdr:colOff>
      <xdr:row>1019</xdr:row>
      <xdr:rowOff>155575</xdr:rowOff>
    </xdr:from>
    <xdr:ext cx="1847619" cy="969430"/>
    <xdr:pic>
      <xdr:nvPicPr>
        <xdr:cNvPr id="77" name="Picture 76">
          <a:extLst>
            <a:ext uri="{FF2B5EF4-FFF2-40B4-BE49-F238E27FC236}">
              <a16:creationId xmlns:a16="http://schemas.microsoft.com/office/drawing/2014/main" id="{88CD3679-68DB-482D-90BB-B7C85C9A7E73}"/>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302126" y="165157150"/>
          <a:ext cx="1847619" cy="969430"/>
        </a:xfrm>
        <a:prstGeom prst="rect">
          <a:avLst/>
        </a:prstGeom>
      </xdr:spPr>
    </xdr:pic>
    <xdr:clientData/>
  </xdr:oneCellAnchor>
  <xdr:oneCellAnchor>
    <xdr:from>
      <xdr:col>7</xdr:col>
      <xdr:colOff>34926</xdr:colOff>
      <xdr:row>1032</xdr:row>
      <xdr:rowOff>6350</xdr:rowOff>
    </xdr:from>
    <xdr:ext cx="1847619" cy="969430"/>
    <xdr:pic>
      <xdr:nvPicPr>
        <xdr:cNvPr id="78" name="Picture 77">
          <a:extLst>
            <a:ext uri="{FF2B5EF4-FFF2-40B4-BE49-F238E27FC236}">
              <a16:creationId xmlns:a16="http://schemas.microsoft.com/office/drawing/2014/main" id="{E8B61961-FD35-4A2B-91F2-ED3DBEEB77A8}"/>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4302126" y="167112950"/>
          <a:ext cx="1847619" cy="969430"/>
        </a:xfrm>
        <a:prstGeom prst="rect">
          <a:avLst/>
        </a:prstGeom>
      </xdr:spPr>
    </xdr:pic>
    <xdr:clientData/>
  </xdr:oneCellAnchor>
  <xdr:oneCellAnchor>
    <xdr:from>
      <xdr:col>7</xdr:col>
      <xdr:colOff>34926</xdr:colOff>
      <xdr:row>1042</xdr:row>
      <xdr:rowOff>0</xdr:rowOff>
    </xdr:from>
    <xdr:ext cx="1847619" cy="969430"/>
    <xdr:pic>
      <xdr:nvPicPr>
        <xdr:cNvPr id="79" name="Picture 78">
          <a:extLst>
            <a:ext uri="{FF2B5EF4-FFF2-40B4-BE49-F238E27FC236}">
              <a16:creationId xmlns:a16="http://schemas.microsoft.com/office/drawing/2014/main" id="{D8A5BF9D-AA9C-46A2-9B93-A3F9525B7D2E}"/>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4302126" y="168725850"/>
          <a:ext cx="1847619" cy="969430"/>
        </a:xfrm>
        <a:prstGeom prst="rect">
          <a:avLst/>
        </a:prstGeom>
      </xdr:spPr>
    </xdr:pic>
    <xdr:clientData/>
  </xdr:oneCellAnchor>
  <xdr:oneCellAnchor>
    <xdr:from>
      <xdr:col>7</xdr:col>
      <xdr:colOff>34926</xdr:colOff>
      <xdr:row>1051</xdr:row>
      <xdr:rowOff>155575</xdr:rowOff>
    </xdr:from>
    <xdr:ext cx="1847619" cy="969430"/>
    <xdr:pic>
      <xdr:nvPicPr>
        <xdr:cNvPr id="80" name="Picture 79">
          <a:extLst>
            <a:ext uri="{FF2B5EF4-FFF2-40B4-BE49-F238E27FC236}">
              <a16:creationId xmlns:a16="http://schemas.microsoft.com/office/drawing/2014/main" id="{6B06563F-80F3-4D7B-B2A4-A30C321ECB41}"/>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302126" y="170338750"/>
          <a:ext cx="1847619" cy="969430"/>
        </a:xfrm>
        <a:prstGeom prst="rect">
          <a:avLst/>
        </a:prstGeom>
      </xdr:spPr>
    </xdr:pic>
    <xdr:clientData/>
  </xdr:oneCellAnchor>
  <xdr:oneCellAnchor>
    <xdr:from>
      <xdr:col>7</xdr:col>
      <xdr:colOff>34926</xdr:colOff>
      <xdr:row>1062</xdr:row>
      <xdr:rowOff>0</xdr:rowOff>
    </xdr:from>
    <xdr:ext cx="1847619" cy="969430"/>
    <xdr:pic>
      <xdr:nvPicPr>
        <xdr:cNvPr id="81" name="Picture 80">
          <a:extLst>
            <a:ext uri="{FF2B5EF4-FFF2-40B4-BE49-F238E27FC236}">
              <a16:creationId xmlns:a16="http://schemas.microsoft.com/office/drawing/2014/main" id="{5ED318D2-FF02-4D41-B90D-980E875933E6}"/>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4302126" y="171964350"/>
          <a:ext cx="1847619" cy="969430"/>
        </a:xfrm>
        <a:prstGeom prst="rect">
          <a:avLst/>
        </a:prstGeom>
      </xdr:spPr>
    </xdr:pic>
    <xdr:clientData/>
  </xdr:oneCellAnchor>
  <xdr:oneCellAnchor>
    <xdr:from>
      <xdr:col>7</xdr:col>
      <xdr:colOff>34926</xdr:colOff>
      <xdr:row>1072</xdr:row>
      <xdr:rowOff>6350</xdr:rowOff>
    </xdr:from>
    <xdr:ext cx="1847619" cy="969430"/>
    <xdr:pic>
      <xdr:nvPicPr>
        <xdr:cNvPr id="82" name="Picture 81">
          <a:extLst>
            <a:ext uri="{FF2B5EF4-FFF2-40B4-BE49-F238E27FC236}">
              <a16:creationId xmlns:a16="http://schemas.microsoft.com/office/drawing/2014/main" id="{BF445F88-3819-4C11-9E78-C1F028C1D225}"/>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4302126" y="173589950"/>
          <a:ext cx="1847619" cy="969430"/>
        </a:xfrm>
        <a:prstGeom prst="rect">
          <a:avLst/>
        </a:prstGeom>
      </xdr:spPr>
    </xdr:pic>
    <xdr:clientData/>
  </xdr:oneCellAnchor>
  <xdr:oneCellAnchor>
    <xdr:from>
      <xdr:col>7</xdr:col>
      <xdr:colOff>34926</xdr:colOff>
      <xdr:row>1082</xdr:row>
      <xdr:rowOff>0</xdr:rowOff>
    </xdr:from>
    <xdr:ext cx="1847619" cy="969430"/>
    <xdr:pic>
      <xdr:nvPicPr>
        <xdr:cNvPr id="83" name="Picture 82">
          <a:extLst>
            <a:ext uri="{FF2B5EF4-FFF2-40B4-BE49-F238E27FC236}">
              <a16:creationId xmlns:a16="http://schemas.microsoft.com/office/drawing/2014/main" id="{5091AE1D-C8F1-449D-B4B3-EBC3155C9E72}"/>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302126" y="175202850"/>
          <a:ext cx="1847619" cy="969430"/>
        </a:xfrm>
        <a:prstGeom prst="rect">
          <a:avLst/>
        </a:prstGeom>
      </xdr:spPr>
    </xdr:pic>
    <xdr:clientData/>
  </xdr:oneCellAnchor>
  <xdr:oneCellAnchor>
    <xdr:from>
      <xdr:col>7</xdr:col>
      <xdr:colOff>34926</xdr:colOff>
      <xdr:row>1091</xdr:row>
      <xdr:rowOff>155575</xdr:rowOff>
    </xdr:from>
    <xdr:ext cx="1847619" cy="969430"/>
    <xdr:pic>
      <xdr:nvPicPr>
        <xdr:cNvPr id="84" name="Picture 83">
          <a:extLst>
            <a:ext uri="{FF2B5EF4-FFF2-40B4-BE49-F238E27FC236}">
              <a16:creationId xmlns:a16="http://schemas.microsoft.com/office/drawing/2014/main" id="{C5968863-1981-484F-A819-94CBCE812E63}"/>
            </a:ext>
          </a:extLst>
        </xdr:cNvPr>
        <xdr:cNvPicPr>
          <a:picLocks/>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4302126" y="176815750"/>
          <a:ext cx="1847619" cy="969430"/>
        </a:xfrm>
        <a:prstGeom prst="rect">
          <a:avLst/>
        </a:prstGeom>
      </xdr:spPr>
    </xdr:pic>
    <xdr:clientData/>
  </xdr:oneCellAnchor>
  <xdr:oneCellAnchor>
    <xdr:from>
      <xdr:col>7</xdr:col>
      <xdr:colOff>34926</xdr:colOff>
      <xdr:row>1104</xdr:row>
      <xdr:rowOff>6350</xdr:rowOff>
    </xdr:from>
    <xdr:ext cx="1847619" cy="969430"/>
    <xdr:pic>
      <xdr:nvPicPr>
        <xdr:cNvPr id="85" name="Picture 84">
          <a:extLst>
            <a:ext uri="{FF2B5EF4-FFF2-40B4-BE49-F238E27FC236}">
              <a16:creationId xmlns:a16="http://schemas.microsoft.com/office/drawing/2014/main" id="{DDB5E8B8-DDE5-4F18-8F62-4FB2BBF11708}"/>
            </a:ext>
          </a:extLst>
        </xdr:cNvPr>
        <xdr:cNvPicPr>
          <a:picLocks/>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4302126" y="178771550"/>
          <a:ext cx="1847619" cy="969430"/>
        </a:xfrm>
        <a:prstGeom prst="rect">
          <a:avLst/>
        </a:prstGeom>
      </xdr:spPr>
    </xdr:pic>
    <xdr:clientData/>
  </xdr:oneCellAnchor>
  <xdr:oneCellAnchor>
    <xdr:from>
      <xdr:col>7</xdr:col>
      <xdr:colOff>34926</xdr:colOff>
      <xdr:row>1114</xdr:row>
      <xdr:rowOff>0</xdr:rowOff>
    </xdr:from>
    <xdr:ext cx="1847619" cy="969430"/>
    <xdr:pic>
      <xdr:nvPicPr>
        <xdr:cNvPr id="86" name="Picture 85">
          <a:extLst>
            <a:ext uri="{FF2B5EF4-FFF2-40B4-BE49-F238E27FC236}">
              <a16:creationId xmlns:a16="http://schemas.microsoft.com/office/drawing/2014/main" id="{B6BD443E-6707-4751-82F6-06EB82E9094A}"/>
            </a:ext>
          </a:extLst>
        </xdr:cNvPr>
        <xdr:cNvPicPr>
          <a:picLocks/>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4302126" y="180384450"/>
          <a:ext cx="1847619" cy="969430"/>
        </a:xfrm>
        <a:prstGeom prst="rect">
          <a:avLst/>
        </a:prstGeom>
      </xdr:spPr>
    </xdr:pic>
    <xdr:clientData/>
  </xdr:oneCellAnchor>
  <xdr:oneCellAnchor>
    <xdr:from>
      <xdr:col>2</xdr:col>
      <xdr:colOff>200026</xdr:colOff>
      <xdr:row>1126</xdr:row>
      <xdr:rowOff>1</xdr:rowOff>
    </xdr:from>
    <xdr:ext cx="4628571" cy="4133333"/>
    <xdr:pic>
      <xdr:nvPicPr>
        <xdr:cNvPr id="87" name="Picture 86">
          <a:extLst>
            <a:ext uri="{FF2B5EF4-FFF2-40B4-BE49-F238E27FC236}">
              <a16:creationId xmlns:a16="http://schemas.microsoft.com/office/drawing/2014/main" id="{1FABBEE8-006F-4DD4-9955-0380AADF8CB4}"/>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1419226" y="182327551"/>
          <a:ext cx="4628571" cy="4133333"/>
        </a:xfrm>
        <a:prstGeom prst="rect">
          <a:avLst/>
        </a:prstGeom>
      </xdr:spPr>
    </xdr:pic>
    <xdr:clientData/>
  </xdr:oneCellAnchor>
  <xdr:oneCellAnchor>
    <xdr:from>
      <xdr:col>2</xdr:col>
      <xdr:colOff>200026</xdr:colOff>
      <xdr:row>1155</xdr:row>
      <xdr:rowOff>155576</xdr:rowOff>
    </xdr:from>
    <xdr:ext cx="4628571" cy="4038095"/>
    <xdr:pic>
      <xdr:nvPicPr>
        <xdr:cNvPr id="88" name="Picture 87">
          <a:extLst>
            <a:ext uri="{FF2B5EF4-FFF2-40B4-BE49-F238E27FC236}">
              <a16:creationId xmlns:a16="http://schemas.microsoft.com/office/drawing/2014/main" id="{109586C6-C942-477F-AD7E-C6A4168E9487}"/>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1419226" y="187178951"/>
          <a:ext cx="4628571" cy="4038095"/>
        </a:xfrm>
        <a:prstGeom prst="rect">
          <a:avLst/>
        </a:prstGeom>
      </xdr:spPr>
    </xdr:pic>
    <xdr:clientData/>
  </xdr:oneCellAnchor>
  <xdr:oneCellAnchor>
    <xdr:from>
      <xdr:col>2</xdr:col>
      <xdr:colOff>200026</xdr:colOff>
      <xdr:row>1184</xdr:row>
      <xdr:rowOff>158751</xdr:rowOff>
    </xdr:from>
    <xdr:ext cx="4628571" cy="4038095"/>
    <xdr:pic>
      <xdr:nvPicPr>
        <xdr:cNvPr id="89" name="Picture 88">
          <a:extLst>
            <a:ext uri="{FF2B5EF4-FFF2-40B4-BE49-F238E27FC236}">
              <a16:creationId xmlns:a16="http://schemas.microsoft.com/office/drawing/2014/main" id="{3566236A-3773-4302-BC22-3DE5E01F2889}"/>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191877951"/>
          <a:ext cx="4628571" cy="4038095"/>
        </a:xfrm>
        <a:prstGeom prst="rect">
          <a:avLst/>
        </a:prstGeom>
      </xdr:spPr>
    </xdr:pic>
    <xdr:clientData/>
  </xdr:oneCellAnchor>
  <xdr:oneCellAnchor>
    <xdr:from>
      <xdr:col>2</xdr:col>
      <xdr:colOff>200026</xdr:colOff>
      <xdr:row>1214</xdr:row>
      <xdr:rowOff>1</xdr:rowOff>
    </xdr:from>
    <xdr:ext cx="4628571" cy="4038095"/>
    <xdr:pic>
      <xdr:nvPicPr>
        <xdr:cNvPr id="90" name="Picture 89">
          <a:extLst>
            <a:ext uri="{FF2B5EF4-FFF2-40B4-BE49-F238E27FC236}">
              <a16:creationId xmlns:a16="http://schemas.microsoft.com/office/drawing/2014/main" id="{E307FFAF-DE72-4042-9DB0-02BF6EF306B0}"/>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196576951"/>
          <a:ext cx="4628571" cy="4038095"/>
        </a:xfrm>
        <a:prstGeom prst="rect">
          <a:avLst/>
        </a:prstGeom>
      </xdr:spPr>
    </xdr:pic>
    <xdr:clientData/>
  </xdr:oneCellAnchor>
  <xdr:oneCellAnchor>
    <xdr:from>
      <xdr:col>2</xdr:col>
      <xdr:colOff>200026</xdr:colOff>
      <xdr:row>1243</xdr:row>
      <xdr:rowOff>3176</xdr:rowOff>
    </xdr:from>
    <xdr:ext cx="4628571" cy="4038095"/>
    <xdr:pic>
      <xdr:nvPicPr>
        <xdr:cNvPr id="91" name="Picture 90">
          <a:extLst>
            <a:ext uri="{FF2B5EF4-FFF2-40B4-BE49-F238E27FC236}">
              <a16:creationId xmlns:a16="http://schemas.microsoft.com/office/drawing/2014/main" id="{611800CF-7057-4FC0-9743-F6FC2EF330AC}"/>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1419226" y="201275951"/>
          <a:ext cx="4628571" cy="4038095"/>
        </a:xfrm>
        <a:prstGeom prst="rect">
          <a:avLst/>
        </a:prstGeom>
      </xdr:spPr>
    </xdr:pic>
    <xdr:clientData/>
  </xdr:oneCellAnchor>
  <xdr:oneCellAnchor>
    <xdr:from>
      <xdr:col>2</xdr:col>
      <xdr:colOff>200026</xdr:colOff>
      <xdr:row>1272</xdr:row>
      <xdr:rowOff>6351</xdr:rowOff>
    </xdr:from>
    <xdr:ext cx="4628571" cy="4038095"/>
    <xdr:pic>
      <xdr:nvPicPr>
        <xdr:cNvPr id="92" name="Picture 91">
          <a:extLst>
            <a:ext uri="{FF2B5EF4-FFF2-40B4-BE49-F238E27FC236}">
              <a16:creationId xmlns:a16="http://schemas.microsoft.com/office/drawing/2014/main" id="{BF07ADEE-FD8C-4BE7-B479-FBB0B6DDC553}"/>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9226" y="205974951"/>
          <a:ext cx="4628571" cy="4038095"/>
        </a:xfrm>
        <a:prstGeom prst="rect">
          <a:avLst/>
        </a:prstGeom>
      </xdr:spPr>
    </xdr:pic>
    <xdr:clientData/>
  </xdr:oneCellAnchor>
  <xdr:oneCellAnchor>
    <xdr:from>
      <xdr:col>2</xdr:col>
      <xdr:colOff>200026</xdr:colOff>
      <xdr:row>1300</xdr:row>
      <xdr:rowOff>158751</xdr:rowOff>
    </xdr:from>
    <xdr:ext cx="4628571" cy="4038095"/>
    <xdr:pic>
      <xdr:nvPicPr>
        <xdr:cNvPr id="93" name="Picture 92">
          <a:extLst>
            <a:ext uri="{FF2B5EF4-FFF2-40B4-BE49-F238E27FC236}">
              <a16:creationId xmlns:a16="http://schemas.microsoft.com/office/drawing/2014/main" id="{AC49701D-41D9-4984-8FB7-2B71D49AF520}"/>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1419226" y="210661251"/>
          <a:ext cx="4628571" cy="4038095"/>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xdr:from>
      <xdr:col>0</xdr:col>
      <xdr:colOff>1198880</xdr:colOff>
      <xdr:row>17</xdr:row>
      <xdr:rowOff>172720</xdr:rowOff>
    </xdr:from>
    <xdr:to>
      <xdr:col>4</xdr:col>
      <xdr:colOff>1422400</xdr:colOff>
      <xdr:row>38</xdr:row>
      <xdr:rowOff>50800</xdr:rowOff>
    </xdr:to>
    <xdr:graphicFrame macro="">
      <xdr:nvGraphicFramePr>
        <xdr:cNvPr id="5" name="Chart 4">
          <a:extLst>
            <a:ext uri="{FF2B5EF4-FFF2-40B4-BE49-F238E27FC236}">
              <a16:creationId xmlns:a16="http://schemas.microsoft.com/office/drawing/2014/main" id="{7D255EE8-E7EF-5344-5EE6-7F4231086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2</xdr:col>
      <xdr:colOff>190501</xdr:colOff>
      <xdr:row>36</xdr:row>
      <xdr:rowOff>5080</xdr:rowOff>
    </xdr:from>
    <xdr:ext cx="4785775" cy="2286198"/>
    <xdr:pic>
      <xdr:nvPicPr>
        <xdr:cNvPr id="2" name="Picture 1">
          <a:extLst>
            <a:ext uri="{FF2B5EF4-FFF2-40B4-BE49-F238E27FC236}">
              <a16:creationId xmlns:a16="http://schemas.microsoft.com/office/drawing/2014/main" id="{7B358B24-6BB3-428A-B5BA-6BE55300120F}"/>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1" y="5765800"/>
          <a:ext cx="4785775" cy="2286198"/>
        </a:xfrm>
        <a:prstGeom prst="rect">
          <a:avLst/>
        </a:prstGeom>
      </xdr:spPr>
    </xdr:pic>
    <xdr:clientData/>
  </xdr:oneCellAnchor>
  <xdr:oneCellAnchor>
    <xdr:from>
      <xdr:col>7</xdr:col>
      <xdr:colOff>15240</xdr:colOff>
      <xdr:row>91</xdr:row>
      <xdr:rowOff>157480</xdr:rowOff>
    </xdr:from>
    <xdr:ext cx="1912786" cy="898522"/>
    <xdr:pic>
      <xdr:nvPicPr>
        <xdr:cNvPr id="3" name="Picture 2">
          <a:extLst>
            <a:ext uri="{FF2B5EF4-FFF2-40B4-BE49-F238E27FC236}">
              <a16:creationId xmlns:a16="http://schemas.microsoft.com/office/drawing/2014/main" id="{C98A4F78-E69C-4C10-AC56-3346417487BA}"/>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82440" y="14719300"/>
          <a:ext cx="1912786" cy="898522"/>
        </a:xfrm>
        <a:prstGeom prst="rect">
          <a:avLst/>
        </a:prstGeom>
      </xdr:spPr>
    </xdr:pic>
    <xdr:clientData/>
  </xdr:oneCellAnchor>
  <xdr:oneCellAnchor>
    <xdr:from>
      <xdr:col>7</xdr:col>
      <xdr:colOff>15240</xdr:colOff>
      <xdr:row>101</xdr:row>
      <xdr:rowOff>157480</xdr:rowOff>
    </xdr:from>
    <xdr:ext cx="1912786" cy="898522"/>
    <xdr:pic>
      <xdr:nvPicPr>
        <xdr:cNvPr id="4" name="Picture 3">
          <a:extLst>
            <a:ext uri="{FF2B5EF4-FFF2-40B4-BE49-F238E27FC236}">
              <a16:creationId xmlns:a16="http://schemas.microsoft.com/office/drawing/2014/main" id="{88D4AF56-DAA8-47CD-A90C-FD2B8ED015A9}"/>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82440" y="16319500"/>
          <a:ext cx="1912786" cy="898522"/>
        </a:xfrm>
        <a:prstGeom prst="rect">
          <a:avLst/>
        </a:prstGeom>
      </xdr:spPr>
    </xdr:pic>
    <xdr:clientData/>
  </xdr:oneCellAnchor>
  <xdr:oneCellAnchor>
    <xdr:from>
      <xdr:col>7</xdr:col>
      <xdr:colOff>15240</xdr:colOff>
      <xdr:row>111</xdr:row>
      <xdr:rowOff>157480</xdr:rowOff>
    </xdr:from>
    <xdr:ext cx="1912786" cy="898522"/>
    <xdr:pic>
      <xdr:nvPicPr>
        <xdr:cNvPr id="5" name="Picture 4">
          <a:extLst>
            <a:ext uri="{FF2B5EF4-FFF2-40B4-BE49-F238E27FC236}">
              <a16:creationId xmlns:a16="http://schemas.microsoft.com/office/drawing/2014/main" id="{AD1AA8B7-B4E6-43E3-A8E6-D5661507C6C6}"/>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2440" y="17919700"/>
          <a:ext cx="1912786" cy="898522"/>
        </a:xfrm>
        <a:prstGeom prst="rect">
          <a:avLst/>
        </a:prstGeom>
      </xdr:spPr>
    </xdr:pic>
    <xdr:clientData/>
  </xdr:oneCellAnchor>
  <xdr:oneCellAnchor>
    <xdr:from>
      <xdr:col>7</xdr:col>
      <xdr:colOff>15240</xdr:colOff>
      <xdr:row>121</xdr:row>
      <xdr:rowOff>157480</xdr:rowOff>
    </xdr:from>
    <xdr:ext cx="1912786" cy="898522"/>
    <xdr:pic>
      <xdr:nvPicPr>
        <xdr:cNvPr id="6" name="Picture 5">
          <a:extLst>
            <a:ext uri="{FF2B5EF4-FFF2-40B4-BE49-F238E27FC236}">
              <a16:creationId xmlns:a16="http://schemas.microsoft.com/office/drawing/2014/main" id="{9CFC1377-8B61-47EE-954F-6AC97036EC61}"/>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82440" y="19519900"/>
          <a:ext cx="1912786" cy="898522"/>
        </a:xfrm>
        <a:prstGeom prst="rect">
          <a:avLst/>
        </a:prstGeom>
      </xdr:spPr>
    </xdr:pic>
    <xdr:clientData/>
  </xdr:oneCellAnchor>
  <xdr:oneCellAnchor>
    <xdr:from>
      <xdr:col>7</xdr:col>
      <xdr:colOff>15240</xdr:colOff>
      <xdr:row>131</xdr:row>
      <xdr:rowOff>157480</xdr:rowOff>
    </xdr:from>
    <xdr:ext cx="1912786" cy="898522"/>
    <xdr:pic>
      <xdr:nvPicPr>
        <xdr:cNvPr id="7" name="Picture 6">
          <a:extLst>
            <a:ext uri="{FF2B5EF4-FFF2-40B4-BE49-F238E27FC236}">
              <a16:creationId xmlns:a16="http://schemas.microsoft.com/office/drawing/2014/main" id="{66A2FF66-1538-4929-9F43-242008CC6AD8}"/>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82440" y="21120100"/>
          <a:ext cx="1912786" cy="898522"/>
        </a:xfrm>
        <a:prstGeom prst="rect">
          <a:avLst/>
        </a:prstGeom>
      </xdr:spPr>
    </xdr:pic>
    <xdr:clientData/>
  </xdr:oneCellAnchor>
  <xdr:oneCellAnchor>
    <xdr:from>
      <xdr:col>7</xdr:col>
      <xdr:colOff>15240</xdr:colOff>
      <xdr:row>141</xdr:row>
      <xdr:rowOff>157480</xdr:rowOff>
    </xdr:from>
    <xdr:ext cx="1912786" cy="898522"/>
    <xdr:pic>
      <xdr:nvPicPr>
        <xdr:cNvPr id="8" name="Picture 7">
          <a:extLst>
            <a:ext uri="{FF2B5EF4-FFF2-40B4-BE49-F238E27FC236}">
              <a16:creationId xmlns:a16="http://schemas.microsoft.com/office/drawing/2014/main" id="{BAD6BED1-FD09-4816-B8B6-CD47F3080475}"/>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82440" y="22720300"/>
          <a:ext cx="1912786" cy="898522"/>
        </a:xfrm>
        <a:prstGeom prst="rect">
          <a:avLst/>
        </a:prstGeom>
      </xdr:spPr>
    </xdr:pic>
    <xdr:clientData/>
  </xdr:oneCellAnchor>
  <xdr:oneCellAnchor>
    <xdr:from>
      <xdr:col>7</xdr:col>
      <xdr:colOff>15240</xdr:colOff>
      <xdr:row>151</xdr:row>
      <xdr:rowOff>157480</xdr:rowOff>
    </xdr:from>
    <xdr:ext cx="1912786" cy="898522"/>
    <xdr:pic>
      <xdr:nvPicPr>
        <xdr:cNvPr id="9" name="Picture 8">
          <a:extLst>
            <a:ext uri="{FF2B5EF4-FFF2-40B4-BE49-F238E27FC236}">
              <a16:creationId xmlns:a16="http://schemas.microsoft.com/office/drawing/2014/main" id="{19226B8C-0671-46DC-A562-3B64D3F8141A}"/>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82440" y="24320500"/>
          <a:ext cx="1912786" cy="898522"/>
        </a:xfrm>
        <a:prstGeom prst="rect">
          <a:avLst/>
        </a:prstGeom>
      </xdr:spPr>
    </xdr:pic>
    <xdr:clientData/>
  </xdr:oneCellAnchor>
  <xdr:oneCellAnchor>
    <xdr:from>
      <xdr:col>7</xdr:col>
      <xdr:colOff>15240</xdr:colOff>
      <xdr:row>161</xdr:row>
      <xdr:rowOff>157480</xdr:rowOff>
    </xdr:from>
    <xdr:ext cx="1912786" cy="898522"/>
    <xdr:pic>
      <xdr:nvPicPr>
        <xdr:cNvPr id="10" name="Picture 9">
          <a:extLst>
            <a:ext uri="{FF2B5EF4-FFF2-40B4-BE49-F238E27FC236}">
              <a16:creationId xmlns:a16="http://schemas.microsoft.com/office/drawing/2014/main" id="{C01874D3-0B46-478E-8BE3-6E8462E65C9D}"/>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2440" y="25920700"/>
          <a:ext cx="1912786" cy="898522"/>
        </a:xfrm>
        <a:prstGeom prst="rect">
          <a:avLst/>
        </a:prstGeom>
      </xdr:spPr>
    </xdr:pic>
    <xdr:clientData/>
  </xdr:oneCellAnchor>
  <xdr:oneCellAnchor>
    <xdr:from>
      <xdr:col>7</xdr:col>
      <xdr:colOff>15240</xdr:colOff>
      <xdr:row>171</xdr:row>
      <xdr:rowOff>157480</xdr:rowOff>
    </xdr:from>
    <xdr:ext cx="1912786" cy="898522"/>
    <xdr:pic>
      <xdr:nvPicPr>
        <xdr:cNvPr id="11" name="Picture 10">
          <a:extLst>
            <a:ext uri="{FF2B5EF4-FFF2-40B4-BE49-F238E27FC236}">
              <a16:creationId xmlns:a16="http://schemas.microsoft.com/office/drawing/2014/main" id="{C079491B-E0DF-4006-B1C5-63138B63EE46}"/>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82440" y="27520900"/>
          <a:ext cx="1912786" cy="898522"/>
        </a:xfrm>
        <a:prstGeom prst="rect">
          <a:avLst/>
        </a:prstGeom>
      </xdr:spPr>
    </xdr:pic>
    <xdr:clientData/>
  </xdr:oneCellAnchor>
  <xdr:oneCellAnchor>
    <xdr:from>
      <xdr:col>7</xdr:col>
      <xdr:colOff>15240</xdr:colOff>
      <xdr:row>181</xdr:row>
      <xdr:rowOff>157480</xdr:rowOff>
    </xdr:from>
    <xdr:ext cx="1912786" cy="898522"/>
    <xdr:pic>
      <xdr:nvPicPr>
        <xdr:cNvPr id="12" name="Picture 11">
          <a:extLst>
            <a:ext uri="{FF2B5EF4-FFF2-40B4-BE49-F238E27FC236}">
              <a16:creationId xmlns:a16="http://schemas.microsoft.com/office/drawing/2014/main" id="{EE230A3D-24F4-428D-BFCC-FD71C3459516}"/>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82440" y="29121100"/>
          <a:ext cx="1912786" cy="898522"/>
        </a:xfrm>
        <a:prstGeom prst="rect">
          <a:avLst/>
        </a:prstGeom>
      </xdr:spPr>
    </xdr:pic>
    <xdr:clientData/>
  </xdr:oneCellAnchor>
  <xdr:oneCellAnchor>
    <xdr:from>
      <xdr:col>7</xdr:col>
      <xdr:colOff>15240</xdr:colOff>
      <xdr:row>191</xdr:row>
      <xdr:rowOff>157480</xdr:rowOff>
    </xdr:from>
    <xdr:ext cx="1912786" cy="898522"/>
    <xdr:pic>
      <xdr:nvPicPr>
        <xdr:cNvPr id="13" name="Picture 12">
          <a:extLst>
            <a:ext uri="{FF2B5EF4-FFF2-40B4-BE49-F238E27FC236}">
              <a16:creationId xmlns:a16="http://schemas.microsoft.com/office/drawing/2014/main" id="{EC3FDF01-671B-4D90-A094-CAFBA43B4C5F}"/>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82440" y="30721300"/>
          <a:ext cx="1912786" cy="898522"/>
        </a:xfrm>
        <a:prstGeom prst="rect">
          <a:avLst/>
        </a:prstGeom>
      </xdr:spPr>
    </xdr:pic>
    <xdr:clientData/>
  </xdr:oneCellAnchor>
  <xdr:oneCellAnchor>
    <xdr:from>
      <xdr:col>7</xdr:col>
      <xdr:colOff>15240</xdr:colOff>
      <xdr:row>201</xdr:row>
      <xdr:rowOff>157480</xdr:rowOff>
    </xdr:from>
    <xdr:ext cx="1912786" cy="898522"/>
    <xdr:pic>
      <xdr:nvPicPr>
        <xdr:cNvPr id="14" name="Picture 13">
          <a:extLst>
            <a:ext uri="{FF2B5EF4-FFF2-40B4-BE49-F238E27FC236}">
              <a16:creationId xmlns:a16="http://schemas.microsoft.com/office/drawing/2014/main" id="{D558F9E9-FF63-4AAB-BE6E-43FB64380D24}"/>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82440" y="32321500"/>
          <a:ext cx="1912786" cy="898522"/>
        </a:xfrm>
        <a:prstGeom prst="rect">
          <a:avLst/>
        </a:prstGeom>
      </xdr:spPr>
    </xdr:pic>
    <xdr:clientData/>
  </xdr:oneCellAnchor>
  <xdr:oneCellAnchor>
    <xdr:from>
      <xdr:col>7</xdr:col>
      <xdr:colOff>15240</xdr:colOff>
      <xdr:row>211</xdr:row>
      <xdr:rowOff>157480</xdr:rowOff>
    </xdr:from>
    <xdr:ext cx="1912786" cy="898522"/>
    <xdr:pic>
      <xdr:nvPicPr>
        <xdr:cNvPr id="15" name="Picture 14">
          <a:extLst>
            <a:ext uri="{FF2B5EF4-FFF2-40B4-BE49-F238E27FC236}">
              <a16:creationId xmlns:a16="http://schemas.microsoft.com/office/drawing/2014/main" id="{8FDB8DD8-4E55-453A-9307-99DD13A20182}"/>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82440" y="33921700"/>
          <a:ext cx="1912786" cy="898522"/>
        </a:xfrm>
        <a:prstGeom prst="rect">
          <a:avLst/>
        </a:prstGeom>
      </xdr:spPr>
    </xdr:pic>
    <xdr:clientData/>
  </xdr:oneCellAnchor>
  <xdr:oneCellAnchor>
    <xdr:from>
      <xdr:col>7</xdr:col>
      <xdr:colOff>15240</xdr:colOff>
      <xdr:row>221</xdr:row>
      <xdr:rowOff>157480</xdr:rowOff>
    </xdr:from>
    <xdr:ext cx="1912786" cy="898522"/>
    <xdr:pic>
      <xdr:nvPicPr>
        <xdr:cNvPr id="16" name="Picture 15">
          <a:extLst>
            <a:ext uri="{FF2B5EF4-FFF2-40B4-BE49-F238E27FC236}">
              <a16:creationId xmlns:a16="http://schemas.microsoft.com/office/drawing/2014/main" id="{CDE0FF69-EF42-42C2-8311-072388B69E83}"/>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82440" y="35521900"/>
          <a:ext cx="1912786" cy="898522"/>
        </a:xfrm>
        <a:prstGeom prst="rect">
          <a:avLst/>
        </a:prstGeom>
      </xdr:spPr>
    </xdr:pic>
    <xdr:clientData/>
  </xdr:oneCellAnchor>
  <xdr:oneCellAnchor>
    <xdr:from>
      <xdr:col>7</xdr:col>
      <xdr:colOff>15240</xdr:colOff>
      <xdr:row>231</xdr:row>
      <xdr:rowOff>157480</xdr:rowOff>
    </xdr:from>
    <xdr:ext cx="1912786" cy="898522"/>
    <xdr:pic>
      <xdr:nvPicPr>
        <xdr:cNvPr id="17" name="Picture 16">
          <a:extLst>
            <a:ext uri="{FF2B5EF4-FFF2-40B4-BE49-F238E27FC236}">
              <a16:creationId xmlns:a16="http://schemas.microsoft.com/office/drawing/2014/main" id="{0CCFDBC0-7546-4C38-9F2E-BCB20A0477FA}"/>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82440" y="37122100"/>
          <a:ext cx="1912786" cy="898522"/>
        </a:xfrm>
        <a:prstGeom prst="rect">
          <a:avLst/>
        </a:prstGeom>
      </xdr:spPr>
    </xdr:pic>
    <xdr:clientData/>
  </xdr:oneCellAnchor>
  <xdr:oneCellAnchor>
    <xdr:from>
      <xdr:col>7</xdr:col>
      <xdr:colOff>15240</xdr:colOff>
      <xdr:row>241</xdr:row>
      <xdr:rowOff>157480</xdr:rowOff>
    </xdr:from>
    <xdr:ext cx="1912786" cy="898522"/>
    <xdr:pic>
      <xdr:nvPicPr>
        <xdr:cNvPr id="18" name="Picture 17">
          <a:extLst>
            <a:ext uri="{FF2B5EF4-FFF2-40B4-BE49-F238E27FC236}">
              <a16:creationId xmlns:a16="http://schemas.microsoft.com/office/drawing/2014/main" id="{1E92AA3E-70A1-427B-83D4-37FD4E292B02}"/>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82440" y="38722300"/>
          <a:ext cx="1912786" cy="898522"/>
        </a:xfrm>
        <a:prstGeom prst="rect">
          <a:avLst/>
        </a:prstGeom>
      </xdr:spPr>
    </xdr:pic>
    <xdr:clientData/>
  </xdr:oneCellAnchor>
  <xdr:oneCellAnchor>
    <xdr:from>
      <xdr:col>7</xdr:col>
      <xdr:colOff>15240</xdr:colOff>
      <xdr:row>251</xdr:row>
      <xdr:rowOff>157480</xdr:rowOff>
    </xdr:from>
    <xdr:ext cx="1912786" cy="898522"/>
    <xdr:pic>
      <xdr:nvPicPr>
        <xdr:cNvPr id="19" name="Picture 18">
          <a:extLst>
            <a:ext uri="{FF2B5EF4-FFF2-40B4-BE49-F238E27FC236}">
              <a16:creationId xmlns:a16="http://schemas.microsoft.com/office/drawing/2014/main" id="{DDC9C65F-3DFB-44A9-B324-8740AA9CF4A4}"/>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82440" y="40322500"/>
          <a:ext cx="1912786" cy="898522"/>
        </a:xfrm>
        <a:prstGeom prst="rect">
          <a:avLst/>
        </a:prstGeom>
      </xdr:spPr>
    </xdr:pic>
    <xdr:clientData/>
  </xdr:oneCellAnchor>
  <xdr:oneCellAnchor>
    <xdr:from>
      <xdr:col>7</xdr:col>
      <xdr:colOff>15240</xdr:colOff>
      <xdr:row>261</xdr:row>
      <xdr:rowOff>157480</xdr:rowOff>
    </xdr:from>
    <xdr:ext cx="1912786" cy="898522"/>
    <xdr:pic>
      <xdr:nvPicPr>
        <xdr:cNvPr id="20" name="Picture 19">
          <a:extLst>
            <a:ext uri="{FF2B5EF4-FFF2-40B4-BE49-F238E27FC236}">
              <a16:creationId xmlns:a16="http://schemas.microsoft.com/office/drawing/2014/main" id="{7499FFDC-4A4E-48B6-98FD-129A465900C6}"/>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282440" y="41922700"/>
          <a:ext cx="1912786" cy="898522"/>
        </a:xfrm>
        <a:prstGeom prst="rect">
          <a:avLst/>
        </a:prstGeom>
      </xdr:spPr>
    </xdr:pic>
    <xdr:clientData/>
  </xdr:oneCellAnchor>
  <xdr:oneCellAnchor>
    <xdr:from>
      <xdr:col>7</xdr:col>
      <xdr:colOff>15240</xdr:colOff>
      <xdr:row>271</xdr:row>
      <xdr:rowOff>157480</xdr:rowOff>
    </xdr:from>
    <xdr:ext cx="1912786" cy="898522"/>
    <xdr:pic>
      <xdr:nvPicPr>
        <xdr:cNvPr id="21" name="Picture 20">
          <a:extLst>
            <a:ext uri="{FF2B5EF4-FFF2-40B4-BE49-F238E27FC236}">
              <a16:creationId xmlns:a16="http://schemas.microsoft.com/office/drawing/2014/main" id="{AA44A936-AC90-40A4-9A56-04BC5731D935}"/>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82440" y="43522900"/>
          <a:ext cx="1912786" cy="898522"/>
        </a:xfrm>
        <a:prstGeom prst="rect">
          <a:avLst/>
        </a:prstGeom>
      </xdr:spPr>
    </xdr:pic>
    <xdr:clientData/>
  </xdr:oneCellAnchor>
  <xdr:oneCellAnchor>
    <xdr:from>
      <xdr:col>7</xdr:col>
      <xdr:colOff>15240</xdr:colOff>
      <xdr:row>281</xdr:row>
      <xdr:rowOff>157480</xdr:rowOff>
    </xdr:from>
    <xdr:ext cx="1912786" cy="898522"/>
    <xdr:pic>
      <xdr:nvPicPr>
        <xdr:cNvPr id="22" name="Picture 21">
          <a:extLst>
            <a:ext uri="{FF2B5EF4-FFF2-40B4-BE49-F238E27FC236}">
              <a16:creationId xmlns:a16="http://schemas.microsoft.com/office/drawing/2014/main" id="{6EC922DF-3FC5-467D-9FF6-131C0ED7ECC1}"/>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82440" y="45123100"/>
          <a:ext cx="1912786" cy="898522"/>
        </a:xfrm>
        <a:prstGeom prst="rect">
          <a:avLst/>
        </a:prstGeom>
      </xdr:spPr>
    </xdr:pic>
    <xdr:clientData/>
  </xdr:oneCellAnchor>
  <xdr:oneCellAnchor>
    <xdr:from>
      <xdr:col>7</xdr:col>
      <xdr:colOff>15240</xdr:colOff>
      <xdr:row>291</xdr:row>
      <xdr:rowOff>157480</xdr:rowOff>
    </xdr:from>
    <xdr:ext cx="1912786" cy="898522"/>
    <xdr:pic>
      <xdr:nvPicPr>
        <xdr:cNvPr id="23" name="Picture 22">
          <a:extLst>
            <a:ext uri="{FF2B5EF4-FFF2-40B4-BE49-F238E27FC236}">
              <a16:creationId xmlns:a16="http://schemas.microsoft.com/office/drawing/2014/main" id="{CA52A204-28CA-4518-A6B8-A6562324DDA3}"/>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282440" y="46723300"/>
          <a:ext cx="1912786" cy="898522"/>
        </a:xfrm>
        <a:prstGeom prst="rect">
          <a:avLst/>
        </a:prstGeom>
      </xdr:spPr>
    </xdr:pic>
    <xdr:clientData/>
  </xdr:oneCellAnchor>
  <xdr:oneCellAnchor>
    <xdr:from>
      <xdr:col>7</xdr:col>
      <xdr:colOff>15240</xdr:colOff>
      <xdr:row>301</xdr:row>
      <xdr:rowOff>157480</xdr:rowOff>
    </xdr:from>
    <xdr:ext cx="1912786" cy="898522"/>
    <xdr:pic>
      <xdr:nvPicPr>
        <xdr:cNvPr id="24" name="Picture 23">
          <a:extLst>
            <a:ext uri="{FF2B5EF4-FFF2-40B4-BE49-F238E27FC236}">
              <a16:creationId xmlns:a16="http://schemas.microsoft.com/office/drawing/2014/main" id="{61B1420A-3BD9-44BD-B272-D47CB2D7AE35}"/>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282440" y="48323500"/>
          <a:ext cx="1912786" cy="898522"/>
        </a:xfrm>
        <a:prstGeom prst="rect">
          <a:avLst/>
        </a:prstGeom>
      </xdr:spPr>
    </xdr:pic>
    <xdr:clientData/>
  </xdr:oneCellAnchor>
  <xdr:oneCellAnchor>
    <xdr:from>
      <xdr:col>7</xdr:col>
      <xdr:colOff>15240</xdr:colOff>
      <xdr:row>311</xdr:row>
      <xdr:rowOff>157480</xdr:rowOff>
    </xdr:from>
    <xdr:ext cx="1912786" cy="898522"/>
    <xdr:pic>
      <xdr:nvPicPr>
        <xdr:cNvPr id="25" name="Picture 24">
          <a:extLst>
            <a:ext uri="{FF2B5EF4-FFF2-40B4-BE49-F238E27FC236}">
              <a16:creationId xmlns:a16="http://schemas.microsoft.com/office/drawing/2014/main" id="{83E46EAD-AEEC-4430-AD95-E7F680B7AE33}"/>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282440" y="49923700"/>
          <a:ext cx="1912786" cy="898522"/>
        </a:xfrm>
        <a:prstGeom prst="rect">
          <a:avLst/>
        </a:prstGeom>
      </xdr:spPr>
    </xdr:pic>
    <xdr:clientData/>
  </xdr:oneCellAnchor>
  <xdr:oneCellAnchor>
    <xdr:from>
      <xdr:col>7</xdr:col>
      <xdr:colOff>15240</xdr:colOff>
      <xdr:row>321</xdr:row>
      <xdr:rowOff>157480</xdr:rowOff>
    </xdr:from>
    <xdr:ext cx="1912786" cy="898522"/>
    <xdr:pic>
      <xdr:nvPicPr>
        <xdr:cNvPr id="26" name="Picture 25">
          <a:extLst>
            <a:ext uri="{FF2B5EF4-FFF2-40B4-BE49-F238E27FC236}">
              <a16:creationId xmlns:a16="http://schemas.microsoft.com/office/drawing/2014/main" id="{A4C0AFA2-9A15-4150-8173-ED367CE6198C}"/>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282440" y="51523900"/>
          <a:ext cx="1912786" cy="898522"/>
        </a:xfrm>
        <a:prstGeom prst="rect">
          <a:avLst/>
        </a:prstGeom>
      </xdr:spPr>
    </xdr:pic>
    <xdr:clientData/>
  </xdr:oneCellAnchor>
  <xdr:oneCellAnchor>
    <xdr:from>
      <xdr:col>7</xdr:col>
      <xdr:colOff>15240</xdr:colOff>
      <xdr:row>331</xdr:row>
      <xdr:rowOff>157480</xdr:rowOff>
    </xdr:from>
    <xdr:ext cx="1912786" cy="898522"/>
    <xdr:pic>
      <xdr:nvPicPr>
        <xdr:cNvPr id="27" name="Picture 26">
          <a:extLst>
            <a:ext uri="{FF2B5EF4-FFF2-40B4-BE49-F238E27FC236}">
              <a16:creationId xmlns:a16="http://schemas.microsoft.com/office/drawing/2014/main" id="{A2504FBA-4411-4800-9802-6E021D2A0FF9}"/>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82440" y="53124100"/>
          <a:ext cx="1912786" cy="898522"/>
        </a:xfrm>
        <a:prstGeom prst="rect">
          <a:avLst/>
        </a:prstGeom>
      </xdr:spPr>
    </xdr:pic>
    <xdr:clientData/>
  </xdr:oneCellAnchor>
  <xdr:oneCellAnchor>
    <xdr:from>
      <xdr:col>7</xdr:col>
      <xdr:colOff>15240</xdr:colOff>
      <xdr:row>341</xdr:row>
      <xdr:rowOff>157480</xdr:rowOff>
    </xdr:from>
    <xdr:ext cx="1912786" cy="898522"/>
    <xdr:pic>
      <xdr:nvPicPr>
        <xdr:cNvPr id="28" name="Picture 27">
          <a:extLst>
            <a:ext uri="{FF2B5EF4-FFF2-40B4-BE49-F238E27FC236}">
              <a16:creationId xmlns:a16="http://schemas.microsoft.com/office/drawing/2014/main" id="{61A24197-A9DA-4D23-9215-C90A9AC7A168}"/>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282440" y="54724300"/>
          <a:ext cx="1912786" cy="898522"/>
        </a:xfrm>
        <a:prstGeom prst="rect">
          <a:avLst/>
        </a:prstGeom>
      </xdr:spPr>
    </xdr:pic>
    <xdr:clientData/>
  </xdr:oneCellAnchor>
  <xdr:oneCellAnchor>
    <xdr:from>
      <xdr:col>7</xdr:col>
      <xdr:colOff>15240</xdr:colOff>
      <xdr:row>351</xdr:row>
      <xdr:rowOff>157480</xdr:rowOff>
    </xdr:from>
    <xdr:ext cx="1912786" cy="898522"/>
    <xdr:pic>
      <xdr:nvPicPr>
        <xdr:cNvPr id="29" name="Picture 28">
          <a:extLst>
            <a:ext uri="{FF2B5EF4-FFF2-40B4-BE49-F238E27FC236}">
              <a16:creationId xmlns:a16="http://schemas.microsoft.com/office/drawing/2014/main" id="{70751BD1-BEC2-4B9B-8D51-5E6FBCCB2F90}"/>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82440" y="56324500"/>
          <a:ext cx="1912786" cy="898522"/>
        </a:xfrm>
        <a:prstGeom prst="rect">
          <a:avLst/>
        </a:prstGeom>
      </xdr:spPr>
    </xdr:pic>
    <xdr:clientData/>
  </xdr:oneCellAnchor>
  <xdr:oneCellAnchor>
    <xdr:from>
      <xdr:col>7</xdr:col>
      <xdr:colOff>15240</xdr:colOff>
      <xdr:row>361</xdr:row>
      <xdr:rowOff>157480</xdr:rowOff>
    </xdr:from>
    <xdr:ext cx="1912786" cy="898522"/>
    <xdr:pic>
      <xdr:nvPicPr>
        <xdr:cNvPr id="30" name="Picture 29">
          <a:extLst>
            <a:ext uri="{FF2B5EF4-FFF2-40B4-BE49-F238E27FC236}">
              <a16:creationId xmlns:a16="http://schemas.microsoft.com/office/drawing/2014/main" id="{6D3A9D84-1257-45CD-9D66-F4225D459845}"/>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82440" y="57924700"/>
          <a:ext cx="1912786" cy="898522"/>
        </a:xfrm>
        <a:prstGeom prst="rect">
          <a:avLst/>
        </a:prstGeom>
      </xdr:spPr>
    </xdr:pic>
    <xdr:clientData/>
  </xdr:oneCellAnchor>
  <xdr:oneCellAnchor>
    <xdr:from>
      <xdr:col>7</xdr:col>
      <xdr:colOff>15240</xdr:colOff>
      <xdr:row>371</xdr:row>
      <xdr:rowOff>157480</xdr:rowOff>
    </xdr:from>
    <xdr:ext cx="1912786" cy="898522"/>
    <xdr:pic>
      <xdr:nvPicPr>
        <xdr:cNvPr id="31" name="Picture 30">
          <a:extLst>
            <a:ext uri="{FF2B5EF4-FFF2-40B4-BE49-F238E27FC236}">
              <a16:creationId xmlns:a16="http://schemas.microsoft.com/office/drawing/2014/main" id="{F422D4BD-CA0B-41BC-A116-C16D3281F901}"/>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282440" y="59524900"/>
          <a:ext cx="1912786" cy="898522"/>
        </a:xfrm>
        <a:prstGeom prst="rect">
          <a:avLst/>
        </a:prstGeom>
      </xdr:spPr>
    </xdr:pic>
    <xdr:clientData/>
  </xdr:oneCellAnchor>
  <xdr:oneCellAnchor>
    <xdr:from>
      <xdr:col>7</xdr:col>
      <xdr:colOff>15240</xdr:colOff>
      <xdr:row>381</xdr:row>
      <xdr:rowOff>157480</xdr:rowOff>
    </xdr:from>
    <xdr:ext cx="1912786" cy="898522"/>
    <xdr:pic>
      <xdr:nvPicPr>
        <xdr:cNvPr id="32" name="Picture 31">
          <a:extLst>
            <a:ext uri="{FF2B5EF4-FFF2-40B4-BE49-F238E27FC236}">
              <a16:creationId xmlns:a16="http://schemas.microsoft.com/office/drawing/2014/main" id="{7C4B1BB1-455A-49D3-BE30-05241EBD48B0}"/>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282440" y="61125100"/>
          <a:ext cx="1912786" cy="898522"/>
        </a:xfrm>
        <a:prstGeom prst="rect">
          <a:avLst/>
        </a:prstGeom>
      </xdr:spPr>
    </xdr:pic>
    <xdr:clientData/>
  </xdr:oneCellAnchor>
  <xdr:oneCellAnchor>
    <xdr:from>
      <xdr:col>7</xdr:col>
      <xdr:colOff>15240</xdr:colOff>
      <xdr:row>394</xdr:row>
      <xdr:rowOff>2540</xdr:rowOff>
    </xdr:from>
    <xdr:ext cx="1912786" cy="898522"/>
    <xdr:pic>
      <xdr:nvPicPr>
        <xdr:cNvPr id="33" name="Picture 32">
          <a:extLst>
            <a:ext uri="{FF2B5EF4-FFF2-40B4-BE49-F238E27FC236}">
              <a16:creationId xmlns:a16="http://schemas.microsoft.com/office/drawing/2014/main" id="{7FCFBB76-8FEA-4437-B616-11EE4A80626B}"/>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82440" y="63050420"/>
          <a:ext cx="1912786" cy="898522"/>
        </a:xfrm>
        <a:prstGeom prst="rect">
          <a:avLst/>
        </a:prstGeom>
      </xdr:spPr>
    </xdr:pic>
    <xdr:clientData/>
  </xdr:oneCellAnchor>
  <xdr:oneCellAnchor>
    <xdr:from>
      <xdr:col>7</xdr:col>
      <xdr:colOff>15240</xdr:colOff>
      <xdr:row>404</xdr:row>
      <xdr:rowOff>2540</xdr:rowOff>
    </xdr:from>
    <xdr:ext cx="1912786" cy="898522"/>
    <xdr:pic>
      <xdr:nvPicPr>
        <xdr:cNvPr id="34" name="Picture 33">
          <a:extLst>
            <a:ext uri="{FF2B5EF4-FFF2-40B4-BE49-F238E27FC236}">
              <a16:creationId xmlns:a16="http://schemas.microsoft.com/office/drawing/2014/main" id="{092F8081-8E02-4351-9C29-55B20F7A817D}"/>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282440" y="64650620"/>
          <a:ext cx="1912786" cy="898522"/>
        </a:xfrm>
        <a:prstGeom prst="rect">
          <a:avLst/>
        </a:prstGeom>
      </xdr:spPr>
    </xdr:pic>
    <xdr:clientData/>
  </xdr:oneCellAnchor>
  <xdr:oneCellAnchor>
    <xdr:from>
      <xdr:col>7</xdr:col>
      <xdr:colOff>15240</xdr:colOff>
      <xdr:row>414</xdr:row>
      <xdr:rowOff>2540</xdr:rowOff>
    </xdr:from>
    <xdr:ext cx="1912786" cy="898522"/>
    <xdr:pic>
      <xdr:nvPicPr>
        <xdr:cNvPr id="35" name="Picture 34">
          <a:extLst>
            <a:ext uri="{FF2B5EF4-FFF2-40B4-BE49-F238E27FC236}">
              <a16:creationId xmlns:a16="http://schemas.microsoft.com/office/drawing/2014/main" id="{36564B9D-F19F-416C-9479-36E208A8B66F}"/>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282440" y="66250820"/>
          <a:ext cx="1912786" cy="898522"/>
        </a:xfrm>
        <a:prstGeom prst="rect">
          <a:avLst/>
        </a:prstGeom>
      </xdr:spPr>
    </xdr:pic>
    <xdr:clientData/>
  </xdr:oneCellAnchor>
  <xdr:oneCellAnchor>
    <xdr:from>
      <xdr:col>7</xdr:col>
      <xdr:colOff>15240</xdr:colOff>
      <xdr:row>424</xdr:row>
      <xdr:rowOff>2540</xdr:rowOff>
    </xdr:from>
    <xdr:ext cx="1912786" cy="898522"/>
    <xdr:pic>
      <xdr:nvPicPr>
        <xdr:cNvPr id="36" name="Picture 35">
          <a:extLst>
            <a:ext uri="{FF2B5EF4-FFF2-40B4-BE49-F238E27FC236}">
              <a16:creationId xmlns:a16="http://schemas.microsoft.com/office/drawing/2014/main" id="{09230C29-E33A-4672-A022-EF049CC73599}"/>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82440" y="67851020"/>
          <a:ext cx="1912786" cy="898522"/>
        </a:xfrm>
        <a:prstGeom prst="rect">
          <a:avLst/>
        </a:prstGeom>
      </xdr:spPr>
    </xdr:pic>
    <xdr:clientData/>
  </xdr:oneCellAnchor>
  <xdr:oneCellAnchor>
    <xdr:from>
      <xdr:col>7</xdr:col>
      <xdr:colOff>15240</xdr:colOff>
      <xdr:row>434</xdr:row>
      <xdr:rowOff>2540</xdr:rowOff>
    </xdr:from>
    <xdr:ext cx="1912786" cy="898522"/>
    <xdr:pic>
      <xdr:nvPicPr>
        <xdr:cNvPr id="37" name="Picture 36">
          <a:extLst>
            <a:ext uri="{FF2B5EF4-FFF2-40B4-BE49-F238E27FC236}">
              <a16:creationId xmlns:a16="http://schemas.microsoft.com/office/drawing/2014/main" id="{4AFA7DB2-CC9A-480D-8ACD-9089F11A7579}"/>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282440" y="69451220"/>
          <a:ext cx="1912786" cy="898522"/>
        </a:xfrm>
        <a:prstGeom prst="rect">
          <a:avLst/>
        </a:prstGeom>
      </xdr:spPr>
    </xdr:pic>
    <xdr:clientData/>
  </xdr:oneCellAnchor>
  <xdr:oneCellAnchor>
    <xdr:from>
      <xdr:col>7</xdr:col>
      <xdr:colOff>15240</xdr:colOff>
      <xdr:row>444</xdr:row>
      <xdr:rowOff>2540</xdr:rowOff>
    </xdr:from>
    <xdr:ext cx="1912786" cy="898522"/>
    <xdr:pic>
      <xdr:nvPicPr>
        <xdr:cNvPr id="38" name="Picture 37">
          <a:extLst>
            <a:ext uri="{FF2B5EF4-FFF2-40B4-BE49-F238E27FC236}">
              <a16:creationId xmlns:a16="http://schemas.microsoft.com/office/drawing/2014/main" id="{722263C4-5997-44BF-A60F-8705833911C0}"/>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282440" y="71051420"/>
          <a:ext cx="1912786" cy="898522"/>
        </a:xfrm>
        <a:prstGeom prst="rect">
          <a:avLst/>
        </a:prstGeom>
      </xdr:spPr>
    </xdr:pic>
    <xdr:clientData/>
  </xdr:oneCellAnchor>
  <xdr:oneCellAnchor>
    <xdr:from>
      <xdr:col>7</xdr:col>
      <xdr:colOff>15240</xdr:colOff>
      <xdr:row>454</xdr:row>
      <xdr:rowOff>2540</xdr:rowOff>
    </xdr:from>
    <xdr:ext cx="1912786" cy="898522"/>
    <xdr:pic>
      <xdr:nvPicPr>
        <xdr:cNvPr id="39" name="Picture 38">
          <a:extLst>
            <a:ext uri="{FF2B5EF4-FFF2-40B4-BE49-F238E27FC236}">
              <a16:creationId xmlns:a16="http://schemas.microsoft.com/office/drawing/2014/main" id="{57CB955F-A1AB-4824-9CDA-9186DD99F9EF}"/>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282440" y="72651620"/>
          <a:ext cx="1912786" cy="898522"/>
        </a:xfrm>
        <a:prstGeom prst="rect">
          <a:avLst/>
        </a:prstGeom>
      </xdr:spPr>
    </xdr:pic>
    <xdr:clientData/>
  </xdr:oneCellAnchor>
  <xdr:oneCellAnchor>
    <xdr:from>
      <xdr:col>7</xdr:col>
      <xdr:colOff>15240</xdr:colOff>
      <xdr:row>464</xdr:row>
      <xdr:rowOff>2540</xdr:rowOff>
    </xdr:from>
    <xdr:ext cx="1912786" cy="898522"/>
    <xdr:pic>
      <xdr:nvPicPr>
        <xdr:cNvPr id="40" name="Picture 39">
          <a:extLst>
            <a:ext uri="{FF2B5EF4-FFF2-40B4-BE49-F238E27FC236}">
              <a16:creationId xmlns:a16="http://schemas.microsoft.com/office/drawing/2014/main" id="{744DA93D-F285-4B71-B515-0D7957266A38}"/>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282440" y="74251820"/>
          <a:ext cx="1912786" cy="898522"/>
        </a:xfrm>
        <a:prstGeom prst="rect">
          <a:avLst/>
        </a:prstGeom>
      </xdr:spPr>
    </xdr:pic>
    <xdr:clientData/>
  </xdr:oneCellAnchor>
  <xdr:oneCellAnchor>
    <xdr:from>
      <xdr:col>7</xdr:col>
      <xdr:colOff>15240</xdr:colOff>
      <xdr:row>474</xdr:row>
      <xdr:rowOff>2540</xdr:rowOff>
    </xdr:from>
    <xdr:ext cx="1912786" cy="898522"/>
    <xdr:pic>
      <xdr:nvPicPr>
        <xdr:cNvPr id="41" name="Picture 40">
          <a:extLst>
            <a:ext uri="{FF2B5EF4-FFF2-40B4-BE49-F238E27FC236}">
              <a16:creationId xmlns:a16="http://schemas.microsoft.com/office/drawing/2014/main" id="{3EDB5C86-DE7B-4645-9AF0-9D16D3131D99}"/>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282440" y="75852020"/>
          <a:ext cx="1912786" cy="898522"/>
        </a:xfrm>
        <a:prstGeom prst="rect">
          <a:avLst/>
        </a:prstGeom>
      </xdr:spPr>
    </xdr:pic>
    <xdr:clientData/>
  </xdr:oneCellAnchor>
  <xdr:oneCellAnchor>
    <xdr:from>
      <xdr:col>7</xdr:col>
      <xdr:colOff>15240</xdr:colOff>
      <xdr:row>484</xdr:row>
      <xdr:rowOff>2540</xdr:rowOff>
    </xdr:from>
    <xdr:ext cx="1912786" cy="898522"/>
    <xdr:pic>
      <xdr:nvPicPr>
        <xdr:cNvPr id="42" name="Picture 41">
          <a:extLst>
            <a:ext uri="{FF2B5EF4-FFF2-40B4-BE49-F238E27FC236}">
              <a16:creationId xmlns:a16="http://schemas.microsoft.com/office/drawing/2014/main" id="{82145384-0BA0-48CC-95D5-13114A372C63}"/>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282440" y="77452220"/>
          <a:ext cx="1912786" cy="898522"/>
        </a:xfrm>
        <a:prstGeom prst="rect">
          <a:avLst/>
        </a:prstGeom>
      </xdr:spPr>
    </xdr:pic>
    <xdr:clientData/>
  </xdr:oneCellAnchor>
  <xdr:oneCellAnchor>
    <xdr:from>
      <xdr:col>7</xdr:col>
      <xdr:colOff>15240</xdr:colOff>
      <xdr:row>494</xdr:row>
      <xdr:rowOff>2540</xdr:rowOff>
    </xdr:from>
    <xdr:ext cx="1912786" cy="898522"/>
    <xdr:pic>
      <xdr:nvPicPr>
        <xdr:cNvPr id="43" name="Picture 42">
          <a:extLst>
            <a:ext uri="{FF2B5EF4-FFF2-40B4-BE49-F238E27FC236}">
              <a16:creationId xmlns:a16="http://schemas.microsoft.com/office/drawing/2014/main" id="{9B46C0F5-A1EC-41F2-9435-125B020C3AD9}"/>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282440" y="79052420"/>
          <a:ext cx="1912786" cy="898522"/>
        </a:xfrm>
        <a:prstGeom prst="rect">
          <a:avLst/>
        </a:prstGeom>
      </xdr:spPr>
    </xdr:pic>
    <xdr:clientData/>
  </xdr:oneCellAnchor>
  <xdr:oneCellAnchor>
    <xdr:from>
      <xdr:col>7</xdr:col>
      <xdr:colOff>15240</xdr:colOff>
      <xdr:row>504</xdr:row>
      <xdr:rowOff>2540</xdr:rowOff>
    </xdr:from>
    <xdr:ext cx="1912786" cy="898522"/>
    <xdr:pic>
      <xdr:nvPicPr>
        <xdr:cNvPr id="44" name="Picture 43">
          <a:extLst>
            <a:ext uri="{FF2B5EF4-FFF2-40B4-BE49-F238E27FC236}">
              <a16:creationId xmlns:a16="http://schemas.microsoft.com/office/drawing/2014/main" id="{7DDC3553-2659-4D2A-A475-1ED638EFDA7E}"/>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282440" y="80652620"/>
          <a:ext cx="1912786" cy="898522"/>
        </a:xfrm>
        <a:prstGeom prst="rect">
          <a:avLst/>
        </a:prstGeom>
      </xdr:spPr>
    </xdr:pic>
    <xdr:clientData/>
  </xdr:oneCellAnchor>
  <xdr:oneCellAnchor>
    <xdr:from>
      <xdr:col>7</xdr:col>
      <xdr:colOff>15240</xdr:colOff>
      <xdr:row>514</xdr:row>
      <xdr:rowOff>2540</xdr:rowOff>
    </xdr:from>
    <xdr:ext cx="1912786" cy="898522"/>
    <xdr:pic>
      <xdr:nvPicPr>
        <xdr:cNvPr id="45" name="Picture 44">
          <a:extLst>
            <a:ext uri="{FF2B5EF4-FFF2-40B4-BE49-F238E27FC236}">
              <a16:creationId xmlns:a16="http://schemas.microsoft.com/office/drawing/2014/main" id="{122A8C00-7556-48FE-B1CC-F4759F737267}"/>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282440" y="82252820"/>
          <a:ext cx="1912786" cy="898522"/>
        </a:xfrm>
        <a:prstGeom prst="rect">
          <a:avLst/>
        </a:prstGeom>
      </xdr:spPr>
    </xdr:pic>
    <xdr:clientData/>
  </xdr:oneCellAnchor>
  <xdr:oneCellAnchor>
    <xdr:from>
      <xdr:col>7</xdr:col>
      <xdr:colOff>15240</xdr:colOff>
      <xdr:row>524</xdr:row>
      <xdr:rowOff>2540</xdr:rowOff>
    </xdr:from>
    <xdr:ext cx="1912786" cy="898522"/>
    <xdr:pic>
      <xdr:nvPicPr>
        <xdr:cNvPr id="46" name="Picture 45">
          <a:extLst>
            <a:ext uri="{FF2B5EF4-FFF2-40B4-BE49-F238E27FC236}">
              <a16:creationId xmlns:a16="http://schemas.microsoft.com/office/drawing/2014/main" id="{F70A854C-0632-4D29-931D-927E51898C57}"/>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282440" y="83853020"/>
          <a:ext cx="1912786" cy="898522"/>
        </a:xfrm>
        <a:prstGeom prst="rect">
          <a:avLst/>
        </a:prstGeom>
      </xdr:spPr>
    </xdr:pic>
    <xdr:clientData/>
  </xdr:oneCellAnchor>
  <xdr:oneCellAnchor>
    <xdr:from>
      <xdr:col>7</xdr:col>
      <xdr:colOff>15240</xdr:colOff>
      <xdr:row>534</xdr:row>
      <xdr:rowOff>2540</xdr:rowOff>
    </xdr:from>
    <xdr:ext cx="1912786" cy="898522"/>
    <xdr:pic>
      <xdr:nvPicPr>
        <xdr:cNvPr id="47" name="Picture 46">
          <a:extLst>
            <a:ext uri="{FF2B5EF4-FFF2-40B4-BE49-F238E27FC236}">
              <a16:creationId xmlns:a16="http://schemas.microsoft.com/office/drawing/2014/main" id="{8A4A9802-0EC7-48BD-B713-2CAC5675196B}"/>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282440" y="85453220"/>
          <a:ext cx="1912786" cy="898522"/>
        </a:xfrm>
        <a:prstGeom prst="rect">
          <a:avLst/>
        </a:prstGeom>
      </xdr:spPr>
    </xdr:pic>
    <xdr:clientData/>
  </xdr:oneCellAnchor>
  <xdr:oneCellAnchor>
    <xdr:from>
      <xdr:col>7</xdr:col>
      <xdr:colOff>15240</xdr:colOff>
      <xdr:row>544</xdr:row>
      <xdr:rowOff>2540</xdr:rowOff>
    </xdr:from>
    <xdr:ext cx="1912786" cy="898522"/>
    <xdr:pic>
      <xdr:nvPicPr>
        <xdr:cNvPr id="48" name="Picture 47">
          <a:extLst>
            <a:ext uri="{FF2B5EF4-FFF2-40B4-BE49-F238E27FC236}">
              <a16:creationId xmlns:a16="http://schemas.microsoft.com/office/drawing/2014/main" id="{7C39156F-83B6-4C9E-8855-73FF333FA110}"/>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282440" y="87053420"/>
          <a:ext cx="1912786" cy="898522"/>
        </a:xfrm>
        <a:prstGeom prst="rect">
          <a:avLst/>
        </a:prstGeom>
      </xdr:spPr>
    </xdr:pic>
    <xdr:clientData/>
  </xdr:oneCellAnchor>
  <xdr:oneCellAnchor>
    <xdr:from>
      <xdr:col>7</xdr:col>
      <xdr:colOff>15240</xdr:colOff>
      <xdr:row>554</xdr:row>
      <xdr:rowOff>2540</xdr:rowOff>
    </xdr:from>
    <xdr:ext cx="1912786" cy="898522"/>
    <xdr:pic>
      <xdr:nvPicPr>
        <xdr:cNvPr id="49" name="Picture 48">
          <a:extLst>
            <a:ext uri="{FF2B5EF4-FFF2-40B4-BE49-F238E27FC236}">
              <a16:creationId xmlns:a16="http://schemas.microsoft.com/office/drawing/2014/main" id="{E171824E-17B7-42BA-943A-1FAA4EA7FCD1}"/>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282440" y="88653620"/>
          <a:ext cx="1912786" cy="898522"/>
        </a:xfrm>
        <a:prstGeom prst="rect">
          <a:avLst/>
        </a:prstGeom>
      </xdr:spPr>
    </xdr:pic>
    <xdr:clientData/>
  </xdr:oneCellAnchor>
  <xdr:oneCellAnchor>
    <xdr:from>
      <xdr:col>7</xdr:col>
      <xdr:colOff>15240</xdr:colOff>
      <xdr:row>564</xdr:row>
      <xdr:rowOff>2540</xdr:rowOff>
    </xdr:from>
    <xdr:ext cx="1912786" cy="898522"/>
    <xdr:pic>
      <xdr:nvPicPr>
        <xdr:cNvPr id="50" name="Picture 49">
          <a:extLst>
            <a:ext uri="{FF2B5EF4-FFF2-40B4-BE49-F238E27FC236}">
              <a16:creationId xmlns:a16="http://schemas.microsoft.com/office/drawing/2014/main" id="{766DDC82-D108-4EE5-80BF-657571A7168A}"/>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282440" y="90253820"/>
          <a:ext cx="1912786" cy="898522"/>
        </a:xfrm>
        <a:prstGeom prst="rect">
          <a:avLst/>
        </a:prstGeom>
      </xdr:spPr>
    </xdr:pic>
    <xdr:clientData/>
  </xdr:oneCellAnchor>
  <xdr:oneCellAnchor>
    <xdr:from>
      <xdr:col>7</xdr:col>
      <xdr:colOff>15240</xdr:colOff>
      <xdr:row>574</xdr:row>
      <xdr:rowOff>2540</xdr:rowOff>
    </xdr:from>
    <xdr:ext cx="1912786" cy="898522"/>
    <xdr:pic>
      <xdr:nvPicPr>
        <xdr:cNvPr id="51" name="Picture 50">
          <a:extLst>
            <a:ext uri="{FF2B5EF4-FFF2-40B4-BE49-F238E27FC236}">
              <a16:creationId xmlns:a16="http://schemas.microsoft.com/office/drawing/2014/main" id="{5B7AF72E-6564-49BD-B41F-9764F4CFFD4B}"/>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282440" y="91854020"/>
          <a:ext cx="1912786" cy="898522"/>
        </a:xfrm>
        <a:prstGeom prst="rect">
          <a:avLst/>
        </a:prstGeom>
      </xdr:spPr>
    </xdr:pic>
    <xdr:clientData/>
  </xdr:oneCellAnchor>
  <xdr:oneCellAnchor>
    <xdr:from>
      <xdr:col>7</xdr:col>
      <xdr:colOff>15240</xdr:colOff>
      <xdr:row>584</xdr:row>
      <xdr:rowOff>2540</xdr:rowOff>
    </xdr:from>
    <xdr:ext cx="1912786" cy="898522"/>
    <xdr:pic>
      <xdr:nvPicPr>
        <xdr:cNvPr id="52" name="Picture 51">
          <a:extLst>
            <a:ext uri="{FF2B5EF4-FFF2-40B4-BE49-F238E27FC236}">
              <a16:creationId xmlns:a16="http://schemas.microsoft.com/office/drawing/2014/main" id="{F810AFB9-81F2-4A81-9722-6828764F464F}"/>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282440" y="93454220"/>
          <a:ext cx="1912786" cy="898522"/>
        </a:xfrm>
        <a:prstGeom prst="rect">
          <a:avLst/>
        </a:prstGeom>
      </xdr:spPr>
    </xdr:pic>
    <xdr:clientData/>
  </xdr:oneCellAnchor>
  <xdr:oneCellAnchor>
    <xdr:from>
      <xdr:col>7</xdr:col>
      <xdr:colOff>15240</xdr:colOff>
      <xdr:row>594</xdr:row>
      <xdr:rowOff>2540</xdr:rowOff>
    </xdr:from>
    <xdr:ext cx="1912786" cy="898522"/>
    <xdr:pic>
      <xdr:nvPicPr>
        <xdr:cNvPr id="53" name="Picture 52">
          <a:extLst>
            <a:ext uri="{FF2B5EF4-FFF2-40B4-BE49-F238E27FC236}">
              <a16:creationId xmlns:a16="http://schemas.microsoft.com/office/drawing/2014/main" id="{DD8902DF-8401-4722-9C41-3BA2F8928FC8}"/>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282440" y="95054420"/>
          <a:ext cx="1912786" cy="898522"/>
        </a:xfrm>
        <a:prstGeom prst="rect">
          <a:avLst/>
        </a:prstGeom>
      </xdr:spPr>
    </xdr:pic>
    <xdr:clientData/>
  </xdr:oneCellAnchor>
  <xdr:oneCellAnchor>
    <xdr:from>
      <xdr:col>7</xdr:col>
      <xdr:colOff>15240</xdr:colOff>
      <xdr:row>604</xdr:row>
      <xdr:rowOff>2540</xdr:rowOff>
    </xdr:from>
    <xdr:ext cx="1912786" cy="898522"/>
    <xdr:pic>
      <xdr:nvPicPr>
        <xdr:cNvPr id="54" name="Picture 53">
          <a:extLst>
            <a:ext uri="{FF2B5EF4-FFF2-40B4-BE49-F238E27FC236}">
              <a16:creationId xmlns:a16="http://schemas.microsoft.com/office/drawing/2014/main" id="{0E2FE888-DC43-4B38-A1B7-BB8320E3528E}"/>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282440" y="96654620"/>
          <a:ext cx="1912786" cy="898522"/>
        </a:xfrm>
        <a:prstGeom prst="rect">
          <a:avLst/>
        </a:prstGeom>
      </xdr:spPr>
    </xdr:pic>
    <xdr:clientData/>
  </xdr:oneCellAnchor>
  <xdr:oneCellAnchor>
    <xdr:from>
      <xdr:col>7</xdr:col>
      <xdr:colOff>15240</xdr:colOff>
      <xdr:row>614</xdr:row>
      <xdr:rowOff>2540</xdr:rowOff>
    </xdr:from>
    <xdr:ext cx="1912786" cy="898522"/>
    <xdr:pic>
      <xdr:nvPicPr>
        <xdr:cNvPr id="55" name="Picture 54">
          <a:extLst>
            <a:ext uri="{FF2B5EF4-FFF2-40B4-BE49-F238E27FC236}">
              <a16:creationId xmlns:a16="http://schemas.microsoft.com/office/drawing/2014/main" id="{C6F30BF7-A8A5-4C5C-842B-68A92A2C6A15}"/>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4282440" y="98254820"/>
          <a:ext cx="1912786" cy="898522"/>
        </a:xfrm>
        <a:prstGeom prst="rect">
          <a:avLst/>
        </a:prstGeom>
      </xdr:spPr>
    </xdr:pic>
    <xdr:clientData/>
  </xdr:oneCellAnchor>
  <xdr:oneCellAnchor>
    <xdr:from>
      <xdr:col>7</xdr:col>
      <xdr:colOff>15240</xdr:colOff>
      <xdr:row>624</xdr:row>
      <xdr:rowOff>2540</xdr:rowOff>
    </xdr:from>
    <xdr:ext cx="1912786" cy="898522"/>
    <xdr:pic>
      <xdr:nvPicPr>
        <xdr:cNvPr id="56" name="Picture 55">
          <a:extLst>
            <a:ext uri="{FF2B5EF4-FFF2-40B4-BE49-F238E27FC236}">
              <a16:creationId xmlns:a16="http://schemas.microsoft.com/office/drawing/2014/main" id="{143C889F-3B2D-430B-A552-F70DFACE434B}"/>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282440" y="99855020"/>
          <a:ext cx="1912786" cy="898522"/>
        </a:xfrm>
        <a:prstGeom prst="rect">
          <a:avLst/>
        </a:prstGeom>
      </xdr:spPr>
    </xdr:pic>
    <xdr:clientData/>
  </xdr:oneCellAnchor>
  <xdr:oneCellAnchor>
    <xdr:from>
      <xdr:col>7</xdr:col>
      <xdr:colOff>15240</xdr:colOff>
      <xdr:row>634</xdr:row>
      <xdr:rowOff>2540</xdr:rowOff>
    </xdr:from>
    <xdr:ext cx="1912786" cy="898522"/>
    <xdr:pic>
      <xdr:nvPicPr>
        <xdr:cNvPr id="57" name="Picture 56">
          <a:extLst>
            <a:ext uri="{FF2B5EF4-FFF2-40B4-BE49-F238E27FC236}">
              <a16:creationId xmlns:a16="http://schemas.microsoft.com/office/drawing/2014/main" id="{2D166E28-F266-42A4-9700-C227D59879FA}"/>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282440" y="101455220"/>
          <a:ext cx="1912786" cy="898522"/>
        </a:xfrm>
        <a:prstGeom prst="rect">
          <a:avLst/>
        </a:prstGeom>
      </xdr:spPr>
    </xdr:pic>
    <xdr:clientData/>
  </xdr:oneCellAnchor>
  <xdr:oneCellAnchor>
    <xdr:from>
      <xdr:col>7</xdr:col>
      <xdr:colOff>15240</xdr:colOff>
      <xdr:row>644</xdr:row>
      <xdr:rowOff>2540</xdr:rowOff>
    </xdr:from>
    <xdr:ext cx="1912786" cy="898522"/>
    <xdr:pic>
      <xdr:nvPicPr>
        <xdr:cNvPr id="58" name="Picture 57">
          <a:extLst>
            <a:ext uri="{FF2B5EF4-FFF2-40B4-BE49-F238E27FC236}">
              <a16:creationId xmlns:a16="http://schemas.microsoft.com/office/drawing/2014/main" id="{46055C2C-970C-4113-9F85-E6D35EFBCF49}"/>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282440" y="103055420"/>
          <a:ext cx="1912786" cy="898522"/>
        </a:xfrm>
        <a:prstGeom prst="rect">
          <a:avLst/>
        </a:prstGeom>
      </xdr:spPr>
    </xdr:pic>
    <xdr:clientData/>
  </xdr:oneCellAnchor>
  <xdr:oneCellAnchor>
    <xdr:from>
      <xdr:col>7</xdr:col>
      <xdr:colOff>15240</xdr:colOff>
      <xdr:row>654</xdr:row>
      <xdr:rowOff>2540</xdr:rowOff>
    </xdr:from>
    <xdr:ext cx="1912786" cy="898522"/>
    <xdr:pic>
      <xdr:nvPicPr>
        <xdr:cNvPr id="59" name="Picture 58">
          <a:extLst>
            <a:ext uri="{FF2B5EF4-FFF2-40B4-BE49-F238E27FC236}">
              <a16:creationId xmlns:a16="http://schemas.microsoft.com/office/drawing/2014/main" id="{F8939454-4161-430F-8C6C-9902D4DD2707}"/>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282440" y="104655620"/>
          <a:ext cx="1912786" cy="898522"/>
        </a:xfrm>
        <a:prstGeom prst="rect">
          <a:avLst/>
        </a:prstGeom>
      </xdr:spPr>
    </xdr:pic>
    <xdr:clientData/>
  </xdr:oneCellAnchor>
  <xdr:oneCellAnchor>
    <xdr:from>
      <xdr:col>7</xdr:col>
      <xdr:colOff>15240</xdr:colOff>
      <xdr:row>664</xdr:row>
      <xdr:rowOff>2540</xdr:rowOff>
    </xdr:from>
    <xdr:ext cx="1912786" cy="898522"/>
    <xdr:pic>
      <xdr:nvPicPr>
        <xdr:cNvPr id="60" name="Picture 59">
          <a:extLst>
            <a:ext uri="{FF2B5EF4-FFF2-40B4-BE49-F238E27FC236}">
              <a16:creationId xmlns:a16="http://schemas.microsoft.com/office/drawing/2014/main" id="{22867BA6-3A4F-4BF4-8E1F-14192CC38C6E}"/>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4282440" y="106255820"/>
          <a:ext cx="1912786" cy="898522"/>
        </a:xfrm>
        <a:prstGeom prst="rect">
          <a:avLst/>
        </a:prstGeom>
      </xdr:spPr>
    </xdr:pic>
    <xdr:clientData/>
  </xdr:oneCellAnchor>
  <xdr:oneCellAnchor>
    <xdr:from>
      <xdr:col>7</xdr:col>
      <xdr:colOff>15240</xdr:colOff>
      <xdr:row>674</xdr:row>
      <xdr:rowOff>2540</xdr:rowOff>
    </xdr:from>
    <xdr:ext cx="1912786" cy="898522"/>
    <xdr:pic>
      <xdr:nvPicPr>
        <xdr:cNvPr id="61" name="Picture 60">
          <a:extLst>
            <a:ext uri="{FF2B5EF4-FFF2-40B4-BE49-F238E27FC236}">
              <a16:creationId xmlns:a16="http://schemas.microsoft.com/office/drawing/2014/main" id="{208BA682-2555-489B-A385-DC33C2B9AAE7}"/>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4282440" y="107856020"/>
          <a:ext cx="1912786" cy="898522"/>
        </a:xfrm>
        <a:prstGeom prst="rect">
          <a:avLst/>
        </a:prstGeom>
      </xdr:spPr>
    </xdr:pic>
    <xdr:clientData/>
  </xdr:oneCellAnchor>
  <xdr:oneCellAnchor>
    <xdr:from>
      <xdr:col>7</xdr:col>
      <xdr:colOff>15240</xdr:colOff>
      <xdr:row>684</xdr:row>
      <xdr:rowOff>2540</xdr:rowOff>
    </xdr:from>
    <xdr:ext cx="1912786" cy="898522"/>
    <xdr:pic>
      <xdr:nvPicPr>
        <xdr:cNvPr id="62" name="Picture 61">
          <a:extLst>
            <a:ext uri="{FF2B5EF4-FFF2-40B4-BE49-F238E27FC236}">
              <a16:creationId xmlns:a16="http://schemas.microsoft.com/office/drawing/2014/main" id="{CB1C2516-02F9-4834-8A4F-80F9B4CDA81C}"/>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282440" y="109456220"/>
          <a:ext cx="1912786" cy="898522"/>
        </a:xfrm>
        <a:prstGeom prst="rect">
          <a:avLst/>
        </a:prstGeom>
      </xdr:spPr>
    </xdr:pic>
    <xdr:clientData/>
  </xdr:oneCellAnchor>
  <xdr:twoCellAnchor editAs="oneCell">
    <xdr:from>
      <xdr:col>10</xdr:col>
      <xdr:colOff>0</xdr:colOff>
      <xdr:row>1</xdr:row>
      <xdr:rowOff>0</xdr:rowOff>
    </xdr:from>
    <xdr:to>
      <xdr:col>24</xdr:col>
      <xdr:colOff>299173</xdr:colOff>
      <xdr:row>44</xdr:row>
      <xdr:rowOff>6753</xdr:rowOff>
    </xdr:to>
    <xdr:pic>
      <xdr:nvPicPr>
        <xdr:cNvPr id="63" name="Picture 62">
          <a:extLst>
            <a:ext uri="{FF2B5EF4-FFF2-40B4-BE49-F238E27FC236}">
              <a16:creationId xmlns:a16="http://schemas.microsoft.com/office/drawing/2014/main" id="{145B23BE-11B4-6446-A625-492B56E62809}"/>
            </a:ext>
          </a:extLst>
        </xdr:cNvPr>
        <xdr:cNvPicPr>
          <a:picLocks noChangeAspect="1"/>
        </xdr:cNvPicPr>
      </xdr:nvPicPr>
      <xdr:blipFill>
        <a:blip xmlns:r="http://schemas.openxmlformats.org/officeDocument/2006/relationships" r:embed="rId62"/>
        <a:stretch>
          <a:fillRect/>
        </a:stretch>
      </xdr:blipFill>
      <xdr:spPr>
        <a:xfrm>
          <a:off x="5702300" y="165100"/>
          <a:ext cx="14586673" cy="7106053"/>
        </a:xfrm>
        <a:prstGeom prst="rect">
          <a:avLst/>
        </a:prstGeom>
      </xdr:spPr>
    </xdr:pic>
    <xdr:clientData/>
  </xdr:twoCellAnchor>
  <xdr:twoCellAnchor editAs="oneCell">
    <xdr:from>
      <xdr:col>10</xdr:col>
      <xdr:colOff>0</xdr:colOff>
      <xdr:row>49</xdr:row>
      <xdr:rowOff>0</xdr:rowOff>
    </xdr:from>
    <xdr:to>
      <xdr:col>21</xdr:col>
      <xdr:colOff>396567</xdr:colOff>
      <xdr:row>102</xdr:row>
      <xdr:rowOff>106235</xdr:rowOff>
    </xdr:to>
    <xdr:pic>
      <xdr:nvPicPr>
        <xdr:cNvPr id="64" name="Picture 63">
          <a:extLst>
            <a:ext uri="{FF2B5EF4-FFF2-40B4-BE49-F238E27FC236}">
              <a16:creationId xmlns:a16="http://schemas.microsoft.com/office/drawing/2014/main" id="{E419FAB3-DAE2-A144-9967-CC986DDC7554}"/>
            </a:ext>
          </a:extLst>
        </xdr:cNvPr>
        <xdr:cNvPicPr>
          <a:picLocks noChangeAspect="1"/>
        </xdr:cNvPicPr>
      </xdr:nvPicPr>
      <xdr:blipFill>
        <a:blip xmlns:r="http://schemas.openxmlformats.org/officeDocument/2006/relationships" r:embed="rId63"/>
        <a:stretch>
          <a:fillRect/>
        </a:stretch>
      </xdr:blipFill>
      <xdr:spPr>
        <a:xfrm>
          <a:off x="5702300" y="8089900"/>
          <a:ext cx="12664767" cy="8856535"/>
        </a:xfrm>
        <a:prstGeom prst="rect">
          <a:avLst/>
        </a:prstGeom>
      </xdr:spPr>
    </xdr:pic>
    <xdr:clientData/>
  </xdr:twoCellAnchor>
  <xdr:twoCellAnchor editAs="oneCell">
    <xdr:from>
      <xdr:col>10</xdr:col>
      <xdr:colOff>0</xdr:colOff>
      <xdr:row>119</xdr:row>
      <xdr:rowOff>25400</xdr:rowOff>
    </xdr:from>
    <xdr:to>
      <xdr:col>21</xdr:col>
      <xdr:colOff>396567</xdr:colOff>
      <xdr:row>172</xdr:row>
      <xdr:rowOff>131635</xdr:rowOff>
    </xdr:to>
    <xdr:pic>
      <xdr:nvPicPr>
        <xdr:cNvPr id="65" name="Picture 64">
          <a:extLst>
            <a:ext uri="{FF2B5EF4-FFF2-40B4-BE49-F238E27FC236}">
              <a16:creationId xmlns:a16="http://schemas.microsoft.com/office/drawing/2014/main" id="{EBD70CE9-8FD5-7146-BE44-297252B35A30}"/>
            </a:ext>
          </a:extLst>
        </xdr:cNvPr>
        <xdr:cNvPicPr>
          <a:picLocks noChangeAspect="1"/>
        </xdr:cNvPicPr>
      </xdr:nvPicPr>
      <xdr:blipFill>
        <a:blip xmlns:r="http://schemas.openxmlformats.org/officeDocument/2006/relationships" r:embed="rId64"/>
        <a:stretch>
          <a:fillRect/>
        </a:stretch>
      </xdr:blipFill>
      <xdr:spPr>
        <a:xfrm>
          <a:off x="5702300" y="19672300"/>
          <a:ext cx="12664767" cy="885653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2</xdr:col>
      <xdr:colOff>190501</xdr:colOff>
      <xdr:row>38</xdr:row>
      <xdr:rowOff>2541</xdr:rowOff>
    </xdr:from>
    <xdr:ext cx="4785775" cy="2545301"/>
    <xdr:pic>
      <xdr:nvPicPr>
        <xdr:cNvPr id="2" name="Picture 1">
          <a:extLst>
            <a:ext uri="{FF2B5EF4-FFF2-40B4-BE49-F238E27FC236}">
              <a16:creationId xmlns:a16="http://schemas.microsoft.com/office/drawing/2014/main" id="{37A58577-ACDB-4402-B09F-0CFCBB0FEDDA}"/>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1" y="6083301"/>
          <a:ext cx="4785775" cy="2545301"/>
        </a:xfrm>
        <a:prstGeom prst="rect">
          <a:avLst/>
        </a:prstGeom>
      </xdr:spPr>
    </xdr:pic>
    <xdr:clientData/>
  </xdr:oneCellAnchor>
  <xdr:oneCellAnchor>
    <xdr:from>
      <xdr:col>2</xdr:col>
      <xdr:colOff>190501</xdr:colOff>
      <xdr:row>98</xdr:row>
      <xdr:rowOff>2540</xdr:rowOff>
    </xdr:from>
    <xdr:ext cx="4785775" cy="3048264"/>
    <xdr:pic>
      <xdr:nvPicPr>
        <xdr:cNvPr id="3" name="Picture 2">
          <a:extLst>
            <a:ext uri="{FF2B5EF4-FFF2-40B4-BE49-F238E27FC236}">
              <a16:creationId xmlns:a16="http://schemas.microsoft.com/office/drawing/2014/main" id="{F3633C1F-24BA-4304-8DC2-1A3157427885}"/>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9701" y="15684500"/>
          <a:ext cx="4785775" cy="3048264"/>
        </a:xfrm>
        <a:prstGeom prst="rect">
          <a:avLst/>
        </a:prstGeom>
      </xdr:spPr>
    </xdr:pic>
    <xdr:clientData/>
  </xdr:oneCellAnchor>
  <xdr:oneCellAnchor>
    <xdr:from>
      <xdr:col>7</xdr:col>
      <xdr:colOff>15240</xdr:colOff>
      <xdr:row>158</xdr:row>
      <xdr:rowOff>154940</xdr:rowOff>
    </xdr:from>
    <xdr:ext cx="1912786" cy="898522"/>
    <xdr:pic>
      <xdr:nvPicPr>
        <xdr:cNvPr id="4" name="Picture 3">
          <a:extLst>
            <a:ext uri="{FF2B5EF4-FFF2-40B4-BE49-F238E27FC236}">
              <a16:creationId xmlns:a16="http://schemas.microsoft.com/office/drawing/2014/main" id="{229306A0-20A6-4E36-815C-8935BB4352DC}"/>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82440" y="25438100"/>
          <a:ext cx="1912786" cy="898522"/>
        </a:xfrm>
        <a:prstGeom prst="rect">
          <a:avLst/>
        </a:prstGeom>
      </xdr:spPr>
    </xdr:pic>
    <xdr:clientData/>
  </xdr:oneCellAnchor>
  <xdr:oneCellAnchor>
    <xdr:from>
      <xdr:col>7</xdr:col>
      <xdr:colOff>15240</xdr:colOff>
      <xdr:row>168</xdr:row>
      <xdr:rowOff>154940</xdr:rowOff>
    </xdr:from>
    <xdr:ext cx="1912786" cy="898522"/>
    <xdr:pic>
      <xdr:nvPicPr>
        <xdr:cNvPr id="5" name="Picture 4">
          <a:extLst>
            <a:ext uri="{FF2B5EF4-FFF2-40B4-BE49-F238E27FC236}">
              <a16:creationId xmlns:a16="http://schemas.microsoft.com/office/drawing/2014/main" id="{BAE15BAB-7DA5-4687-BDF6-8BA753332CC6}"/>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2440" y="27038300"/>
          <a:ext cx="1912786" cy="898522"/>
        </a:xfrm>
        <a:prstGeom prst="rect">
          <a:avLst/>
        </a:prstGeom>
      </xdr:spPr>
    </xdr:pic>
    <xdr:clientData/>
  </xdr:oneCellAnchor>
  <xdr:oneCellAnchor>
    <xdr:from>
      <xdr:col>7</xdr:col>
      <xdr:colOff>15240</xdr:colOff>
      <xdr:row>178</xdr:row>
      <xdr:rowOff>154940</xdr:rowOff>
    </xdr:from>
    <xdr:ext cx="1912786" cy="898522"/>
    <xdr:pic>
      <xdr:nvPicPr>
        <xdr:cNvPr id="6" name="Picture 5">
          <a:extLst>
            <a:ext uri="{FF2B5EF4-FFF2-40B4-BE49-F238E27FC236}">
              <a16:creationId xmlns:a16="http://schemas.microsoft.com/office/drawing/2014/main" id="{98FAF49F-0F7D-4205-ADB2-CB46FB5AE71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82440" y="28638500"/>
          <a:ext cx="1912786" cy="898522"/>
        </a:xfrm>
        <a:prstGeom prst="rect">
          <a:avLst/>
        </a:prstGeom>
      </xdr:spPr>
    </xdr:pic>
    <xdr:clientData/>
  </xdr:oneCellAnchor>
  <xdr:oneCellAnchor>
    <xdr:from>
      <xdr:col>7</xdr:col>
      <xdr:colOff>15240</xdr:colOff>
      <xdr:row>188</xdr:row>
      <xdr:rowOff>154940</xdr:rowOff>
    </xdr:from>
    <xdr:ext cx="1912786" cy="898522"/>
    <xdr:pic>
      <xdr:nvPicPr>
        <xdr:cNvPr id="7" name="Picture 6">
          <a:extLst>
            <a:ext uri="{FF2B5EF4-FFF2-40B4-BE49-F238E27FC236}">
              <a16:creationId xmlns:a16="http://schemas.microsoft.com/office/drawing/2014/main" id="{EF1FFA65-5FFE-4C70-9280-04C1B3564644}"/>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82440" y="30238700"/>
          <a:ext cx="1912786" cy="898522"/>
        </a:xfrm>
        <a:prstGeom prst="rect">
          <a:avLst/>
        </a:prstGeom>
      </xdr:spPr>
    </xdr:pic>
    <xdr:clientData/>
  </xdr:oneCellAnchor>
  <xdr:oneCellAnchor>
    <xdr:from>
      <xdr:col>7</xdr:col>
      <xdr:colOff>15240</xdr:colOff>
      <xdr:row>198</xdr:row>
      <xdr:rowOff>154940</xdr:rowOff>
    </xdr:from>
    <xdr:ext cx="1912786" cy="898522"/>
    <xdr:pic>
      <xdr:nvPicPr>
        <xdr:cNvPr id="8" name="Picture 7">
          <a:extLst>
            <a:ext uri="{FF2B5EF4-FFF2-40B4-BE49-F238E27FC236}">
              <a16:creationId xmlns:a16="http://schemas.microsoft.com/office/drawing/2014/main" id="{FA4211EE-2276-44D1-A50E-C7D3380A5BC3}"/>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82440" y="31838900"/>
          <a:ext cx="1912786" cy="898522"/>
        </a:xfrm>
        <a:prstGeom prst="rect">
          <a:avLst/>
        </a:prstGeom>
      </xdr:spPr>
    </xdr:pic>
    <xdr:clientData/>
  </xdr:oneCellAnchor>
  <xdr:oneCellAnchor>
    <xdr:from>
      <xdr:col>7</xdr:col>
      <xdr:colOff>15240</xdr:colOff>
      <xdr:row>208</xdr:row>
      <xdr:rowOff>154940</xdr:rowOff>
    </xdr:from>
    <xdr:ext cx="1912786" cy="898522"/>
    <xdr:pic>
      <xdr:nvPicPr>
        <xdr:cNvPr id="9" name="Picture 8">
          <a:extLst>
            <a:ext uri="{FF2B5EF4-FFF2-40B4-BE49-F238E27FC236}">
              <a16:creationId xmlns:a16="http://schemas.microsoft.com/office/drawing/2014/main" id="{09C00BAA-EC81-4828-A0F8-E831A1E95477}"/>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82440" y="33439100"/>
          <a:ext cx="1912786" cy="898522"/>
        </a:xfrm>
        <a:prstGeom prst="rect">
          <a:avLst/>
        </a:prstGeom>
      </xdr:spPr>
    </xdr:pic>
    <xdr:clientData/>
  </xdr:oneCellAnchor>
  <xdr:oneCellAnchor>
    <xdr:from>
      <xdr:col>7</xdr:col>
      <xdr:colOff>15240</xdr:colOff>
      <xdr:row>218</xdr:row>
      <xdr:rowOff>154940</xdr:rowOff>
    </xdr:from>
    <xdr:ext cx="1912786" cy="898522"/>
    <xdr:pic>
      <xdr:nvPicPr>
        <xdr:cNvPr id="10" name="Picture 9">
          <a:extLst>
            <a:ext uri="{FF2B5EF4-FFF2-40B4-BE49-F238E27FC236}">
              <a16:creationId xmlns:a16="http://schemas.microsoft.com/office/drawing/2014/main" id="{2649FDEC-3F37-43C3-9A5F-26A9476CC88A}"/>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2440" y="35039300"/>
          <a:ext cx="1912786" cy="898522"/>
        </a:xfrm>
        <a:prstGeom prst="rect">
          <a:avLst/>
        </a:prstGeom>
      </xdr:spPr>
    </xdr:pic>
    <xdr:clientData/>
  </xdr:oneCellAnchor>
  <xdr:oneCellAnchor>
    <xdr:from>
      <xdr:col>7</xdr:col>
      <xdr:colOff>15240</xdr:colOff>
      <xdr:row>228</xdr:row>
      <xdr:rowOff>154940</xdr:rowOff>
    </xdr:from>
    <xdr:ext cx="1912786" cy="898522"/>
    <xdr:pic>
      <xdr:nvPicPr>
        <xdr:cNvPr id="11" name="Picture 10">
          <a:extLst>
            <a:ext uri="{FF2B5EF4-FFF2-40B4-BE49-F238E27FC236}">
              <a16:creationId xmlns:a16="http://schemas.microsoft.com/office/drawing/2014/main" id="{873C5C66-9058-44B4-A7A5-3D5471811DC6}"/>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82440" y="36639500"/>
          <a:ext cx="1912786" cy="898522"/>
        </a:xfrm>
        <a:prstGeom prst="rect">
          <a:avLst/>
        </a:prstGeom>
      </xdr:spPr>
    </xdr:pic>
    <xdr:clientData/>
  </xdr:oneCellAnchor>
  <xdr:oneCellAnchor>
    <xdr:from>
      <xdr:col>7</xdr:col>
      <xdr:colOff>15240</xdr:colOff>
      <xdr:row>238</xdr:row>
      <xdr:rowOff>154940</xdr:rowOff>
    </xdr:from>
    <xdr:ext cx="1912786" cy="898522"/>
    <xdr:pic>
      <xdr:nvPicPr>
        <xdr:cNvPr id="12" name="Picture 11">
          <a:extLst>
            <a:ext uri="{FF2B5EF4-FFF2-40B4-BE49-F238E27FC236}">
              <a16:creationId xmlns:a16="http://schemas.microsoft.com/office/drawing/2014/main" id="{4C2060C6-35C5-420E-AEA7-2972BECB702A}"/>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82440" y="38239700"/>
          <a:ext cx="1912786" cy="898522"/>
        </a:xfrm>
        <a:prstGeom prst="rect">
          <a:avLst/>
        </a:prstGeom>
      </xdr:spPr>
    </xdr:pic>
    <xdr:clientData/>
  </xdr:oneCellAnchor>
  <xdr:oneCellAnchor>
    <xdr:from>
      <xdr:col>7</xdr:col>
      <xdr:colOff>15240</xdr:colOff>
      <xdr:row>248</xdr:row>
      <xdr:rowOff>154940</xdr:rowOff>
    </xdr:from>
    <xdr:ext cx="1912786" cy="898522"/>
    <xdr:pic>
      <xdr:nvPicPr>
        <xdr:cNvPr id="13" name="Picture 12">
          <a:extLst>
            <a:ext uri="{FF2B5EF4-FFF2-40B4-BE49-F238E27FC236}">
              <a16:creationId xmlns:a16="http://schemas.microsoft.com/office/drawing/2014/main" id="{81E8D412-AA20-4BB5-9291-3E71ED12AC7F}"/>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82440" y="39839900"/>
          <a:ext cx="1912786" cy="898522"/>
        </a:xfrm>
        <a:prstGeom prst="rect">
          <a:avLst/>
        </a:prstGeom>
      </xdr:spPr>
    </xdr:pic>
    <xdr:clientData/>
  </xdr:oneCellAnchor>
  <xdr:oneCellAnchor>
    <xdr:from>
      <xdr:col>7</xdr:col>
      <xdr:colOff>15240</xdr:colOff>
      <xdr:row>258</xdr:row>
      <xdr:rowOff>154940</xdr:rowOff>
    </xdr:from>
    <xdr:ext cx="1912786" cy="898522"/>
    <xdr:pic>
      <xdr:nvPicPr>
        <xdr:cNvPr id="14" name="Picture 13">
          <a:extLst>
            <a:ext uri="{FF2B5EF4-FFF2-40B4-BE49-F238E27FC236}">
              <a16:creationId xmlns:a16="http://schemas.microsoft.com/office/drawing/2014/main" id="{029C41D7-94B4-46D2-9C77-144AD57D26BB}"/>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82440" y="41440100"/>
          <a:ext cx="1912786" cy="898522"/>
        </a:xfrm>
        <a:prstGeom prst="rect">
          <a:avLst/>
        </a:prstGeom>
      </xdr:spPr>
    </xdr:pic>
    <xdr:clientData/>
  </xdr:oneCellAnchor>
  <xdr:oneCellAnchor>
    <xdr:from>
      <xdr:col>7</xdr:col>
      <xdr:colOff>15240</xdr:colOff>
      <xdr:row>268</xdr:row>
      <xdr:rowOff>154940</xdr:rowOff>
    </xdr:from>
    <xdr:ext cx="1912786" cy="898522"/>
    <xdr:pic>
      <xdr:nvPicPr>
        <xdr:cNvPr id="15" name="Picture 14">
          <a:extLst>
            <a:ext uri="{FF2B5EF4-FFF2-40B4-BE49-F238E27FC236}">
              <a16:creationId xmlns:a16="http://schemas.microsoft.com/office/drawing/2014/main" id="{9A661E53-E255-4A9C-AD9F-58A7B2A6ED18}"/>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82440" y="43040300"/>
          <a:ext cx="1912786" cy="898522"/>
        </a:xfrm>
        <a:prstGeom prst="rect">
          <a:avLst/>
        </a:prstGeom>
      </xdr:spPr>
    </xdr:pic>
    <xdr:clientData/>
  </xdr:oneCellAnchor>
  <xdr:oneCellAnchor>
    <xdr:from>
      <xdr:col>7</xdr:col>
      <xdr:colOff>15240</xdr:colOff>
      <xdr:row>278</xdr:row>
      <xdr:rowOff>154940</xdr:rowOff>
    </xdr:from>
    <xdr:ext cx="1912786" cy="898522"/>
    <xdr:pic>
      <xdr:nvPicPr>
        <xdr:cNvPr id="16" name="Picture 15">
          <a:extLst>
            <a:ext uri="{FF2B5EF4-FFF2-40B4-BE49-F238E27FC236}">
              <a16:creationId xmlns:a16="http://schemas.microsoft.com/office/drawing/2014/main" id="{74F9106C-89AB-4CA5-9B7A-1E17C4581A8D}"/>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82440" y="44640500"/>
          <a:ext cx="1912786" cy="898522"/>
        </a:xfrm>
        <a:prstGeom prst="rect">
          <a:avLst/>
        </a:prstGeom>
      </xdr:spPr>
    </xdr:pic>
    <xdr:clientData/>
  </xdr:oneCellAnchor>
  <xdr:oneCellAnchor>
    <xdr:from>
      <xdr:col>7</xdr:col>
      <xdr:colOff>15240</xdr:colOff>
      <xdr:row>288</xdr:row>
      <xdr:rowOff>154940</xdr:rowOff>
    </xdr:from>
    <xdr:ext cx="1912786" cy="898522"/>
    <xdr:pic>
      <xdr:nvPicPr>
        <xdr:cNvPr id="17" name="Picture 16">
          <a:extLst>
            <a:ext uri="{FF2B5EF4-FFF2-40B4-BE49-F238E27FC236}">
              <a16:creationId xmlns:a16="http://schemas.microsoft.com/office/drawing/2014/main" id="{243F690F-6B7E-4E58-BE60-FDFA79821C48}"/>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82440" y="46240700"/>
          <a:ext cx="1912786" cy="898522"/>
        </a:xfrm>
        <a:prstGeom prst="rect">
          <a:avLst/>
        </a:prstGeom>
      </xdr:spPr>
    </xdr:pic>
    <xdr:clientData/>
  </xdr:oneCellAnchor>
  <xdr:oneCellAnchor>
    <xdr:from>
      <xdr:col>7</xdr:col>
      <xdr:colOff>15240</xdr:colOff>
      <xdr:row>298</xdr:row>
      <xdr:rowOff>154940</xdr:rowOff>
    </xdr:from>
    <xdr:ext cx="1912786" cy="898522"/>
    <xdr:pic>
      <xdr:nvPicPr>
        <xdr:cNvPr id="18" name="Picture 17">
          <a:extLst>
            <a:ext uri="{FF2B5EF4-FFF2-40B4-BE49-F238E27FC236}">
              <a16:creationId xmlns:a16="http://schemas.microsoft.com/office/drawing/2014/main" id="{BAC6ED3D-6E03-49AB-84E7-1622386C878F}"/>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82440" y="47840900"/>
          <a:ext cx="1912786" cy="898522"/>
        </a:xfrm>
        <a:prstGeom prst="rect">
          <a:avLst/>
        </a:prstGeom>
      </xdr:spPr>
    </xdr:pic>
    <xdr:clientData/>
  </xdr:oneCellAnchor>
  <xdr:oneCellAnchor>
    <xdr:from>
      <xdr:col>7</xdr:col>
      <xdr:colOff>15240</xdr:colOff>
      <xdr:row>308</xdr:row>
      <xdr:rowOff>154940</xdr:rowOff>
    </xdr:from>
    <xdr:ext cx="1912786" cy="898522"/>
    <xdr:pic>
      <xdr:nvPicPr>
        <xdr:cNvPr id="19" name="Picture 18">
          <a:extLst>
            <a:ext uri="{FF2B5EF4-FFF2-40B4-BE49-F238E27FC236}">
              <a16:creationId xmlns:a16="http://schemas.microsoft.com/office/drawing/2014/main" id="{AEFE2330-8986-46F2-BD60-BD28BC1136E7}"/>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82440" y="49441100"/>
          <a:ext cx="1912786" cy="898522"/>
        </a:xfrm>
        <a:prstGeom prst="rect">
          <a:avLst/>
        </a:prstGeom>
      </xdr:spPr>
    </xdr:pic>
    <xdr:clientData/>
  </xdr:oneCellAnchor>
  <xdr:oneCellAnchor>
    <xdr:from>
      <xdr:col>7</xdr:col>
      <xdr:colOff>15240</xdr:colOff>
      <xdr:row>318</xdr:row>
      <xdr:rowOff>154940</xdr:rowOff>
    </xdr:from>
    <xdr:ext cx="1912786" cy="898522"/>
    <xdr:pic>
      <xdr:nvPicPr>
        <xdr:cNvPr id="20" name="Picture 19">
          <a:extLst>
            <a:ext uri="{FF2B5EF4-FFF2-40B4-BE49-F238E27FC236}">
              <a16:creationId xmlns:a16="http://schemas.microsoft.com/office/drawing/2014/main" id="{CBA5794F-3E4E-4FD3-B3D0-383C6894484D}"/>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282440" y="51041300"/>
          <a:ext cx="1912786" cy="898522"/>
        </a:xfrm>
        <a:prstGeom prst="rect">
          <a:avLst/>
        </a:prstGeom>
      </xdr:spPr>
    </xdr:pic>
    <xdr:clientData/>
  </xdr:oneCellAnchor>
  <xdr:oneCellAnchor>
    <xdr:from>
      <xdr:col>7</xdr:col>
      <xdr:colOff>15240</xdr:colOff>
      <xdr:row>328</xdr:row>
      <xdr:rowOff>154940</xdr:rowOff>
    </xdr:from>
    <xdr:ext cx="1912786" cy="898522"/>
    <xdr:pic>
      <xdr:nvPicPr>
        <xdr:cNvPr id="21" name="Picture 20">
          <a:extLst>
            <a:ext uri="{FF2B5EF4-FFF2-40B4-BE49-F238E27FC236}">
              <a16:creationId xmlns:a16="http://schemas.microsoft.com/office/drawing/2014/main" id="{82151AFC-668C-4996-8B8E-9B27007F6661}"/>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82440" y="52641500"/>
          <a:ext cx="1912786" cy="898522"/>
        </a:xfrm>
        <a:prstGeom prst="rect">
          <a:avLst/>
        </a:prstGeom>
      </xdr:spPr>
    </xdr:pic>
    <xdr:clientData/>
  </xdr:oneCellAnchor>
  <xdr:oneCellAnchor>
    <xdr:from>
      <xdr:col>7</xdr:col>
      <xdr:colOff>15240</xdr:colOff>
      <xdr:row>338</xdr:row>
      <xdr:rowOff>154940</xdr:rowOff>
    </xdr:from>
    <xdr:ext cx="1912786" cy="898522"/>
    <xdr:pic>
      <xdr:nvPicPr>
        <xdr:cNvPr id="22" name="Picture 21">
          <a:extLst>
            <a:ext uri="{FF2B5EF4-FFF2-40B4-BE49-F238E27FC236}">
              <a16:creationId xmlns:a16="http://schemas.microsoft.com/office/drawing/2014/main" id="{FD502EB2-84F6-43CC-AE0F-6362C3375744}"/>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82440" y="54241700"/>
          <a:ext cx="1912786" cy="898522"/>
        </a:xfrm>
        <a:prstGeom prst="rect">
          <a:avLst/>
        </a:prstGeom>
      </xdr:spPr>
    </xdr:pic>
    <xdr:clientData/>
  </xdr:oneCellAnchor>
  <xdr:oneCellAnchor>
    <xdr:from>
      <xdr:col>7</xdr:col>
      <xdr:colOff>15240</xdr:colOff>
      <xdr:row>348</xdr:row>
      <xdr:rowOff>154940</xdr:rowOff>
    </xdr:from>
    <xdr:ext cx="1912786" cy="898522"/>
    <xdr:pic>
      <xdr:nvPicPr>
        <xdr:cNvPr id="23" name="Picture 22">
          <a:extLst>
            <a:ext uri="{FF2B5EF4-FFF2-40B4-BE49-F238E27FC236}">
              <a16:creationId xmlns:a16="http://schemas.microsoft.com/office/drawing/2014/main" id="{DF25AB37-3686-40BE-AA90-67C801FD0ED8}"/>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282440" y="55841900"/>
          <a:ext cx="1912786" cy="898522"/>
        </a:xfrm>
        <a:prstGeom prst="rect">
          <a:avLst/>
        </a:prstGeom>
      </xdr:spPr>
    </xdr:pic>
    <xdr:clientData/>
  </xdr:oneCellAnchor>
  <xdr:oneCellAnchor>
    <xdr:from>
      <xdr:col>7</xdr:col>
      <xdr:colOff>15240</xdr:colOff>
      <xdr:row>358</xdr:row>
      <xdr:rowOff>154940</xdr:rowOff>
    </xdr:from>
    <xdr:ext cx="1912786" cy="898522"/>
    <xdr:pic>
      <xdr:nvPicPr>
        <xdr:cNvPr id="24" name="Picture 23">
          <a:extLst>
            <a:ext uri="{FF2B5EF4-FFF2-40B4-BE49-F238E27FC236}">
              <a16:creationId xmlns:a16="http://schemas.microsoft.com/office/drawing/2014/main" id="{B983FB1C-4246-480D-AA03-61725893E49B}"/>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282440" y="57442100"/>
          <a:ext cx="1912786" cy="898522"/>
        </a:xfrm>
        <a:prstGeom prst="rect">
          <a:avLst/>
        </a:prstGeom>
      </xdr:spPr>
    </xdr:pic>
    <xdr:clientData/>
  </xdr:oneCellAnchor>
  <xdr:oneCellAnchor>
    <xdr:from>
      <xdr:col>7</xdr:col>
      <xdr:colOff>15240</xdr:colOff>
      <xdr:row>368</xdr:row>
      <xdr:rowOff>154940</xdr:rowOff>
    </xdr:from>
    <xdr:ext cx="1912786" cy="898522"/>
    <xdr:pic>
      <xdr:nvPicPr>
        <xdr:cNvPr id="25" name="Picture 24">
          <a:extLst>
            <a:ext uri="{FF2B5EF4-FFF2-40B4-BE49-F238E27FC236}">
              <a16:creationId xmlns:a16="http://schemas.microsoft.com/office/drawing/2014/main" id="{F18185B5-DFDC-406E-9527-BE1AACF33F89}"/>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282440" y="59042300"/>
          <a:ext cx="1912786" cy="898522"/>
        </a:xfrm>
        <a:prstGeom prst="rect">
          <a:avLst/>
        </a:prstGeom>
      </xdr:spPr>
    </xdr:pic>
    <xdr:clientData/>
  </xdr:oneCellAnchor>
  <xdr:oneCellAnchor>
    <xdr:from>
      <xdr:col>7</xdr:col>
      <xdr:colOff>15240</xdr:colOff>
      <xdr:row>378</xdr:row>
      <xdr:rowOff>154940</xdr:rowOff>
    </xdr:from>
    <xdr:ext cx="1912786" cy="898522"/>
    <xdr:pic>
      <xdr:nvPicPr>
        <xdr:cNvPr id="26" name="Picture 25">
          <a:extLst>
            <a:ext uri="{FF2B5EF4-FFF2-40B4-BE49-F238E27FC236}">
              <a16:creationId xmlns:a16="http://schemas.microsoft.com/office/drawing/2014/main" id="{91A7FCB5-D5C6-4D84-A6D7-9997CD48E53C}"/>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282440" y="60642500"/>
          <a:ext cx="1912786" cy="898522"/>
        </a:xfrm>
        <a:prstGeom prst="rect">
          <a:avLst/>
        </a:prstGeom>
      </xdr:spPr>
    </xdr:pic>
    <xdr:clientData/>
  </xdr:oneCellAnchor>
  <xdr:oneCellAnchor>
    <xdr:from>
      <xdr:col>7</xdr:col>
      <xdr:colOff>15240</xdr:colOff>
      <xdr:row>388</xdr:row>
      <xdr:rowOff>154940</xdr:rowOff>
    </xdr:from>
    <xdr:ext cx="1912786" cy="898522"/>
    <xdr:pic>
      <xdr:nvPicPr>
        <xdr:cNvPr id="27" name="Picture 26">
          <a:extLst>
            <a:ext uri="{FF2B5EF4-FFF2-40B4-BE49-F238E27FC236}">
              <a16:creationId xmlns:a16="http://schemas.microsoft.com/office/drawing/2014/main" id="{F1EFA4A2-FEB5-41B0-AD9C-F20F7DAE50A6}"/>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82440" y="62242700"/>
          <a:ext cx="1912786" cy="898522"/>
        </a:xfrm>
        <a:prstGeom prst="rect">
          <a:avLst/>
        </a:prstGeom>
      </xdr:spPr>
    </xdr:pic>
    <xdr:clientData/>
  </xdr:oneCellAnchor>
  <xdr:oneCellAnchor>
    <xdr:from>
      <xdr:col>7</xdr:col>
      <xdr:colOff>15240</xdr:colOff>
      <xdr:row>398</xdr:row>
      <xdr:rowOff>154940</xdr:rowOff>
    </xdr:from>
    <xdr:ext cx="1912786" cy="898522"/>
    <xdr:pic>
      <xdr:nvPicPr>
        <xdr:cNvPr id="28" name="Picture 27">
          <a:extLst>
            <a:ext uri="{FF2B5EF4-FFF2-40B4-BE49-F238E27FC236}">
              <a16:creationId xmlns:a16="http://schemas.microsoft.com/office/drawing/2014/main" id="{783B761F-4183-4709-A81D-F02EB1CBBBA1}"/>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282440" y="63842900"/>
          <a:ext cx="1912786" cy="898522"/>
        </a:xfrm>
        <a:prstGeom prst="rect">
          <a:avLst/>
        </a:prstGeom>
      </xdr:spPr>
    </xdr:pic>
    <xdr:clientData/>
  </xdr:oneCellAnchor>
  <xdr:oneCellAnchor>
    <xdr:from>
      <xdr:col>7</xdr:col>
      <xdr:colOff>15240</xdr:colOff>
      <xdr:row>408</xdr:row>
      <xdr:rowOff>154940</xdr:rowOff>
    </xdr:from>
    <xdr:ext cx="1912786" cy="898522"/>
    <xdr:pic>
      <xdr:nvPicPr>
        <xdr:cNvPr id="29" name="Picture 28">
          <a:extLst>
            <a:ext uri="{FF2B5EF4-FFF2-40B4-BE49-F238E27FC236}">
              <a16:creationId xmlns:a16="http://schemas.microsoft.com/office/drawing/2014/main" id="{5B0A55B1-E915-47EF-908F-E2BD10503E8D}"/>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82440" y="65443100"/>
          <a:ext cx="1912786" cy="898522"/>
        </a:xfrm>
        <a:prstGeom prst="rect">
          <a:avLst/>
        </a:prstGeom>
      </xdr:spPr>
    </xdr:pic>
    <xdr:clientData/>
  </xdr:oneCellAnchor>
  <xdr:oneCellAnchor>
    <xdr:from>
      <xdr:col>7</xdr:col>
      <xdr:colOff>15240</xdr:colOff>
      <xdr:row>418</xdr:row>
      <xdr:rowOff>154940</xdr:rowOff>
    </xdr:from>
    <xdr:ext cx="1912786" cy="898522"/>
    <xdr:pic>
      <xdr:nvPicPr>
        <xdr:cNvPr id="30" name="Picture 29">
          <a:extLst>
            <a:ext uri="{FF2B5EF4-FFF2-40B4-BE49-F238E27FC236}">
              <a16:creationId xmlns:a16="http://schemas.microsoft.com/office/drawing/2014/main" id="{8D0B3313-C66B-4E0B-B6AE-EAAFDAE4A4BE}"/>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82440" y="67043300"/>
          <a:ext cx="1912786" cy="898522"/>
        </a:xfrm>
        <a:prstGeom prst="rect">
          <a:avLst/>
        </a:prstGeom>
      </xdr:spPr>
    </xdr:pic>
    <xdr:clientData/>
  </xdr:oneCellAnchor>
  <xdr:oneCellAnchor>
    <xdr:from>
      <xdr:col>7</xdr:col>
      <xdr:colOff>15240</xdr:colOff>
      <xdr:row>428</xdr:row>
      <xdr:rowOff>154940</xdr:rowOff>
    </xdr:from>
    <xdr:ext cx="1912786" cy="898522"/>
    <xdr:pic>
      <xdr:nvPicPr>
        <xdr:cNvPr id="31" name="Picture 30">
          <a:extLst>
            <a:ext uri="{FF2B5EF4-FFF2-40B4-BE49-F238E27FC236}">
              <a16:creationId xmlns:a16="http://schemas.microsoft.com/office/drawing/2014/main" id="{0F448E20-AE70-4EF0-B6DE-87344FA5A43E}"/>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282440" y="68643500"/>
          <a:ext cx="1912786" cy="898522"/>
        </a:xfrm>
        <a:prstGeom prst="rect">
          <a:avLst/>
        </a:prstGeom>
      </xdr:spPr>
    </xdr:pic>
    <xdr:clientData/>
  </xdr:oneCellAnchor>
  <xdr:oneCellAnchor>
    <xdr:from>
      <xdr:col>7</xdr:col>
      <xdr:colOff>15240</xdr:colOff>
      <xdr:row>438</xdr:row>
      <xdr:rowOff>154940</xdr:rowOff>
    </xdr:from>
    <xdr:ext cx="1912786" cy="898522"/>
    <xdr:pic>
      <xdr:nvPicPr>
        <xdr:cNvPr id="32" name="Picture 31">
          <a:extLst>
            <a:ext uri="{FF2B5EF4-FFF2-40B4-BE49-F238E27FC236}">
              <a16:creationId xmlns:a16="http://schemas.microsoft.com/office/drawing/2014/main" id="{593ECF23-4EB1-4DC6-BA2D-F1FF52D74320}"/>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282440" y="70243700"/>
          <a:ext cx="1912786" cy="898522"/>
        </a:xfrm>
        <a:prstGeom prst="rect">
          <a:avLst/>
        </a:prstGeom>
      </xdr:spPr>
    </xdr:pic>
    <xdr:clientData/>
  </xdr:oneCellAnchor>
  <xdr:oneCellAnchor>
    <xdr:from>
      <xdr:col>7</xdr:col>
      <xdr:colOff>15240</xdr:colOff>
      <xdr:row>448</xdr:row>
      <xdr:rowOff>154940</xdr:rowOff>
    </xdr:from>
    <xdr:ext cx="1912786" cy="898522"/>
    <xdr:pic>
      <xdr:nvPicPr>
        <xdr:cNvPr id="33" name="Picture 32">
          <a:extLst>
            <a:ext uri="{FF2B5EF4-FFF2-40B4-BE49-F238E27FC236}">
              <a16:creationId xmlns:a16="http://schemas.microsoft.com/office/drawing/2014/main" id="{09483E26-B998-41BD-9A3B-959F8D7D8E70}"/>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82440" y="71843900"/>
          <a:ext cx="1912786" cy="898522"/>
        </a:xfrm>
        <a:prstGeom prst="rect">
          <a:avLst/>
        </a:prstGeom>
      </xdr:spPr>
    </xdr:pic>
    <xdr:clientData/>
  </xdr:oneCellAnchor>
  <xdr:oneCellAnchor>
    <xdr:from>
      <xdr:col>7</xdr:col>
      <xdr:colOff>15240</xdr:colOff>
      <xdr:row>461</xdr:row>
      <xdr:rowOff>0</xdr:rowOff>
    </xdr:from>
    <xdr:ext cx="1912786" cy="898522"/>
    <xdr:pic>
      <xdr:nvPicPr>
        <xdr:cNvPr id="34" name="Picture 33">
          <a:extLst>
            <a:ext uri="{FF2B5EF4-FFF2-40B4-BE49-F238E27FC236}">
              <a16:creationId xmlns:a16="http://schemas.microsoft.com/office/drawing/2014/main" id="{D632D55F-1726-4352-B451-6BD80C2D12D9}"/>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282440" y="73769220"/>
          <a:ext cx="1912786" cy="898522"/>
        </a:xfrm>
        <a:prstGeom prst="rect">
          <a:avLst/>
        </a:prstGeom>
      </xdr:spPr>
    </xdr:pic>
    <xdr:clientData/>
  </xdr:oneCellAnchor>
  <xdr:oneCellAnchor>
    <xdr:from>
      <xdr:col>7</xdr:col>
      <xdr:colOff>15240</xdr:colOff>
      <xdr:row>471</xdr:row>
      <xdr:rowOff>0</xdr:rowOff>
    </xdr:from>
    <xdr:ext cx="1912786" cy="898522"/>
    <xdr:pic>
      <xdr:nvPicPr>
        <xdr:cNvPr id="35" name="Picture 34">
          <a:extLst>
            <a:ext uri="{FF2B5EF4-FFF2-40B4-BE49-F238E27FC236}">
              <a16:creationId xmlns:a16="http://schemas.microsoft.com/office/drawing/2014/main" id="{DC5569AA-EE55-4848-94CE-1125CD3FBE40}"/>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282440" y="75369420"/>
          <a:ext cx="1912786" cy="898522"/>
        </a:xfrm>
        <a:prstGeom prst="rect">
          <a:avLst/>
        </a:prstGeom>
      </xdr:spPr>
    </xdr:pic>
    <xdr:clientData/>
  </xdr:oneCellAnchor>
  <xdr:oneCellAnchor>
    <xdr:from>
      <xdr:col>7</xdr:col>
      <xdr:colOff>15240</xdr:colOff>
      <xdr:row>481</xdr:row>
      <xdr:rowOff>0</xdr:rowOff>
    </xdr:from>
    <xdr:ext cx="1912786" cy="898522"/>
    <xdr:pic>
      <xdr:nvPicPr>
        <xdr:cNvPr id="36" name="Picture 35">
          <a:extLst>
            <a:ext uri="{FF2B5EF4-FFF2-40B4-BE49-F238E27FC236}">
              <a16:creationId xmlns:a16="http://schemas.microsoft.com/office/drawing/2014/main" id="{F18AF6FF-DD33-45F6-9B20-92B2800C781C}"/>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82440" y="76969620"/>
          <a:ext cx="1912786" cy="898522"/>
        </a:xfrm>
        <a:prstGeom prst="rect">
          <a:avLst/>
        </a:prstGeom>
      </xdr:spPr>
    </xdr:pic>
    <xdr:clientData/>
  </xdr:oneCellAnchor>
  <xdr:oneCellAnchor>
    <xdr:from>
      <xdr:col>7</xdr:col>
      <xdr:colOff>15240</xdr:colOff>
      <xdr:row>491</xdr:row>
      <xdr:rowOff>0</xdr:rowOff>
    </xdr:from>
    <xdr:ext cx="1912786" cy="898522"/>
    <xdr:pic>
      <xdr:nvPicPr>
        <xdr:cNvPr id="37" name="Picture 36">
          <a:extLst>
            <a:ext uri="{FF2B5EF4-FFF2-40B4-BE49-F238E27FC236}">
              <a16:creationId xmlns:a16="http://schemas.microsoft.com/office/drawing/2014/main" id="{ADCE13EA-DBBB-49C2-BAE6-45344A362CF7}"/>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282440" y="78569820"/>
          <a:ext cx="1912786" cy="898522"/>
        </a:xfrm>
        <a:prstGeom prst="rect">
          <a:avLst/>
        </a:prstGeom>
      </xdr:spPr>
    </xdr:pic>
    <xdr:clientData/>
  </xdr:oneCellAnchor>
  <xdr:oneCellAnchor>
    <xdr:from>
      <xdr:col>7</xdr:col>
      <xdr:colOff>15240</xdr:colOff>
      <xdr:row>501</xdr:row>
      <xdr:rowOff>0</xdr:rowOff>
    </xdr:from>
    <xdr:ext cx="1912786" cy="898522"/>
    <xdr:pic>
      <xdr:nvPicPr>
        <xdr:cNvPr id="38" name="Picture 37">
          <a:extLst>
            <a:ext uri="{FF2B5EF4-FFF2-40B4-BE49-F238E27FC236}">
              <a16:creationId xmlns:a16="http://schemas.microsoft.com/office/drawing/2014/main" id="{E23993BD-3158-43A2-9469-CDE3E54BFACF}"/>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282440" y="80170020"/>
          <a:ext cx="1912786" cy="898522"/>
        </a:xfrm>
        <a:prstGeom prst="rect">
          <a:avLst/>
        </a:prstGeom>
      </xdr:spPr>
    </xdr:pic>
    <xdr:clientData/>
  </xdr:oneCellAnchor>
  <xdr:oneCellAnchor>
    <xdr:from>
      <xdr:col>7</xdr:col>
      <xdr:colOff>15240</xdr:colOff>
      <xdr:row>511</xdr:row>
      <xdr:rowOff>0</xdr:rowOff>
    </xdr:from>
    <xdr:ext cx="1912786" cy="898522"/>
    <xdr:pic>
      <xdr:nvPicPr>
        <xdr:cNvPr id="39" name="Picture 38">
          <a:extLst>
            <a:ext uri="{FF2B5EF4-FFF2-40B4-BE49-F238E27FC236}">
              <a16:creationId xmlns:a16="http://schemas.microsoft.com/office/drawing/2014/main" id="{0D601DD3-423F-44CE-B3D8-79BFE47822B1}"/>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282440" y="81770220"/>
          <a:ext cx="1912786" cy="898522"/>
        </a:xfrm>
        <a:prstGeom prst="rect">
          <a:avLst/>
        </a:prstGeom>
      </xdr:spPr>
    </xdr:pic>
    <xdr:clientData/>
  </xdr:oneCellAnchor>
  <xdr:oneCellAnchor>
    <xdr:from>
      <xdr:col>7</xdr:col>
      <xdr:colOff>15240</xdr:colOff>
      <xdr:row>521</xdr:row>
      <xdr:rowOff>0</xdr:rowOff>
    </xdr:from>
    <xdr:ext cx="1912786" cy="898522"/>
    <xdr:pic>
      <xdr:nvPicPr>
        <xdr:cNvPr id="40" name="Picture 39">
          <a:extLst>
            <a:ext uri="{FF2B5EF4-FFF2-40B4-BE49-F238E27FC236}">
              <a16:creationId xmlns:a16="http://schemas.microsoft.com/office/drawing/2014/main" id="{A902F475-E299-42EF-8B81-D66A931FC420}"/>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282440" y="83370420"/>
          <a:ext cx="1912786" cy="898522"/>
        </a:xfrm>
        <a:prstGeom prst="rect">
          <a:avLst/>
        </a:prstGeom>
      </xdr:spPr>
    </xdr:pic>
    <xdr:clientData/>
  </xdr:oneCellAnchor>
  <xdr:oneCellAnchor>
    <xdr:from>
      <xdr:col>7</xdr:col>
      <xdr:colOff>15240</xdr:colOff>
      <xdr:row>531</xdr:row>
      <xdr:rowOff>0</xdr:rowOff>
    </xdr:from>
    <xdr:ext cx="1912786" cy="898522"/>
    <xdr:pic>
      <xdr:nvPicPr>
        <xdr:cNvPr id="41" name="Picture 40">
          <a:extLst>
            <a:ext uri="{FF2B5EF4-FFF2-40B4-BE49-F238E27FC236}">
              <a16:creationId xmlns:a16="http://schemas.microsoft.com/office/drawing/2014/main" id="{960FC208-1373-411E-AC1F-A69499497D5A}"/>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282440" y="84970620"/>
          <a:ext cx="1912786" cy="898522"/>
        </a:xfrm>
        <a:prstGeom prst="rect">
          <a:avLst/>
        </a:prstGeom>
      </xdr:spPr>
    </xdr:pic>
    <xdr:clientData/>
  </xdr:oneCellAnchor>
  <xdr:oneCellAnchor>
    <xdr:from>
      <xdr:col>7</xdr:col>
      <xdr:colOff>15240</xdr:colOff>
      <xdr:row>541</xdr:row>
      <xdr:rowOff>0</xdr:rowOff>
    </xdr:from>
    <xdr:ext cx="1912786" cy="898522"/>
    <xdr:pic>
      <xdr:nvPicPr>
        <xdr:cNvPr id="42" name="Picture 41">
          <a:extLst>
            <a:ext uri="{FF2B5EF4-FFF2-40B4-BE49-F238E27FC236}">
              <a16:creationId xmlns:a16="http://schemas.microsoft.com/office/drawing/2014/main" id="{18A9CE9F-CCF7-47CB-B251-1919E5E74B44}"/>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282440" y="86570820"/>
          <a:ext cx="1912786" cy="898522"/>
        </a:xfrm>
        <a:prstGeom prst="rect">
          <a:avLst/>
        </a:prstGeom>
      </xdr:spPr>
    </xdr:pic>
    <xdr:clientData/>
  </xdr:oneCellAnchor>
  <xdr:oneCellAnchor>
    <xdr:from>
      <xdr:col>7</xdr:col>
      <xdr:colOff>15240</xdr:colOff>
      <xdr:row>551</xdr:row>
      <xdr:rowOff>0</xdr:rowOff>
    </xdr:from>
    <xdr:ext cx="1912786" cy="898522"/>
    <xdr:pic>
      <xdr:nvPicPr>
        <xdr:cNvPr id="43" name="Picture 42">
          <a:extLst>
            <a:ext uri="{FF2B5EF4-FFF2-40B4-BE49-F238E27FC236}">
              <a16:creationId xmlns:a16="http://schemas.microsoft.com/office/drawing/2014/main" id="{8CD4E657-B1B9-42C6-A6B6-DBFC41F09D68}"/>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282440" y="88171020"/>
          <a:ext cx="1912786" cy="898522"/>
        </a:xfrm>
        <a:prstGeom prst="rect">
          <a:avLst/>
        </a:prstGeom>
      </xdr:spPr>
    </xdr:pic>
    <xdr:clientData/>
  </xdr:oneCellAnchor>
  <xdr:oneCellAnchor>
    <xdr:from>
      <xdr:col>7</xdr:col>
      <xdr:colOff>15240</xdr:colOff>
      <xdr:row>561</xdr:row>
      <xdr:rowOff>0</xdr:rowOff>
    </xdr:from>
    <xdr:ext cx="1912786" cy="898522"/>
    <xdr:pic>
      <xdr:nvPicPr>
        <xdr:cNvPr id="44" name="Picture 43">
          <a:extLst>
            <a:ext uri="{FF2B5EF4-FFF2-40B4-BE49-F238E27FC236}">
              <a16:creationId xmlns:a16="http://schemas.microsoft.com/office/drawing/2014/main" id="{51A39E39-353E-4EE8-BA64-EBE501CD895E}"/>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282440" y="89771220"/>
          <a:ext cx="1912786" cy="898522"/>
        </a:xfrm>
        <a:prstGeom prst="rect">
          <a:avLst/>
        </a:prstGeom>
      </xdr:spPr>
    </xdr:pic>
    <xdr:clientData/>
  </xdr:oneCellAnchor>
  <xdr:oneCellAnchor>
    <xdr:from>
      <xdr:col>7</xdr:col>
      <xdr:colOff>15240</xdr:colOff>
      <xdr:row>571</xdr:row>
      <xdr:rowOff>0</xdr:rowOff>
    </xdr:from>
    <xdr:ext cx="1912786" cy="898522"/>
    <xdr:pic>
      <xdr:nvPicPr>
        <xdr:cNvPr id="45" name="Picture 44">
          <a:extLst>
            <a:ext uri="{FF2B5EF4-FFF2-40B4-BE49-F238E27FC236}">
              <a16:creationId xmlns:a16="http://schemas.microsoft.com/office/drawing/2014/main" id="{A5A0654E-5596-4061-A230-445D63A8813D}"/>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282440" y="91371420"/>
          <a:ext cx="1912786" cy="898522"/>
        </a:xfrm>
        <a:prstGeom prst="rect">
          <a:avLst/>
        </a:prstGeom>
      </xdr:spPr>
    </xdr:pic>
    <xdr:clientData/>
  </xdr:oneCellAnchor>
  <xdr:oneCellAnchor>
    <xdr:from>
      <xdr:col>7</xdr:col>
      <xdr:colOff>15240</xdr:colOff>
      <xdr:row>581</xdr:row>
      <xdr:rowOff>0</xdr:rowOff>
    </xdr:from>
    <xdr:ext cx="1912786" cy="898522"/>
    <xdr:pic>
      <xdr:nvPicPr>
        <xdr:cNvPr id="46" name="Picture 45">
          <a:extLst>
            <a:ext uri="{FF2B5EF4-FFF2-40B4-BE49-F238E27FC236}">
              <a16:creationId xmlns:a16="http://schemas.microsoft.com/office/drawing/2014/main" id="{63E1B734-EC61-42CE-9D6F-1EECDB5A72AF}"/>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282440" y="92971620"/>
          <a:ext cx="1912786" cy="898522"/>
        </a:xfrm>
        <a:prstGeom prst="rect">
          <a:avLst/>
        </a:prstGeom>
      </xdr:spPr>
    </xdr:pic>
    <xdr:clientData/>
  </xdr:oneCellAnchor>
  <xdr:oneCellAnchor>
    <xdr:from>
      <xdr:col>7</xdr:col>
      <xdr:colOff>15240</xdr:colOff>
      <xdr:row>591</xdr:row>
      <xdr:rowOff>0</xdr:rowOff>
    </xdr:from>
    <xdr:ext cx="1912786" cy="898522"/>
    <xdr:pic>
      <xdr:nvPicPr>
        <xdr:cNvPr id="47" name="Picture 46">
          <a:extLst>
            <a:ext uri="{FF2B5EF4-FFF2-40B4-BE49-F238E27FC236}">
              <a16:creationId xmlns:a16="http://schemas.microsoft.com/office/drawing/2014/main" id="{2ECCE0B2-350E-46DD-ABCC-F8A2352C78A7}"/>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282440" y="94571820"/>
          <a:ext cx="1912786" cy="898522"/>
        </a:xfrm>
        <a:prstGeom prst="rect">
          <a:avLst/>
        </a:prstGeom>
      </xdr:spPr>
    </xdr:pic>
    <xdr:clientData/>
  </xdr:oneCellAnchor>
  <xdr:oneCellAnchor>
    <xdr:from>
      <xdr:col>7</xdr:col>
      <xdr:colOff>15240</xdr:colOff>
      <xdr:row>601</xdr:row>
      <xdr:rowOff>0</xdr:rowOff>
    </xdr:from>
    <xdr:ext cx="1912786" cy="898522"/>
    <xdr:pic>
      <xdr:nvPicPr>
        <xdr:cNvPr id="48" name="Picture 47">
          <a:extLst>
            <a:ext uri="{FF2B5EF4-FFF2-40B4-BE49-F238E27FC236}">
              <a16:creationId xmlns:a16="http://schemas.microsoft.com/office/drawing/2014/main" id="{9EE8530B-50E2-43D7-B561-FC6E4533A75E}"/>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282440" y="96172020"/>
          <a:ext cx="1912786" cy="898522"/>
        </a:xfrm>
        <a:prstGeom prst="rect">
          <a:avLst/>
        </a:prstGeom>
      </xdr:spPr>
    </xdr:pic>
    <xdr:clientData/>
  </xdr:oneCellAnchor>
  <xdr:oneCellAnchor>
    <xdr:from>
      <xdr:col>7</xdr:col>
      <xdr:colOff>15240</xdr:colOff>
      <xdr:row>611</xdr:row>
      <xdr:rowOff>0</xdr:rowOff>
    </xdr:from>
    <xdr:ext cx="1912786" cy="898522"/>
    <xdr:pic>
      <xdr:nvPicPr>
        <xdr:cNvPr id="49" name="Picture 48">
          <a:extLst>
            <a:ext uri="{FF2B5EF4-FFF2-40B4-BE49-F238E27FC236}">
              <a16:creationId xmlns:a16="http://schemas.microsoft.com/office/drawing/2014/main" id="{FF41F293-51B8-4F0E-92F6-02BB2CBB6013}"/>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282440" y="97772220"/>
          <a:ext cx="1912786" cy="898522"/>
        </a:xfrm>
        <a:prstGeom prst="rect">
          <a:avLst/>
        </a:prstGeom>
      </xdr:spPr>
    </xdr:pic>
    <xdr:clientData/>
  </xdr:oneCellAnchor>
  <xdr:oneCellAnchor>
    <xdr:from>
      <xdr:col>7</xdr:col>
      <xdr:colOff>15240</xdr:colOff>
      <xdr:row>621</xdr:row>
      <xdr:rowOff>0</xdr:rowOff>
    </xdr:from>
    <xdr:ext cx="1912786" cy="898522"/>
    <xdr:pic>
      <xdr:nvPicPr>
        <xdr:cNvPr id="50" name="Picture 49">
          <a:extLst>
            <a:ext uri="{FF2B5EF4-FFF2-40B4-BE49-F238E27FC236}">
              <a16:creationId xmlns:a16="http://schemas.microsoft.com/office/drawing/2014/main" id="{C24C3F94-DAB4-4CA4-9507-3ED107B93704}"/>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282440" y="99372420"/>
          <a:ext cx="1912786" cy="898522"/>
        </a:xfrm>
        <a:prstGeom prst="rect">
          <a:avLst/>
        </a:prstGeom>
      </xdr:spPr>
    </xdr:pic>
    <xdr:clientData/>
  </xdr:oneCellAnchor>
  <xdr:oneCellAnchor>
    <xdr:from>
      <xdr:col>7</xdr:col>
      <xdr:colOff>15240</xdr:colOff>
      <xdr:row>631</xdr:row>
      <xdr:rowOff>0</xdr:rowOff>
    </xdr:from>
    <xdr:ext cx="1912786" cy="898522"/>
    <xdr:pic>
      <xdr:nvPicPr>
        <xdr:cNvPr id="51" name="Picture 50">
          <a:extLst>
            <a:ext uri="{FF2B5EF4-FFF2-40B4-BE49-F238E27FC236}">
              <a16:creationId xmlns:a16="http://schemas.microsoft.com/office/drawing/2014/main" id="{52881D1D-9C41-460A-BBF8-F76E6985369D}"/>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282440" y="100972620"/>
          <a:ext cx="1912786" cy="898522"/>
        </a:xfrm>
        <a:prstGeom prst="rect">
          <a:avLst/>
        </a:prstGeom>
      </xdr:spPr>
    </xdr:pic>
    <xdr:clientData/>
  </xdr:oneCellAnchor>
  <xdr:oneCellAnchor>
    <xdr:from>
      <xdr:col>7</xdr:col>
      <xdr:colOff>15240</xdr:colOff>
      <xdr:row>641</xdr:row>
      <xdr:rowOff>0</xdr:rowOff>
    </xdr:from>
    <xdr:ext cx="1912786" cy="898522"/>
    <xdr:pic>
      <xdr:nvPicPr>
        <xdr:cNvPr id="52" name="Picture 51">
          <a:extLst>
            <a:ext uri="{FF2B5EF4-FFF2-40B4-BE49-F238E27FC236}">
              <a16:creationId xmlns:a16="http://schemas.microsoft.com/office/drawing/2014/main" id="{96096D92-AB01-43FA-A2F1-DE6E9BE80C3B}"/>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282440" y="102572820"/>
          <a:ext cx="1912786" cy="898522"/>
        </a:xfrm>
        <a:prstGeom prst="rect">
          <a:avLst/>
        </a:prstGeom>
      </xdr:spPr>
    </xdr:pic>
    <xdr:clientData/>
  </xdr:oneCellAnchor>
  <xdr:oneCellAnchor>
    <xdr:from>
      <xdr:col>7</xdr:col>
      <xdr:colOff>15240</xdr:colOff>
      <xdr:row>651</xdr:row>
      <xdr:rowOff>0</xdr:rowOff>
    </xdr:from>
    <xdr:ext cx="1912786" cy="898522"/>
    <xdr:pic>
      <xdr:nvPicPr>
        <xdr:cNvPr id="53" name="Picture 52">
          <a:extLst>
            <a:ext uri="{FF2B5EF4-FFF2-40B4-BE49-F238E27FC236}">
              <a16:creationId xmlns:a16="http://schemas.microsoft.com/office/drawing/2014/main" id="{D7B97AF6-5280-4BB6-94F0-7C661CA089D9}"/>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282440" y="104173020"/>
          <a:ext cx="1912786" cy="898522"/>
        </a:xfrm>
        <a:prstGeom prst="rect">
          <a:avLst/>
        </a:prstGeom>
      </xdr:spPr>
    </xdr:pic>
    <xdr:clientData/>
  </xdr:oneCellAnchor>
  <xdr:oneCellAnchor>
    <xdr:from>
      <xdr:col>7</xdr:col>
      <xdr:colOff>15240</xdr:colOff>
      <xdr:row>661</xdr:row>
      <xdr:rowOff>0</xdr:rowOff>
    </xdr:from>
    <xdr:ext cx="1912786" cy="898522"/>
    <xdr:pic>
      <xdr:nvPicPr>
        <xdr:cNvPr id="54" name="Picture 53">
          <a:extLst>
            <a:ext uri="{FF2B5EF4-FFF2-40B4-BE49-F238E27FC236}">
              <a16:creationId xmlns:a16="http://schemas.microsoft.com/office/drawing/2014/main" id="{E2C6359E-425B-429B-95A2-FEE2BFD481AC}"/>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282440" y="105773220"/>
          <a:ext cx="1912786" cy="898522"/>
        </a:xfrm>
        <a:prstGeom prst="rect">
          <a:avLst/>
        </a:prstGeom>
      </xdr:spPr>
    </xdr:pic>
    <xdr:clientData/>
  </xdr:oneCellAnchor>
  <xdr:oneCellAnchor>
    <xdr:from>
      <xdr:col>7</xdr:col>
      <xdr:colOff>15240</xdr:colOff>
      <xdr:row>671</xdr:row>
      <xdr:rowOff>0</xdr:rowOff>
    </xdr:from>
    <xdr:ext cx="1912786" cy="898522"/>
    <xdr:pic>
      <xdr:nvPicPr>
        <xdr:cNvPr id="55" name="Picture 54">
          <a:extLst>
            <a:ext uri="{FF2B5EF4-FFF2-40B4-BE49-F238E27FC236}">
              <a16:creationId xmlns:a16="http://schemas.microsoft.com/office/drawing/2014/main" id="{130CC95A-8526-4CB2-A505-0FAA31E6874A}"/>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4282440" y="107373420"/>
          <a:ext cx="1912786" cy="898522"/>
        </a:xfrm>
        <a:prstGeom prst="rect">
          <a:avLst/>
        </a:prstGeom>
      </xdr:spPr>
    </xdr:pic>
    <xdr:clientData/>
  </xdr:oneCellAnchor>
  <xdr:oneCellAnchor>
    <xdr:from>
      <xdr:col>7</xdr:col>
      <xdr:colOff>15240</xdr:colOff>
      <xdr:row>681</xdr:row>
      <xdr:rowOff>0</xdr:rowOff>
    </xdr:from>
    <xdr:ext cx="1912786" cy="898522"/>
    <xdr:pic>
      <xdr:nvPicPr>
        <xdr:cNvPr id="56" name="Picture 55">
          <a:extLst>
            <a:ext uri="{FF2B5EF4-FFF2-40B4-BE49-F238E27FC236}">
              <a16:creationId xmlns:a16="http://schemas.microsoft.com/office/drawing/2014/main" id="{2FF6BFC8-95CE-4BAA-8E18-9C824AE24DE8}"/>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282440" y="108973620"/>
          <a:ext cx="1912786" cy="898522"/>
        </a:xfrm>
        <a:prstGeom prst="rect">
          <a:avLst/>
        </a:prstGeom>
      </xdr:spPr>
    </xdr:pic>
    <xdr:clientData/>
  </xdr:oneCellAnchor>
  <xdr:oneCellAnchor>
    <xdr:from>
      <xdr:col>7</xdr:col>
      <xdr:colOff>15240</xdr:colOff>
      <xdr:row>691</xdr:row>
      <xdr:rowOff>0</xdr:rowOff>
    </xdr:from>
    <xdr:ext cx="1912786" cy="898522"/>
    <xdr:pic>
      <xdr:nvPicPr>
        <xdr:cNvPr id="57" name="Picture 56">
          <a:extLst>
            <a:ext uri="{FF2B5EF4-FFF2-40B4-BE49-F238E27FC236}">
              <a16:creationId xmlns:a16="http://schemas.microsoft.com/office/drawing/2014/main" id="{E65A2804-28E8-4C05-88B9-5C5CA0CB458E}"/>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282440" y="110573820"/>
          <a:ext cx="1912786" cy="898522"/>
        </a:xfrm>
        <a:prstGeom prst="rect">
          <a:avLst/>
        </a:prstGeom>
      </xdr:spPr>
    </xdr:pic>
    <xdr:clientData/>
  </xdr:oneCellAnchor>
  <xdr:oneCellAnchor>
    <xdr:from>
      <xdr:col>7</xdr:col>
      <xdr:colOff>15240</xdr:colOff>
      <xdr:row>701</xdr:row>
      <xdr:rowOff>0</xdr:rowOff>
    </xdr:from>
    <xdr:ext cx="1912786" cy="898522"/>
    <xdr:pic>
      <xdr:nvPicPr>
        <xdr:cNvPr id="58" name="Picture 57">
          <a:extLst>
            <a:ext uri="{FF2B5EF4-FFF2-40B4-BE49-F238E27FC236}">
              <a16:creationId xmlns:a16="http://schemas.microsoft.com/office/drawing/2014/main" id="{5BA1929F-E5DE-413B-95F1-CAC4B8D0DFB0}"/>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282440" y="112174020"/>
          <a:ext cx="1912786" cy="898522"/>
        </a:xfrm>
        <a:prstGeom prst="rect">
          <a:avLst/>
        </a:prstGeom>
      </xdr:spPr>
    </xdr:pic>
    <xdr:clientData/>
  </xdr:oneCellAnchor>
  <xdr:oneCellAnchor>
    <xdr:from>
      <xdr:col>7</xdr:col>
      <xdr:colOff>15240</xdr:colOff>
      <xdr:row>711</xdr:row>
      <xdr:rowOff>0</xdr:rowOff>
    </xdr:from>
    <xdr:ext cx="1912786" cy="898522"/>
    <xdr:pic>
      <xdr:nvPicPr>
        <xdr:cNvPr id="59" name="Picture 58">
          <a:extLst>
            <a:ext uri="{FF2B5EF4-FFF2-40B4-BE49-F238E27FC236}">
              <a16:creationId xmlns:a16="http://schemas.microsoft.com/office/drawing/2014/main" id="{8256A282-24AB-48B6-9EFF-2B2D5858A758}"/>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282440" y="113774220"/>
          <a:ext cx="1912786" cy="898522"/>
        </a:xfrm>
        <a:prstGeom prst="rect">
          <a:avLst/>
        </a:prstGeom>
      </xdr:spPr>
    </xdr:pic>
    <xdr:clientData/>
  </xdr:oneCellAnchor>
  <xdr:oneCellAnchor>
    <xdr:from>
      <xdr:col>7</xdr:col>
      <xdr:colOff>15240</xdr:colOff>
      <xdr:row>721</xdr:row>
      <xdr:rowOff>0</xdr:rowOff>
    </xdr:from>
    <xdr:ext cx="1912786" cy="898522"/>
    <xdr:pic>
      <xdr:nvPicPr>
        <xdr:cNvPr id="60" name="Picture 59">
          <a:extLst>
            <a:ext uri="{FF2B5EF4-FFF2-40B4-BE49-F238E27FC236}">
              <a16:creationId xmlns:a16="http://schemas.microsoft.com/office/drawing/2014/main" id="{375E4743-7865-4BFB-84E9-294F2B86C60D}"/>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4282440" y="115374420"/>
          <a:ext cx="1912786" cy="898522"/>
        </a:xfrm>
        <a:prstGeom prst="rect">
          <a:avLst/>
        </a:prstGeom>
      </xdr:spPr>
    </xdr:pic>
    <xdr:clientData/>
  </xdr:oneCellAnchor>
  <xdr:oneCellAnchor>
    <xdr:from>
      <xdr:col>7</xdr:col>
      <xdr:colOff>15240</xdr:colOff>
      <xdr:row>731</xdr:row>
      <xdr:rowOff>0</xdr:rowOff>
    </xdr:from>
    <xdr:ext cx="1912786" cy="898522"/>
    <xdr:pic>
      <xdr:nvPicPr>
        <xdr:cNvPr id="61" name="Picture 60">
          <a:extLst>
            <a:ext uri="{FF2B5EF4-FFF2-40B4-BE49-F238E27FC236}">
              <a16:creationId xmlns:a16="http://schemas.microsoft.com/office/drawing/2014/main" id="{8AFD486B-C299-4E98-90ED-3C1EC9CA9D3C}"/>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4282440" y="116974620"/>
          <a:ext cx="1912786" cy="898522"/>
        </a:xfrm>
        <a:prstGeom prst="rect">
          <a:avLst/>
        </a:prstGeom>
      </xdr:spPr>
    </xdr:pic>
    <xdr:clientData/>
  </xdr:oneCellAnchor>
  <xdr:oneCellAnchor>
    <xdr:from>
      <xdr:col>7</xdr:col>
      <xdr:colOff>15240</xdr:colOff>
      <xdr:row>741</xdr:row>
      <xdr:rowOff>0</xdr:rowOff>
    </xdr:from>
    <xdr:ext cx="1912786" cy="898522"/>
    <xdr:pic>
      <xdr:nvPicPr>
        <xdr:cNvPr id="62" name="Picture 61">
          <a:extLst>
            <a:ext uri="{FF2B5EF4-FFF2-40B4-BE49-F238E27FC236}">
              <a16:creationId xmlns:a16="http://schemas.microsoft.com/office/drawing/2014/main" id="{30C38F82-6A29-4A30-9048-EF2127B13930}"/>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282440" y="118574820"/>
          <a:ext cx="1912786" cy="898522"/>
        </a:xfrm>
        <a:prstGeom prst="rect">
          <a:avLst/>
        </a:prstGeom>
      </xdr:spPr>
    </xdr:pic>
    <xdr:clientData/>
  </xdr:oneCellAnchor>
  <xdr:oneCellAnchor>
    <xdr:from>
      <xdr:col>7</xdr:col>
      <xdr:colOff>15240</xdr:colOff>
      <xdr:row>751</xdr:row>
      <xdr:rowOff>0</xdr:rowOff>
    </xdr:from>
    <xdr:ext cx="1912786" cy="898522"/>
    <xdr:pic>
      <xdr:nvPicPr>
        <xdr:cNvPr id="63" name="Picture 62">
          <a:extLst>
            <a:ext uri="{FF2B5EF4-FFF2-40B4-BE49-F238E27FC236}">
              <a16:creationId xmlns:a16="http://schemas.microsoft.com/office/drawing/2014/main" id="{03C1D53F-1A34-41AF-9EF8-C88404C82413}"/>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4282440" y="120175020"/>
          <a:ext cx="1912786" cy="898522"/>
        </a:xfrm>
        <a:prstGeom prst="rect">
          <a:avLst/>
        </a:prstGeom>
      </xdr:spPr>
    </xdr:pic>
    <xdr:clientData/>
  </xdr:oneCellAnchor>
  <xdr:oneCellAnchor>
    <xdr:from>
      <xdr:col>7</xdr:col>
      <xdr:colOff>15240</xdr:colOff>
      <xdr:row>762</xdr:row>
      <xdr:rowOff>157480</xdr:rowOff>
    </xdr:from>
    <xdr:ext cx="1912786" cy="898522"/>
    <xdr:pic>
      <xdr:nvPicPr>
        <xdr:cNvPr id="64" name="Picture 63">
          <a:extLst>
            <a:ext uri="{FF2B5EF4-FFF2-40B4-BE49-F238E27FC236}">
              <a16:creationId xmlns:a16="http://schemas.microsoft.com/office/drawing/2014/main" id="{6E6ABBC4-5F5A-45CA-8C19-FBC7AE492FE8}"/>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282440" y="122092720"/>
          <a:ext cx="1912786" cy="898522"/>
        </a:xfrm>
        <a:prstGeom prst="rect">
          <a:avLst/>
        </a:prstGeom>
      </xdr:spPr>
    </xdr:pic>
    <xdr:clientData/>
  </xdr:oneCellAnchor>
  <xdr:oneCellAnchor>
    <xdr:from>
      <xdr:col>7</xdr:col>
      <xdr:colOff>15240</xdr:colOff>
      <xdr:row>772</xdr:row>
      <xdr:rowOff>157480</xdr:rowOff>
    </xdr:from>
    <xdr:ext cx="1912786" cy="898522"/>
    <xdr:pic>
      <xdr:nvPicPr>
        <xdr:cNvPr id="65" name="Picture 64">
          <a:extLst>
            <a:ext uri="{FF2B5EF4-FFF2-40B4-BE49-F238E27FC236}">
              <a16:creationId xmlns:a16="http://schemas.microsoft.com/office/drawing/2014/main" id="{185CC312-C542-4E80-859A-92B5CC7098EB}"/>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4282440" y="123692920"/>
          <a:ext cx="1912786" cy="898522"/>
        </a:xfrm>
        <a:prstGeom prst="rect">
          <a:avLst/>
        </a:prstGeom>
      </xdr:spPr>
    </xdr:pic>
    <xdr:clientData/>
  </xdr:oneCellAnchor>
  <xdr:oneCellAnchor>
    <xdr:from>
      <xdr:col>7</xdr:col>
      <xdr:colOff>15240</xdr:colOff>
      <xdr:row>782</xdr:row>
      <xdr:rowOff>157480</xdr:rowOff>
    </xdr:from>
    <xdr:ext cx="1912786" cy="898522"/>
    <xdr:pic>
      <xdr:nvPicPr>
        <xdr:cNvPr id="66" name="Picture 65">
          <a:extLst>
            <a:ext uri="{FF2B5EF4-FFF2-40B4-BE49-F238E27FC236}">
              <a16:creationId xmlns:a16="http://schemas.microsoft.com/office/drawing/2014/main" id="{8E5632E3-16C1-4B86-87B5-EE8094931209}"/>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4282440" y="125293120"/>
          <a:ext cx="1912786" cy="898522"/>
        </a:xfrm>
        <a:prstGeom prst="rect">
          <a:avLst/>
        </a:prstGeom>
      </xdr:spPr>
    </xdr:pic>
    <xdr:clientData/>
  </xdr:oneCellAnchor>
  <xdr:oneCellAnchor>
    <xdr:from>
      <xdr:col>7</xdr:col>
      <xdr:colOff>15240</xdr:colOff>
      <xdr:row>792</xdr:row>
      <xdr:rowOff>157480</xdr:rowOff>
    </xdr:from>
    <xdr:ext cx="1912786" cy="898522"/>
    <xdr:pic>
      <xdr:nvPicPr>
        <xdr:cNvPr id="67" name="Picture 66">
          <a:extLst>
            <a:ext uri="{FF2B5EF4-FFF2-40B4-BE49-F238E27FC236}">
              <a16:creationId xmlns:a16="http://schemas.microsoft.com/office/drawing/2014/main" id="{85BCEAA5-432A-493C-ACF1-5B9C0C5C0A95}"/>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4282440" y="126893320"/>
          <a:ext cx="1912786" cy="898522"/>
        </a:xfrm>
        <a:prstGeom prst="rect">
          <a:avLst/>
        </a:prstGeom>
      </xdr:spPr>
    </xdr:pic>
    <xdr:clientData/>
  </xdr:oneCellAnchor>
  <xdr:oneCellAnchor>
    <xdr:from>
      <xdr:col>7</xdr:col>
      <xdr:colOff>15240</xdr:colOff>
      <xdr:row>802</xdr:row>
      <xdr:rowOff>157480</xdr:rowOff>
    </xdr:from>
    <xdr:ext cx="1912786" cy="898522"/>
    <xdr:pic>
      <xdr:nvPicPr>
        <xdr:cNvPr id="68" name="Picture 67">
          <a:extLst>
            <a:ext uri="{FF2B5EF4-FFF2-40B4-BE49-F238E27FC236}">
              <a16:creationId xmlns:a16="http://schemas.microsoft.com/office/drawing/2014/main" id="{ED41EA4D-B02C-451C-AC38-905ADE291E3E}"/>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4282440" y="128493520"/>
          <a:ext cx="1912786" cy="898522"/>
        </a:xfrm>
        <a:prstGeom prst="rect">
          <a:avLst/>
        </a:prstGeom>
      </xdr:spPr>
    </xdr:pic>
    <xdr:clientData/>
  </xdr:oneCellAnchor>
  <xdr:oneCellAnchor>
    <xdr:from>
      <xdr:col>7</xdr:col>
      <xdr:colOff>15240</xdr:colOff>
      <xdr:row>812</xdr:row>
      <xdr:rowOff>157480</xdr:rowOff>
    </xdr:from>
    <xdr:ext cx="1912786" cy="898522"/>
    <xdr:pic>
      <xdr:nvPicPr>
        <xdr:cNvPr id="69" name="Picture 68">
          <a:extLst>
            <a:ext uri="{FF2B5EF4-FFF2-40B4-BE49-F238E27FC236}">
              <a16:creationId xmlns:a16="http://schemas.microsoft.com/office/drawing/2014/main" id="{723D608F-FBCB-4412-A5BD-5AB3A638EC57}"/>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4282440" y="130093720"/>
          <a:ext cx="1912786" cy="898522"/>
        </a:xfrm>
        <a:prstGeom prst="rect">
          <a:avLst/>
        </a:prstGeom>
      </xdr:spPr>
    </xdr:pic>
    <xdr:clientData/>
  </xdr:oneCellAnchor>
  <xdr:oneCellAnchor>
    <xdr:from>
      <xdr:col>7</xdr:col>
      <xdr:colOff>15240</xdr:colOff>
      <xdr:row>822</xdr:row>
      <xdr:rowOff>157480</xdr:rowOff>
    </xdr:from>
    <xdr:ext cx="1912786" cy="898522"/>
    <xdr:pic>
      <xdr:nvPicPr>
        <xdr:cNvPr id="70" name="Picture 69">
          <a:extLst>
            <a:ext uri="{FF2B5EF4-FFF2-40B4-BE49-F238E27FC236}">
              <a16:creationId xmlns:a16="http://schemas.microsoft.com/office/drawing/2014/main" id="{6D7C9799-38AB-4F5E-8346-9ABF0B014973}"/>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4282440" y="131693920"/>
          <a:ext cx="1912786" cy="898522"/>
        </a:xfrm>
        <a:prstGeom prst="rect">
          <a:avLst/>
        </a:prstGeom>
      </xdr:spPr>
    </xdr:pic>
    <xdr:clientData/>
  </xdr:oneCellAnchor>
  <xdr:oneCellAnchor>
    <xdr:from>
      <xdr:col>2</xdr:col>
      <xdr:colOff>190501</xdr:colOff>
      <xdr:row>834</xdr:row>
      <xdr:rowOff>154941</xdr:rowOff>
    </xdr:from>
    <xdr:ext cx="4785775" cy="3894157"/>
    <xdr:pic>
      <xdr:nvPicPr>
        <xdr:cNvPr id="71" name="Picture 70">
          <a:extLst>
            <a:ext uri="{FF2B5EF4-FFF2-40B4-BE49-F238E27FC236}">
              <a16:creationId xmlns:a16="http://schemas.microsoft.com/office/drawing/2014/main" id="{0ACB4346-A910-4888-BA88-ABC5865BB4A2}"/>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1409701" y="133611621"/>
          <a:ext cx="4785775" cy="3894157"/>
        </a:xfrm>
        <a:prstGeom prst="rect">
          <a:avLst/>
        </a:prstGeom>
      </xdr:spPr>
    </xdr:pic>
    <xdr:clientData/>
  </xdr:oneCellAnchor>
  <xdr:oneCellAnchor>
    <xdr:from>
      <xdr:col>2</xdr:col>
      <xdr:colOff>190501</xdr:colOff>
      <xdr:row>864</xdr:row>
      <xdr:rowOff>2541</xdr:rowOff>
    </xdr:from>
    <xdr:ext cx="4785775" cy="3894157"/>
    <xdr:pic>
      <xdr:nvPicPr>
        <xdr:cNvPr id="72" name="Picture 71">
          <a:extLst>
            <a:ext uri="{FF2B5EF4-FFF2-40B4-BE49-F238E27FC236}">
              <a16:creationId xmlns:a16="http://schemas.microsoft.com/office/drawing/2014/main" id="{50A62590-6F59-44F5-B8BF-12E581198B52}"/>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409701" y="138259821"/>
          <a:ext cx="4785775" cy="3894157"/>
        </a:xfrm>
        <a:prstGeom prst="rect">
          <a:avLst/>
        </a:prstGeom>
      </xdr:spPr>
    </xdr:pic>
    <xdr:clientData/>
  </xdr:oneCellAnchor>
  <xdr:twoCellAnchor editAs="oneCell">
    <xdr:from>
      <xdr:col>10</xdr:col>
      <xdr:colOff>0</xdr:colOff>
      <xdr:row>0</xdr:row>
      <xdr:rowOff>0</xdr:rowOff>
    </xdr:from>
    <xdr:to>
      <xdr:col>20</xdr:col>
      <xdr:colOff>650620</xdr:colOff>
      <xdr:row>33</xdr:row>
      <xdr:rowOff>60289</xdr:rowOff>
    </xdr:to>
    <xdr:pic>
      <xdr:nvPicPr>
        <xdr:cNvPr id="73" name="Picture 72">
          <a:extLst>
            <a:ext uri="{FF2B5EF4-FFF2-40B4-BE49-F238E27FC236}">
              <a16:creationId xmlns:a16="http://schemas.microsoft.com/office/drawing/2014/main" id="{68D6AEBD-55B7-2341-8A15-9A051B2D61BD}"/>
            </a:ext>
          </a:extLst>
        </xdr:cNvPr>
        <xdr:cNvPicPr>
          <a:picLocks noChangeAspect="1"/>
        </xdr:cNvPicPr>
      </xdr:nvPicPr>
      <xdr:blipFill>
        <a:blip xmlns:r="http://schemas.openxmlformats.org/officeDocument/2006/relationships" r:embed="rId72"/>
        <a:stretch>
          <a:fillRect/>
        </a:stretch>
      </xdr:blipFill>
      <xdr:spPr>
        <a:xfrm>
          <a:off x="5702300" y="0"/>
          <a:ext cx="12245720" cy="5508589"/>
        </a:xfrm>
        <a:prstGeom prst="rect">
          <a:avLst/>
        </a:prstGeom>
      </xdr:spPr>
    </xdr:pic>
    <xdr:clientData/>
  </xdr:twoCellAnchor>
  <xdr:twoCellAnchor editAs="oneCell">
    <xdr:from>
      <xdr:col>10</xdr:col>
      <xdr:colOff>673100</xdr:colOff>
      <xdr:row>35</xdr:row>
      <xdr:rowOff>114300</xdr:rowOff>
    </xdr:from>
    <xdr:to>
      <xdr:col>21</xdr:col>
      <xdr:colOff>650620</xdr:colOff>
      <xdr:row>69</xdr:row>
      <xdr:rowOff>9489</xdr:rowOff>
    </xdr:to>
    <xdr:pic>
      <xdr:nvPicPr>
        <xdr:cNvPr id="74" name="Picture 73">
          <a:extLst>
            <a:ext uri="{FF2B5EF4-FFF2-40B4-BE49-F238E27FC236}">
              <a16:creationId xmlns:a16="http://schemas.microsoft.com/office/drawing/2014/main" id="{FC4EAAF4-C1FF-F246-A5F3-633D151CC7C5}"/>
            </a:ext>
          </a:extLst>
        </xdr:cNvPr>
        <xdr:cNvPicPr>
          <a:picLocks noChangeAspect="1"/>
        </xdr:cNvPicPr>
      </xdr:nvPicPr>
      <xdr:blipFill>
        <a:blip xmlns:r="http://schemas.openxmlformats.org/officeDocument/2006/relationships" r:embed="rId73"/>
        <a:stretch>
          <a:fillRect/>
        </a:stretch>
      </xdr:blipFill>
      <xdr:spPr>
        <a:xfrm>
          <a:off x="6375400" y="5892800"/>
          <a:ext cx="12245720" cy="5508589"/>
        </a:xfrm>
        <a:prstGeom prst="rect">
          <a:avLst/>
        </a:prstGeom>
      </xdr:spPr>
    </xdr:pic>
    <xdr:clientData/>
  </xdr:twoCellAnchor>
  <xdr:twoCellAnchor editAs="oneCell">
    <xdr:from>
      <xdr:col>10</xdr:col>
      <xdr:colOff>4711700</xdr:colOff>
      <xdr:row>72</xdr:row>
      <xdr:rowOff>101600</xdr:rowOff>
    </xdr:from>
    <xdr:to>
      <xdr:col>27</xdr:col>
      <xdr:colOff>514747</xdr:colOff>
      <xdr:row>115</xdr:row>
      <xdr:rowOff>3591</xdr:rowOff>
    </xdr:to>
    <xdr:pic>
      <xdr:nvPicPr>
        <xdr:cNvPr id="75" name="Picture 74">
          <a:extLst>
            <a:ext uri="{FF2B5EF4-FFF2-40B4-BE49-F238E27FC236}">
              <a16:creationId xmlns:a16="http://schemas.microsoft.com/office/drawing/2014/main" id="{06F78B66-672C-3748-A441-7BDA38E9B67E}"/>
            </a:ext>
          </a:extLst>
        </xdr:cNvPr>
        <xdr:cNvPicPr>
          <a:picLocks noChangeAspect="1"/>
        </xdr:cNvPicPr>
      </xdr:nvPicPr>
      <xdr:blipFill>
        <a:blip xmlns:r="http://schemas.openxmlformats.org/officeDocument/2006/relationships" r:embed="rId74"/>
        <a:stretch>
          <a:fillRect/>
        </a:stretch>
      </xdr:blipFill>
      <xdr:spPr>
        <a:xfrm>
          <a:off x="10414000" y="11988800"/>
          <a:ext cx="12109847" cy="7001291"/>
        </a:xfrm>
        <a:prstGeom prst="rect">
          <a:avLst/>
        </a:prstGeom>
      </xdr:spPr>
    </xdr:pic>
    <xdr:clientData/>
  </xdr:twoCellAnchor>
  <xdr:twoCellAnchor editAs="oneCell">
    <xdr:from>
      <xdr:col>10</xdr:col>
      <xdr:colOff>0</xdr:colOff>
      <xdr:row>139</xdr:row>
      <xdr:rowOff>12700</xdr:rowOff>
    </xdr:from>
    <xdr:to>
      <xdr:col>20</xdr:col>
      <xdr:colOff>514747</xdr:colOff>
      <xdr:row>181</xdr:row>
      <xdr:rowOff>79791</xdr:rowOff>
    </xdr:to>
    <xdr:pic>
      <xdr:nvPicPr>
        <xdr:cNvPr id="76" name="Picture 75">
          <a:extLst>
            <a:ext uri="{FF2B5EF4-FFF2-40B4-BE49-F238E27FC236}">
              <a16:creationId xmlns:a16="http://schemas.microsoft.com/office/drawing/2014/main" id="{A60C5060-D8A2-6343-95FD-D8BA82DCBD37}"/>
            </a:ext>
          </a:extLst>
        </xdr:cNvPr>
        <xdr:cNvPicPr>
          <a:picLocks noChangeAspect="1"/>
        </xdr:cNvPicPr>
      </xdr:nvPicPr>
      <xdr:blipFill>
        <a:blip xmlns:r="http://schemas.openxmlformats.org/officeDocument/2006/relationships" r:embed="rId75"/>
        <a:stretch>
          <a:fillRect/>
        </a:stretch>
      </xdr:blipFill>
      <xdr:spPr>
        <a:xfrm>
          <a:off x="5702300" y="22961600"/>
          <a:ext cx="12109847" cy="7001291"/>
        </a:xfrm>
        <a:prstGeom prst="rect">
          <a:avLst/>
        </a:prstGeom>
      </xdr:spPr>
    </xdr:pic>
    <xdr:clientData/>
  </xdr:twoCellAnchor>
  <xdr:twoCellAnchor editAs="oneCell">
    <xdr:from>
      <xdr:col>10</xdr:col>
      <xdr:colOff>3365500</xdr:colOff>
      <xdr:row>184</xdr:row>
      <xdr:rowOff>101600</xdr:rowOff>
    </xdr:from>
    <xdr:to>
      <xdr:col>25</xdr:col>
      <xdr:colOff>650620</xdr:colOff>
      <xdr:row>217</xdr:row>
      <xdr:rowOff>161889</xdr:rowOff>
    </xdr:to>
    <xdr:pic>
      <xdr:nvPicPr>
        <xdr:cNvPr id="77" name="Picture 76">
          <a:extLst>
            <a:ext uri="{FF2B5EF4-FFF2-40B4-BE49-F238E27FC236}">
              <a16:creationId xmlns:a16="http://schemas.microsoft.com/office/drawing/2014/main" id="{D6B3821F-DFC6-E240-9A3A-499FFA529B62}"/>
            </a:ext>
          </a:extLst>
        </xdr:cNvPr>
        <xdr:cNvPicPr>
          <a:picLocks noChangeAspect="1"/>
        </xdr:cNvPicPr>
      </xdr:nvPicPr>
      <xdr:blipFill>
        <a:blip xmlns:r="http://schemas.openxmlformats.org/officeDocument/2006/relationships" r:embed="rId76"/>
        <a:stretch>
          <a:fillRect/>
        </a:stretch>
      </xdr:blipFill>
      <xdr:spPr>
        <a:xfrm>
          <a:off x="9067800" y="30480000"/>
          <a:ext cx="12245720" cy="5508589"/>
        </a:xfrm>
        <a:prstGeom prst="rect">
          <a:avLst/>
        </a:prstGeom>
      </xdr:spPr>
    </xdr:pic>
    <xdr:clientData/>
  </xdr:twoCellAnchor>
  <xdr:twoCellAnchor editAs="oneCell">
    <xdr:from>
      <xdr:col>10</xdr:col>
      <xdr:colOff>2692400</xdr:colOff>
      <xdr:row>222</xdr:row>
      <xdr:rowOff>127000</xdr:rowOff>
    </xdr:from>
    <xdr:to>
      <xdr:col>24</xdr:col>
      <xdr:colOff>650620</xdr:colOff>
      <xdr:row>256</xdr:row>
      <xdr:rowOff>22189</xdr:rowOff>
    </xdr:to>
    <xdr:pic>
      <xdr:nvPicPr>
        <xdr:cNvPr id="78" name="Picture 77">
          <a:extLst>
            <a:ext uri="{FF2B5EF4-FFF2-40B4-BE49-F238E27FC236}">
              <a16:creationId xmlns:a16="http://schemas.microsoft.com/office/drawing/2014/main" id="{2F509DA8-9080-5748-8AA8-F0FB2625A42F}"/>
            </a:ext>
          </a:extLst>
        </xdr:cNvPr>
        <xdr:cNvPicPr>
          <a:picLocks noChangeAspect="1"/>
        </xdr:cNvPicPr>
      </xdr:nvPicPr>
      <xdr:blipFill>
        <a:blip xmlns:r="http://schemas.openxmlformats.org/officeDocument/2006/relationships" r:embed="rId77"/>
        <a:stretch>
          <a:fillRect/>
        </a:stretch>
      </xdr:blipFill>
      <xdr:spPr>
        <a:xfrm>
          <a:off x="8394700" y="36779200"/>
          <a:ext cx="12245720" cy="55085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190501</xdr:colOff>
      <xdr:row>38</xdr:row>
      <xdr:rowOff>2541</xdr:rowOff>
    </xdr:from>
    <xdr:ext cx="4785775" cy="2545301"/>
    <xdr:pic>
      <xdr:nvPicPr>
        <xdr:cNvPr id="2" name="Picture 1">
          <a:extLst>
            <a:ext uri="{FF2B5EF4-FFF2-40B4-BE49-F238E27FC236}">
              <a16:creationId xmlns:a16="http://schemas.microsoft.com/office/drawing/2014/main" id="{8B40F4B4-58BB-49E9-9515-5A050EFB82FB}"/>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1" y="6083301"/>
          <a:ext cx="4785775" cy="2545301"/>
        </a:xfrm>
        <a:prstGeom prst="rect">
          <a:avLst/>
        </a:prstGeom>
      </xdr:spPr>
    </xdr:pic>
    <xdr:clientData/>
  </xdr:oneCellAnchor>
  <xdr:oneCellAnchor>
    <xdr:from>
      <xdr:col>2</xdr:col>
      <xdr:colOff>190501</xdr:colOff>
      <xdr:row>96</xdr:row>
      <xdr:rowOff>5080</xdr:rowOff>
    </xdr:from>
    <xdr:ext cx="4785775" cy="2286198"/>
    <xdr:pic>
      <xdr:nvPicPr>
        <xdr:cNvPr id="3" name="Picture 2">
          <a:extLst>
            <a:ext uri="{FF2B5EF4-FFF2-40B4-BE49-F238E27FC236}">
              <a16:creationId xmlns:a16="http://schemas.microsoft.com/office/drawing/2014/main" id="{6A4EA5D8-EA30-48DC-80F4-2EC36737003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9701" y="15367000"/>
          <a:ext cx="4785775" cy="2286198"/>
        </a:xfrm>
        <a:prstGeom prst="rect">
          <a:avLst/>
        </a:prstGeom>
      </xdr:spPr>
    </xdr:pic>
    <xdr:clientData/>
  </xdr:oneCellAnchor>
  <xdr:oneCellAnchor>
    <xdr:from>
      <xdr:col>2</xdr:col>
      <xdr:colOff>190501</xdr:colOff>
      <xdr:row>155</xdr:row>
      <xdr:rowOff>0</xdr:rowOff>
    </xdr:from>
    <xdr:ext cx="4785775" cy="3048264"/>
    <xdr:pic>
      <xdr:nvPicPr>
        <xdr:cNvPr id="4" name="Picture 3">
          <a:extLst>
            <a:ext uri="{FF2B5EF4-FFF2-40B4-BE49-F238E27FC236}">
              <a16:creationId xmlns:a16="http://schemas.microsoft.com/office/drawing/2014/main" id="{7A53B849-F6DB-433C-A50C-50FDE19DFEE2}"/>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9701" y="24803100"/>
          <a:ext cx="4785775" cy="3048264"/>
        </a:xfrm>
        <a:prstGeom prst="rect">
          <a:avLst/>
        </a:prstGeom>
      </xdr:spPr>
    </xdr:pic>
    <xdr:clientData/>
  </xdr:oneCellAnchor>
  <xdr:oneCellAnchor>
    <xdr:from>
      <xdr:col>7</xdr:col>
      <xdr:colOff>15240</xdr:colOff>
      <xdr:row>216</xdr:row>
      <xdr:rowOff>5080</xdr:rowOff>
    </xdr:from>
    <xdr:ext cx="1912786" cy="898522"/>
    <xdr:pic>
      <xdr:nvPicPr>
        <xdr:cNvPr id="5" name="Picture 4">
          <a:extLst>
            <a:ext uri="{FF2B5EF4-FFF2-40B4-BE49-F238E27FC236}">
              <a16:creationId xmlns:a16="http://schemas.microsoft.com/office/drawing/2014/main" id="{2CC6E022-FEE7-4F04-A3E5-440D52C3058A}"/>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2440" y="34569400"/>
          <a:ext cx="1912786" cy="898522"/>
        </a:xfrm>
        <a:prstGeom prst="rect">
          <a:avLst/>
        </a:prstGeom>
      </xdr:spPr>
    </xdr:pic>
    <xdr:clientData/>
  </xdr:oneCellAnchor>
  <xdr:oneCellAnchor>
    <xdr:from>
      <xdr:col>7</xdr:col>
      <xdr:colOff>15240</xdr:colOff>
      <xdr:row>226</xdr:row>
      <xdr:rowOff>5080</xdr:rowOff>
    </xdr:from>
    <xdr:ext cx="1912786" cy="898522"/>
    <xdr:pic>
      <xdr:nvPicPr>
        <xdr:cNvPr id="6" name="Picture 5">
          <a:extLst>
            <a:ext uri="{FF2B5EF4-FFF2-40B4-BE49-F238E27FC236}">
              <a16:creationId xmlns:a16="http://schemas.microsoft.com/office/drawing/2014/main" id="{6A5211E5-25B8-45D5-84E8-F09B5933938D}"/>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82440" y="36169600"/>
          <a:ext cx="1912786" cy="898522"/>
        </a:xfrm>
        <a:prstGeom prst="rect">
          <a:avLst/>
        </a:prstGeom>
      </xdr:spPr>
    </xdr:pic>
    <xdr:clientData/>
  </xdr:oneCellAnchor>
  <xdr:oneCellAnchor>
    <xdr:from>
      <xdr:col>7</xdr:col>
      <xdr:colOff>15240</xdr:colOff>
      <xdr:row>236</xdr:row>
      <xdr:rowOff>5080</xdr:rowOff>
    </xdr:from>
    <xdr:ext cx="1912786" cy="898522"/>
    <xdr:pic>
      <xdr:nvPicPr>
        <xdr:cNvPr id="7" name="Picture 6">
          <a:extLst>
            <a:ext uri="{FF2B5EF4-FFF2-40B4-BE49-F238E27FC236}">
              <a16:creationId xmlns:a16="http://schemas.microsoft.com/office/drawing/2014/main" id="{763DA99B-016B-4FFE-BC75-B032928C4436}"/>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82440" y="37769800"/>
          <a:ext cx="1912786" cy="898522"/>
        </a:xfrm>
        <a:prstGeom prst="rect">
          <a:avLst/>
        </a:prstGeom>
      </xdr:spPr>
    </xdr:pic>
    <xdr:clientData/>
  </xdr:oneCellAnchor>
  <xdr:oneCellAnchor>
    <xdr:from>
      <xdr:col>7</xdr:col>
      <xdr:colOff>15240</xdr:colOff>
      <xdr:row>246</xdr:row>
      <xdr:rowOff>5080</xdr:rowOff>
    </xdr:from>
    <xdr:ext cx="1912786" cy="898522"/>
    <xdr:pic>
      <xdr:nvPicPr>
        <xdr:cNvPr id="8" name="Picture 7">
          <a:extLst>
            <a:ext uri="{FF2B5EF4-FFF2-40B4-BE49-F238E27FC236}">
              <a16:creationId xmlns:a16="http://schemas.microsoft.com/office/drawing/2014/main" id="{67C9159F-E80C-46D9-9A66-ACA78CCA9198}"/>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282440" y="39370000"/>
          <a:ext cx="1912786" cy="898522"/>
        </a:xfrm>
        <a:prstGeom prst="rect">
          <a:avLst/>
        </a:prstGeom>
      </xdr:spPr>
    </xdr:pic>
    <xdr:clientData/>
  </xdr:oneCellAnchor>
  <xdr:oneCellAnchor>
    <xdr:from>
      <xdr:col>7</xdr:col>
      <xdr:colOff>15240</xdr:colOff>
      <xdr:row>256</xdr:row>
      <xdr:rowOff>5080</xdr:rowOff>
    </xdr:from>
    <xdr:ext cx="1912786" cy="898522"/>
    <xdr:pic>
      <xdr:nvPicPr>
        <xdr:cNvPr id="9" name="Picture 8">
          <a:extLst>
            <a:ext uri="{FF2B5EF4-FFF2-40B4-BE49-F238E27FC236}">
              <a16:creationId xmlns:a16="http://schemas.microsoft.com/office/drawing/2014/main" id="{11D7A37F-7F02-43DF-9E7D-1EF34B810C7F}"/>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82440" y="40970200"/>
          <a:ext cx="1912786" cy="898522"/>
        </a:xfrm>
        <a:prstGeom prst="rect">
          <a:avLst/>
        </a:prstGeom>
      </xdr:spPr>
    </xdr:pic>
    <xdr:clientData/>
  </xdr:oneCellAnchor>
  <xdr:oneCellAnchor>
    <xdr:from>
      <xdr:col>7</xdr:col>
      <xdr:colOff>15240</xdr:colOff>
      <xdr:row>266</xdr:row>
      <xdr:rowOff>5080</xdr:rowOff>
    </xdr:from>
    <xdr:ext cx="1912786" cy="898522"/>
    <xdr:pic>
      <xdr:nvPicPr>
        <xdr:cNvPr id="10" name="Picture 9">
          <a:extLst>
            <a:ext uri="{FF2B5EF4-FFF2-40B4-BE49-F238E27FC236}">
              <a16:creationId xmlns:a16="http://schemas.microsoft.com/office/drawing/2014/main" id="{251DA9CB-DA4E-4FAA-BDF6-D090313BDD35}"/>
            </a:ext>
          </a:extLst>
        </xdr:cNvPr>
        <xdr:cNvPicPr>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2440" y="42570400"/>
          <a:ext cx="1912786" cy="898522"/>
        </a:xfrm>
        <a:prstGeom prst="rect">
          <a:avLst/>
        </a:prstGeom>
      </xdr:spPr>
    </xdr:pic>
    <xdr:clientData/>
  </xdr:oneCellAnchor>
  <xdr:oneCellAnchor>
    <xdr:from>
      <xdr:col>7</xdr:col>
      <xdr:colOff>15240</xdr:colOff>
      <xdr:row>276</xdr:row>
      <xdr:rowOff>5080</xdr:rowOff>
    </xdr:from>
    <xdr:ext cx="1912786" cy="898522"/>
    <xdr:pic>
      <xdr:nvPicPr>
        <xdr:cNvPr id="11" name="Picture 10">
          <a:extLst>
            <a:ext uri="{FF2B5EF4-FFF2-40B4-BE49-F238E27FC236}">
              <a16:creationId xmlns:a16="http://schemas.microsoft.com/office/drawing/2014/main" id="{74DC9A6E-372F-43EE-BEB3-1FA97AA1B42A}"/>
            </a:ext>
          </a:extLst>
        </xdr:cNvPr>
        <xdr:cNvPicPr>
          <a:picLocks/>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82440" y="44170600"/>
          <a:ext cx="1912786" cy="898522"/>
        </a:xfrm>
        <a:prstGeom prst="rect">
          <a:avLst/>
        </a:prstGeom>
      </xdr:spPr>
    </xdr:pic>
    <xdr:clientData/>
  </xdr:oneCellAnchor>
  <xdr:oneCellAnchor>
    <xdr:from>
      <xdr:col>7</xdr:col>
      <xdr:colOff>15240</xdr:colOff>
      <xdr:row>286</xdr:row>
      <xdr:rowOff>5080</xdr:rowOff>
    </xdr:from>
    <xdr:ext cx="1912786" cy="898522"/>
    <xdr:pic>
      <xdr:nvPicPr>
        <xdr:cNvPr id="12" name="Picture 11">
          <a:extLst>
            <a:ext uri="{FF2B5EF4-FFF2-40B4-BE49-F238E27FC236}">
              <a16:creationId xmlns:a16="http://schemas.microsoft.com/office/drawing/2014/main" id="{7DEAAD83-31AE-431F-9093-B71608B43321}"/>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82440" y="45770800"/>
          <a:ext cx="1912786" cy="898522"/>
        </a:xfrm>
        <a:prstGeom prst="rect">
          <a:avLst/>
        </a:prstGeom>
      </xdr:spPr>
    </xdr:pic>
    <xdr:clientData/>
  </xdr:oneCellAnchor>
  <xdr:oneCellAnchor>
    <xdr:from>
      <xdr:col>7</xdr:col>
      <xdr:colOff>15240</xdr:colOff>
      <xdr:row>296</xdr:row>
      <xdr:rowOff>5080</xdr:rowOff>
    </xdr:from>
    <xdr:ext cx="1912786" cy="898522"/>
    <xdr:pic>
      <xdr:nvPicPr>
        <xdr:cNvPr id="13" name="Picture 12">
          <a:extLst>
            <a:ext uri="{FF2B5EF4-FFF2-40B4-BE49-F238E27FC236}">
              <a16:creationId xmlns:a16="http://schemas.microsoft.com/office/drawing/2014/main" id="{EF37A47B-516B-4120-83D9-194AC6438AEF}"/>
            </a:ext>
          </a:extLst>
        </xdr:cNvPr>
        <xdr:cNvPicPr>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82440" y="47371000"/>
          <a:ext cx="1912786" cy="898522"/>
        </a:xfrm>
        <a:prstGeom prst="rect">
          <a:avLst/>
        </a:prstGeom>
      </xdr:spPr>
    </xdr:pic>
    <xdr:clientData/>
  </xdr:oneCellAnchor>
  <xdr:oneCellAnchor>
    <xdr:from>
      <xdr:col>7</xdr:col>
      <xdr:colOff>15240</xdr:colOff>
      <xdr:row>306</xdr:row>
      <xdr:rowOff>5080</xdr:rowOff>
    </xdr:from>
    <xdr:ext cx="1912786" cy="898522"/>
    <xdr:pic>
      <xdr:nvPicPr>
        <xdr:cNvPr id="14" name="Picture 13">
          <a:extLst>
            <a:ext uri="{FF2B5EF4-FFF2-40B4-BE49-F238E27FC236}">
              <a16:creationId xmlns:a16="http://schemas.microsoft.com/office/drawing/2014/main" id="{6D1E8AF5-F83F-4B54-A1CD-ED0FC6ACF930}"/>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82440" y="48971200"/>
          <a:ext cx="1912786" cy="898522"/>
        </a:xfrm>
        <a:prstGeom prst="rect">
          <a:avLst/>
        </a:prstGeom>
      </xdr:spPr>
    </xdr:pic>
    <xdr:clientData/>
  </xdr:oneCellAnchor>
  <xdr:oneCellAnchor>
    <xdr:from>
      <xdr:col>7</xdr:col>
      <xdr:colOff>15240</xdr:colOff>
      <xdr:row>316</xdr:row>
      <xdr:rowOff>5080</xdr:rowOff>
    </xdr:from>
    <xdr:ext cx="1912786" cy="898522"/>
    <xdr:pic>
      <xdr:nvPicPr>
        <xdr:cNvPr id="15" name="Picture 14">
          <a:extLst>
            <a:ext uri="{FF2B5EF4-FFF2-40B4-BE49-F238E27FC236}">
              <a16:creationId xmlns:a16="http://schemas.microsoft.com/office/drawing/2014/main" id="{3105FC0D-D5A7-437A-AED2-EA2E6CBC6F2C}"/>
            </a:ext>
          </a:extLst>
        </xdr:cNvPr>
        <xdr:cNvPicPr>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82440" y="50571400"/>
          <a:ext cx="1912786" cy="898522"/>
        </a:xfrm>
        <a:prstGeom prst="rect">
          <a:avLst/>
        </a:prstGeom>
      </xdr:spPr>
    </xdr:pic>
    <xdr:clientData/>
  </xdr:oneCellAnchor>
  <xdr:oneCellAnchor>
    <xdr:from>
      <xdr:col>7</xdr:col>
      <xdr:colOff>15240</xdr:colOff>
      <xdr:row>326</xdr:row>
      <xdr:rowOff>5080</xdr:rowOff>
    </xdr:from>
    <xdr:ext cx="1912786" cy="898522"/>
    <xdr:pic>
      <xdr:nvPicPr>
        <xdr:cNvPr id="16" name="Picture 15">
          <a:extLst>
            <a:ext uri="{FF2B5EF4-FFF2-40B4-BE49-F238E27FC236}">
              <a16:creationId xmlns:a16="http://schemas.microsoft.com/office/drawing/2014/main" id="{46418002-0556-4F96-955D-D786EBFFE17D}"/>
            </a:ext>
          </a:extLst>
        </xdr:cNvPr>
        <xdr:cNvPicPr>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82440" y="52171600"/>
          <a:ext cx="1912786" cy="898522"/>
        </a:xfrm>
        <a:prstGeom prst="rect">
          <a:avLst/>
        </a:prstGeom>
      </xdr:spPr>
    </xdr:pic>
    <xdr:clientData/>
  </xdr:oneCellAnchor>
  <xdr:oneCellAnchor>
    <xdr:from>
      <xdr:col>7</xdr:col>
      <xdr:colOff>15240</xdr:colOff>
      <xdr:row>336</xdr:row>
      <xdr:rowOff>5080</xdr:rowOff>
    </xdr:from>
    <xdr:ext cx="1912786" cy="898522"/>
    <xdr:pic>
      <xdr:nvPicPr>
        <xdr:cNvPr id="17" name="Picture 16">
          <a:extLst>
            <a:ext uri="{FF2B5EF4-FFF2-40B4-BE49-F238E27FC236}">
              <a16:creationId xmlns:a16="http://schemas.microsoft.com/office/drawing/2014/main" id="{351905E5-02F8-4099-B44E-0C1DFBAA6384}"/>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82440" y="53771800"/>
          <a:ext cx="1912786" cy="898522"/>
        </a:xfrm>
        <a:prstGeom prst="rect">
          <a:avLst/>
        </a:prstGeom>
      </xdr:spPr>
    </xdr:pic>
    <xdr:clientData/>
  </xdr:oneCellAnchor>
  <xdr:oneCellAnchor>
    <xdr:from>
      <xdr:col>7</xdr:col>
      <xdr:colOff>15240</xdr:colOff>
      <xdr:row>346</xdr:row>
      <xdr:rowOff>5080</xdr:rowOff>
    </xdr:from>
    <xdr:ext cx="1912786" cy="898522"/>
    <xdr:pic>
      <xdr:nvPicPr>
        <xdr:cNvPr id="18" name="Picture 17">
          <a:extLst>
            <a:ext uri="{FF2B5EF4-FFF2-40B4-BE49-F238E27FC236}">
              <a16:creationId xmlns:a16="http://schemas.microsoft.com/office/drawing/2014/main" id="{68BC40C6-78E7-40F4-93A8-38AB21F572BE}"/>
            </a:ext>
          </a:extLst>
        </xdr:cNvPr>
        <xdr:cNvPicPr>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82440" y="55372000"/>
          <a:ext cx="1912786" cy="898522"/>
        </a:xfrm>
        <a:prstGeom prst="rect">
          <a:avLst/>
        </a:prstGeom>
      </xdr:spPr>
    </xdr:pic>
    <xdr:clientData/>
  </xdr:oneCellAnchor>
  <xdr:oneCellAnchor>
    <xdr:from>
      <xdr:col>7</xdr:col>
      <xdr:colOff>15240</xdr:colOff>
      <xdr:row>356</xdr:row>
      <xdr:rowOff>5080</xdr:rowOff>
    </xdr:from>
    <xdr:ext cx="1912786" cy="898522"/>
    <xdr:pic>
      <xdr:nvPicPr>
        <xdr:cNvPr id="19" name="Picture 18">
          <a:extLst>
            <a:ext uri="{FF2B5EF4-FFF2-40B4-BE49-F238E27FC236}">
              <a16:creationId xmlns:a16="http://schemas.microsoft.com/office/drawing/2014/main" id="{7B6C246E-F7B7-4E85-BA6F-23E6FA7ED409}"/>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82440" y="56972200"/>
          <a:ext cx="1912786" cy="898522"/>
        </a:xfrm>
        <a:prstGeom prst="rect">
          <a:avLst/>
        </a:prstGeom>
      </xdr:spPr>
    </xdr:pic>
    <xdr:clientData/>
  </xdr:oneCellAnchor>
  <xdr:oneCellAnchor>
    <xdr:from>
      <xdr:col>7</xdr:col>
      <xdr:colOff>15240</xdr:colOff>
      <xdr:row>366</xdr:row>
      <xdr:rowOff>5080</xdr:rowOff>
    </xdr:from>
    <xdr:ext cx="1912786" cy="898522"/>
    <xdr:pic>
      <xdr:nvPicPr>
        <xdr:cNvPr id="20" name="Picture 19">
          <a:extLst>
            <a:ext uri="{FF2B5EF4-FFF2-40B4-BE49-F238E27FC236}">
              <a16:creationId xmlns:a16="http://schemas.microsoft.com/office/drawing/2014/main" id="{AE4697CA-F1C2-4504-A655-7D7B097170A0}"/>
            </a:ext>
          </a:extLst>
        </xdr:cNvPr>
        <xdr:cNvPicPr>
          <a:picLocks/>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282440" y="58572400"/>
          <a:ext cx="1912786" cy="898522"/>
        </a:xfrm>
        <a:prstGeom prst="rect">
          <a:avLst/>
        </a:prstGeom>
      </xdr:spPr>
    </xdr:pic>
    <xdr:clientData/>
  </xdr:oneCellAnchor>
  <xdr:oneCellAnchor>
    <xdr:from>
      <xdr:col>7</xdr:col>
      <xdr:colOff>15240</xdr:colOff>
      <xdr:row>376</xdr:row>
      <xdr:rowOff>5080</xdr:rowOff>
    </xdr:from>
    <xdr:ext cx="1912786" cy="898522"/>
    <xdr:pic>
      <xdr:nvPicPr>
        <xdr:cNvPr id="21" name="Picture 20">
          <a:extLst>
            <a:ext uri="{FF2B5EF4-FFF2-40B4-BE49-F238E27FC236}">
              <a16:creationId xmlns:a16="http://schemas.microsoft.com/office/drawing/2014/main" id="{05ED4B0B-9140-48EA-8866-250AC95165A8}"/>
            </a:ext>
          </a:extLst>
        </xdr:cNvPr>
        <xdr:cNvPicPr>
          <a:picLocks/>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82440" y="60172600"/>
          <a:ext cx="1912786" cy="898522"/>
        </a:xfrm>
        <a:prstGeom prst="rect">
          <a:avLst/>
        </a:prstGeom>
      </xdr:spPr>
    </xdr:pic>
    <xdr:clientData/>
  </xdr:oneCellAnchor>
  <xdr:oneCellAnchor>
    <xdr:from>
      <xdr:col>7</xdr:col>
      <xdr:colOff>15240</xdr:colOff>
      <xdr:row>386</xdr:row>
      <xdr:rowOff>5080</xdr:rowOff>
    </xdr:from>
    <xdr:ext cx="1912786" cy="898522"/>
    <xdr:pic>
      <xdr:nvPicPr>
        <xdr:cNvPr id="22" name="Picture 21">
          <a:extLst>
            <a:ext uri="{FF2B5EF4-FFF2-40B4-BE49-F238E27FC236}">
              <a16:creationId xmlns:a16="http://schemas.microsoft.com/office/drawing/2014/main" id="{53CAA4A5-2B9F-41C8-BBE1-0583EA2FF758}"/>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82440" y="61772800"/>
          <a:ext cx="1912786" cy="898522"/>
        </a:xfrm>
        <a:prstGeom prst="rect">
          <a:avLst/>
        </a:prstGeom>
      </xdr:spPr>
    </xdr:pic>
    <xdr:clientData/>
  </xdr:oneCellAnchor>
  <xdr:oneCellAnchor>
    <xdr:from>
      <xdr:col>7</xdr:col>
      <xdr:colOff>15240</xdr:colOff>
      <xdr:row>396</xdr:row>
      <xdr:rowOff>5080</xdr:rowOff>
    </xdr:from>
    <xdr:ext cx="1912786" cy="898522"/>
    <xdr:pic>
      <xdr:nvPicPr>
        <xdr:cNvPr id="23" name="Picture 22">
          <a:extLst>
            <a:ext uri="{FF2B5EF4-FFF2-40B4-BE49-F238E27FC236}">
              <a16:creationId xmlns:a16="http://schemas.microsoft.com/office/drawing/2014/main" id="{B6CD2B49-82B1-4A1F-AD54-9AD5B65382CE}"/>
            </a:ext>
          </a:extLst>
        </xdr:cNvPr>
        <xdr:cNvPicPr>
          <a:picLocks/>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282440" y="63373000"/>
          <a:ext cx="1912786" cy="898522"/>
        </a:xfrm>
        <a:prstGeom prst="rect">
          <a:avLst/>
        </a:prstGeom>
      </xdr:spPr>
    </xdr:pic>
    <xdr:clientData/>
  </xdr:oneCellAnchor>
  <xdr:oneCellAnchor>
    <xdr:from>
      <xdr:col>7</xdr:col>
      <xdr:colOff>15240</xdr:colOff>
      <xdr:row>406</xdr:row>
      <xdr:rowOff>5080</xdr:rowOff>
    </xdr:from>
    <xdr:ext cx="1912786" cy="898522"/>
    <xdr:pic>
      <xdr:nvPicPr>
        <xdr:cNvPr id="24" name="Picture 23">
          <a:extLst>
            <a:ext uri="{FF2B5EF4-FFF2-40B4-BE49-F238E27FC236}">
              <a16:creationId xmlns:a16="http://schemas.microsoft.com/office/drawing/2014/main" id="{9AEF6AD3-B2EF-4D2F-A8B4-FF190373FC71}"/>
            </a:ext>
          </a:extLst>
        </xdr:cNvPr>
        <xdr:cNvPicPr>
          <a:picLocks/>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282440" y="64973200"/>
          <a:ext cx="1912786" cy="898522"/>
        </a:xfrm>
        <a:prstGeom prst="rect">
          <a:avLst/>
        </a:prstGeom>
      </xdr:spPr>
    </xdr:pic>
    <xdr:clientData/>
  </xdr:oneCellAnchor>
  <xdr:oneCellAnchor>
    <xdr:from>
      <xdr:col>7</xdr:col>
      <xdr:colOff>15240</xdr:colOff>
      <xdr:row>416</xdr:row>
      <xdr:rowOff>5080</xdr:rowOff>
    </xdr:from>
    <xdr:ext cx="1912786" cy="898522"/>
    <xdr:pic>
      <xdr:nvPicPr>
        <xdr:cNvPr id="25" name="Picture 24">
          <a:extLst>
            <a:ext uri="{FF2B5EF4-FFF2-40B4-BE49-F238E27FC236}">
              <a16:creationId xmlns:a16="http://schemas.microsoft.com/office/drawing/2014/main" id="{3260889D-5F3E-4109-9C9F-43C03FA574A7}"/>
            </a:ext>
          </a:extLst>
        </xdr:cNvPr>
        <xdr:cNvPicPr>
          <a:picLocks/>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282440" y="66573400"/>
          <a:ext cx="1912786" cy="898522"/>
        </a:xfrm>
        <a:prstGeom prst="rect">
          <a:avLst/>
        </a:prstGeom>
      </xdr:spPr>
    </xdr:pic>
    <xdr:clientData/>
  </xdr:oneCellAnchor>
  <xdr:oneCellAnchor>
    <xdr:from>
      <xdr:col>7</xdr:col>
      <xdr:colOff>15240</xdr:colOff>
      <xdr:row>426</xdr:row>
      <xdr:rowOff>5080</xdr:rowOff>
    </xdr:from>
    <xdr:ext cx="1912786" cy="898522"/>
    <xdr:pic>
      <xdr:nvPicPr>
        <xdr:cNvPr id="26" name="Picture 25">
          <a:extLst>
            <a:ext uri="{FF2B5EF4-FFF2-40B4-BE49-F238E27FC236}">
              <a16:creationId xmlns:a16="http://schemas.microsoft.com/office/drawing/2014/main" id="{74ABBBF7-D807-48C9-8C30-A70D2447936F}"/>
            </a:ext>
          </a:extLst>
        </xdr:cNvPr>
        <xdr:cNvPicPr>
          <a:picLocks/>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282440" y="68173600"/>
          <a:ext cx="1912786" cy="898522"/>
        </a:xfrm>
        <a:prstGeom prst="rect">
          <a:avLst/>
        </a:prstGeom>
      </xdr:spPr>
    </xdr:pic>
    <xdr:clientData/>
  </xdr:oneCellAnchor>
  <xdr:oneCellAnchor>
    <xdr:from>
      <xdr:col>7</xdr:col>
      <xdr:colOff>15240</xdr:colOff>
      <xdr:row>436</xdr:row>
      <xdr:rowOff>5080</xdr:rowOff>
    </xdr:from>
    <xdr:ext cx="1912786" cy="898522"/>
    <xdr:pic>
      <xdr:nvPicPr>
        <xdr:cNvPr id="27" name="Picture 26">
          <a:extLst>
            <a:ext uri="{FF2B5EF4-FFF2-40B4-BE49-F238E27FC236}">
              <a16:creationId xmlns:a16="http://schemas.microsoft.com/office/drawing/2014/main" id="{AAF72CC0-A600-48B6-A796-AF3F331DFD91}"/>
            </a:ext>
          </a:extLst>
        </xdr:cNvPr>
        <xdr:cNvPicPr>
          <a:picLocks/>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82440" y="69773800"/>
          <a:ext cx="1912786" cy="898522"/>
        </a:xfrm>
        <a:prstGeom prst="rect">
          <a:avLst/>
        </a:prstGeom>
      </xdr:spPr>
    </xdr:pic>
    <xdr:clientData/>
  </xdr:oneCellAnchor>
  <xdr:oneCellAnchor>
    <xdr:from>
      <xdr:col>7</xdr:col>
      <xdr:colOff>15240</xdr:colOff>
      <xdr:row>446</xdr:row>
      <xdr:rowOff>5080</xdr:rowOff>
    </xdr:from>
    <xdr:ext cx="1912786" cy="898522"/>
    <xdr:pic>
      <xdr:nvPicPr>
        <xdr:cNvPr id="28" name="Picture 27">
          <a:extLst>
            <a:ext uri="{FF2B5EF4-FFF2-40B4-BE49-F238E27FC236}">
              <a16:creationId xmlns:a16="http://schemas.microsoft.com/office/drawing/2014/main" id="{2A0BA480-CE77-4386-BBF4-C68737EF8BCE}"/>
            </a:ext>
          </a:extLst>
        </xdr:cNvPr>
        <xdr:cNvPicPr>
          <a:picLocks/>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4282440" y="71374000"/>
          <a:ext cx="1912786" cy="898522"/>
        </a:xfrm>
        <a:prstGeom prst="rect">
          <a:avLst/>
        </a:prstGeom>
      </xdr:spPr>
    </xdr:pic>
    <xdr:clientData/>
  </xdr:oneCellAnchor>
  <xdr:oneCellAnchor>
    <xdr:from>
      <xdr:col>7</xdr:col>
      <xdr:colOff>15240</xdr:colOff>
      <xdr:row>456</xdr:row>
      <xdr:rowOff>5080</xdr:rowOff>
    </xdr:from>
    <xdr:ext cx="1912786" cy="898522"/>
    <xdr:pic>
      <xdr:nvPicPr>
        <xdr:cNvPr id="29" name="Picture 28">
          <a:extLst>
            <a:ext uri="{FF2B5EF4-FFF2-40B4-BE49-F238E27FC236}">
              <a16:creationId xmlns:a16="http://schemas.microsoft.com/office/drawing/2014/main" id="{3213D8C6-B262-4890-9B67-586A67809074}"/>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82440" y="72974200"/>
          <a:ext cx="1912786" cy="898522"/>
        </a:xfrm>
        <a:prstGeom prst="rect">
          <a:avLst/>
        </a:prstGeom>
      </xdr:spPr>
    </xdr:pic>
    <xdr:clientData/>
  </xdr:oneCellAnchor>
  <xdr:oneCellAnchor>
    <xdr:from>
      <xdr:col>7</xdr:col>
      <xdr:colOff>15240</xdr:colOff>
      <xdr:row>466</xdr:row>
      <xdr:rowOff>5080</xdr:rowOff>
    </xdr:from>
    <xdr:ext cx="1912786" cy="898522"/>
    <xdr:pic>
      <xdr:nvPicPr>
        <xdr:cNvPr id="30" name="Picture 29">
          <a:extLst>
            <a:ext uri="{FF2B5EF4-FFF2-40B4-BE49-F238E27FC236}">
              <a16:creationId xmlns:a16="http://schemas.microsoft.com/office/drawing/2014/main" id="{3D9FB00A-A487-4DE1-BA18-94BB96790F3D}"/>
            </a:ext>
          </a:extLst>
        </xdr:cNvPr>
        <xdr:cNvPicPr>
          <a:picLocks/>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282440" y="74574400"/>
          <a:ext cx="1912786" cy="898522"/>
        </a:xfrm>
        <a:prstGeom prst="rect">
          <a:avLst/>
        </a:prstGeom>
      </xdr:spPr>
    </xdr:pic>
    <xdr:clientData/>
  </xdr:oneCellAnchor>
  <xdr:oneCellAnchor>
    <xdr:from>
      <xdr:col>7</xdr:col>
      <xdr:colOff>15240</xdr:colOff>
      <xdr:row>476</xdr:row>
      <xdr:rowOff>5080</xdr:rowOff>
    </xdr:from>
    <xdr:ext cx="1912786" cy="898522"/>
    <xdr:pic>
      <xdr:nvPicPr>
        <xdr:cNvPr id="31" name="Picture 30">
          <a:extLst>
            <a:ext uri="{FF2B5EF4-FFF2-40B4-BE49-F238E27FC236}">
              <a16:creationId xmlns:a16="http://schemas.microsoft.com/office/drawing/2014/main" id="{AFB229BE-0392-4A80-B9A1-963CCB28AC38}"/>
            </a:ext>
          </a:extLst>
        </xdr:cNvPr>
        <xdr:cNvPicPr>
          <a:picLocks/>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282440" y="76174600"/>
          <a:ext cx="1912786" cy="898522"/>
        </a:xfrm>
        <a:prstGeom prst="rect">
          <a:avLst/>
        </a:prstGeom>
      </xdr:spPr>
    </xdr:pic>
    <xdr:clientData/>
  </xdr:oneCellAnchor>
  <xdr:oneCellAnchor>
    <xdr:from>
      <xdr:col>7</xdr:col>
      <xdr:colOff>15240</xdr:colOff>
      <xdr:row>486</xdr:row>
      <xdr:rowOff>5080</xdr:rowOff>
    </xdr:from>
    <xdr:ext cx="1912786" cy="898522"/>
    <xdr:pic>
      <xdr:nvPicPr>
        <xdr:cNvPr id="32" name="Picture 31">
          <a:extLst>
            <a:ext uri="{FF2B5EF4-FFF2-40B4-BE49-F238E27FC236}">
              <a16:creationId xmlns:a16="http://schemas.microsoft.com/office/drawing/2014/main" id="{A744F5B8-D1F9-4860-A57D-CD558068CF2E}"/>
            </a:ext>
          </a:extLst>
        </xdr:cNvPr>
        <xdr:cNvPicPr>
          <a:picLocks/>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282440" y="77774800"/>
          <a:ext cx="1912786" cy="898522"/>
        </a:xfrm>
        <a:prstGeom prst="rect">
          <a:avLst/>
        </a:prstGeom>
      </xdr:spPr>
    </xdr:pic>
    <xdr:clientData/>
  </xdr:oneCellAnchor>
  <xdr:oneCellAnchor>
    <xdr:from>
      <xdr:col>7</xdr:col>
      <xdr:colOff>15240</xdr:colOff>
      <xdr:row>496</xdr:row>
      <xdr:rowOff>5080</xdr:rowOff>
    </xdr:from>
    <xdr:ext cx="1912786" cy="898522"/>
    <xdr:pic>
      <xdr:nvPicPr>
        <xdr:cNvPr id="33" name="Picture 32">
          <a:extLst>
            <a:ext uri="{FF2B5EF4-FFF2-40B4-BE49-F238E27FC236}">
              <a16:creationId xmlns:a16="http://schemas.microsoft.com/office/drawing/2014/main" id="{BD2F91BE-84A1-4DC9-BEA5-93C2822AE93D}"/>
            </a:ext>
          </a:extLst>
        </xdr:cNvPr>
        <xdr:cNvPicPr>
          <a:picLocks/>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82440" y="79375000"/>
          <a:ext cx="1912786" cy="898522"/>
        </a:xfrm>
        <a:prstGeom prst="rect">
          <a:avLst/>
        </a:prstGeom>
      </xdr:spPr>
    </xdr:pic>
    <xdr:clientData/>
  </xdr:oneCellAnchor>
  <xdr:oneCellAnchor>
    <xdr:from>
      <xdr:col>7</xdr:col>
      <xdr:colOff>15240</xdr:colOff>
      <xdr:row>506</xdr:row>
      <xdr:rowOff>5080</xdr:rowOff>
    </xdr:from>
    <xdr:ext cx="1912786" cy="898522"/>
    <xdr:pic>
      <xdr:nvPicPr>
        <xdr:cNvPr id="34" name="Picture 33">
          <a:extLst>
            <a:ext uri="{FF2B5EF4-FFF2-40B4-BE49-F238E27FC236}">
              <a16:creationId xmlns:a16="http://schemas.microsoft.com/office/drawing/2014/main" id="{1A36DDCF-40E0-4A64-8C53-D57D1B1E2466}"/>
            </a:ext>
          </a:extLst>
        </xdr:cNvPr>
        <xdr:cNvPicPr>
          <a:picLocks/>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282440" y="80975200"/>
          <a:ext cx="1912786" cy="898522"/>
        </a:xfrm>
        <a:prstGeom prst="rect">
          <a:avLst/>
        </a:prstGeom>
      </xdr:spPr>
    </xdr:pic>
    <xdr:clientData/>
  </xdr:oneCellAnchor>
  <xdr:oneCellAnchor>
    <xdr:from>
      <xdr:col>7</xdr:col>
      <xdr:colOff>15240</xdr:colOff>
      <xdr:row>517</xdr:row>
      <xdr:rowOff>157480</xdr:rowOff>
    </xdr:from>
    <xdr:ext cx="1912786" cy="898522"/>
    <xdr:pic>
      <xdr:nvPicPr>
        <xdr:cNvPr id="35" name="Picture 34">
          <a:extLst>
            <a:ext uri="{FF2B5EF4-FFF2-40B4-BE49-F238E27FC236}">
              <a16:creationId xmlns:a16="http://schemas.microsoft.com/office/drawing/2014/main" id="{66F4C6F7-588C-45D5-9D8E-9A49E44E83D1}"/>
            </a:ext>
          </a:extLst>
        </xdr:cNvPr>
        <xdr:cNvPicPr>
          <a:picLocks/>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4282440" y="82887820"/>
          <a:ext cx="1912786" cy="898522"/>
        </a:xfrm>
        <a:prstGeom prst="rect">
          <a:avLst/>
        </a:prstGeom>
      </xdr:spPr>
    </xdr:pic>
    <xdr:clientData/>
  </xdr:oneCellAnchor>
  <xdr:oneCellAnchor>
    <xdr:from>
      <xdr:col>7</xdr:col>
      <xdr:colOff>15240</xdr:colOff>
      <xdr:row>527</xdr:row>
      <xdr:rowOff>157480</xdr:rowOff>
    </xdr:from>
    <xdr:ext cx="1912786" cy="898522"/>
    <xdr:pic>
      <xdr:nvPicPr>
        <xdr:cNvPr id="36" name="Picture 35">
          <a:extLst>
            <a:ext uri="{FF2B5EF4-FFF2-40B4-BE49-F238E27FC236}">
              <a16:creationId xmlns:a16="http://schemas.microsoft.com/office/drawing/2014/main" id="{61517D85-C14C-45B1-848D-40EE4849FB8F}"/>
            </a:ext>
          </a:extLst>
        </xdr:cNvPr>
        <xdr:cNvPicPr>
          <a:picLocks/>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4282440" y="84488020"/>
          <a:ext cx="1912786" cy="898522"/>
        </a:xfrm>
        <a:prstGeom prst="rect">
          <a:avLst/>
        </a:prstGeom>
      </xdr:spPr>
    </xdr:pic>
    <xdr:clientData/>
  </xdr:oneCellAnchor>
  <xdr:oneCellAnchor>
    <xdr:from>
      <xdr:col>7</xdr:col>
      <xdr:colOff>15240</xdr:colOff>
      <xdr:row>537</xdr:row>
      <xdr:rowOff>157480</xdr:rowOff>
    </xdr:from>
    <xdr:ext cx="1912786" cy="898522"/>
    <xdr:pic>
      <xdr:nvPicPr>
        <xdr:cNvPr id="37" name="Picture 36">
          <a:extLst>
            <a:ext uri="{FF2B5EF4-FFF2-40B4-BE49-F238E27FC236}">
              <a16:creationId xmlns:a16="http://schemas.microsoft.com/office/drawing/2014/main" id="{5376B45A-A9ED-4314-AAB0-6B9B3CC4C3D2}"/>
            </a:ext>
          </a:extLst>
        </xdr:cNvPr>
        <xdr:cNvPicPr>
          <a:picLocks/>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282440" y="86088220"/>
          <a:ext cx="1912786" cy="898522"/>
        </a:xfrm>
        <a:prstGeom prst="rect">
          <a:avLst/>
        </a:prstGeom>
      </xdr:spPr>
    </xdr:pic>
    <xdr:clientData/>
  </xdr:oneCellAnchor>
  <xdr:oneCellAnchor>
    <xdr:from>
      <xdr:col>7</xdr:col>
      <xdr:colOff>15240</xdr:colOff>
      <xdr:row>547</xdr:row>
      <xdr:rowOff>157480</xdr:rowOff>
    </xdr:from>
    <xdr:ext cx="1912786" cy="898522"/>
    <xdr:pic>
      <xdr:nvPicPr>
        <xdr:cNvPr id="38" name="Picture 37">
          <a:extLst>
            <a:ext uri="{FF2B5EF4-FFF2-40B4-BE49-F238E27FC236}">
              <a16:creationId xmlns:a16="http://schemas.microsoft.com/office/drawing/2014/main" id="{9C12458E-D0E9-4058-B99F-41767DC7F7AF}"/>
            </a:ext>
          </a:extLst>
        </xdr:cNvPr>
        <xdr:cNvPicPr>
          <a:picLocks/>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282440" y="87688420"/>
          <a:ext cx="1912786" cy="898522"/>
        </a:xfrm>
        <a:prstGeom prst="rect">
          <a:avLst/>
        </a:prstGeom>
      </xdr:spPr>
    </xdr:pic>
    <xdr:clientData/>
  </xdr:oneCellAnchor>
  <xdr:oneCellAnchor>
    <xdr:from>
      <xdr:col>7</xdr:col>
      <xdr:colOff>15240</xdr:colOff>
      <xdr:row>557</xdr:row>
      <xdr:rowOff>157480</xdr:rowOff>
    </xdr:from>
    <xdr:ext cx="1912786" cy="898522"/>
    <xdr:pic>
      <xdr:nvPicPr>
        <xdr:cNvPr id="39" name="Picture 38">
          <a:extLst>
            <a:ext uri="{FF2B5EF4-FFF2-40B4-BE49-F238E27FC236}">
              <a16:creationId xmlns:a16="http://schemas.microsoft.com/office/drawing/2014/main" id="{3CDFB767-A9EF-4196-BAD3-6463D96CD715}"/>
            </a:ext>
          </a:extLst>
        </xdr:cNvPr>
        <xdr:cNvPicPr>
          <a:picLocks/>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282440" y="89288620"/>
          <a:ext cx="1912786" cy="898522"/>
        </a:xfrm>
        <a:prstGeom prst="rect">
          <a:avLst/>
        </a:prstGeom>
      </xdr:spPr>
    </xdr:pic>
    <xdr:clientData/>
  </xdr:oneCellAnchor>
  <xdr:oneCellAnchor>
    <xdr:from>
      <xdr:col>7</xdr:col>
      <xdr:colOff>15240</xdr:colOff>
      <xdr:row>567</xdr:row>
      <xdr:rowOff>157480</xdr:rowOff>
    </xdr:from>
    <xdr:ext cx="1912786" cy="898522"/>
    <xdr:pic>
      <xdr:nvPicPr>
        <xdr:cNvPr id="40" name="Picture 39">
          <a:extLst>
            <a:ext uri="{FF2B5EF4-FFF2-40B4-BE49-F238E27FC236}">
              <a16:creationId xmlns:a16="http://schemas.microsoft.com/office/drawing/2014/main" id="{D8035797-DFB6-4A59-B3FC-73FC4FC582C3}"/>
            </a:ext>
          </a:extLst>
        </xdr:cNvPr>
        <xdr:cNvPicPr>
          <a:picLocks/>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282440" y="90888820"/>
          <a:ext cx="1912786" cy="898522"/>
        </a:xfrm>
        <a:prstGeom prst="rect">
          <a:avLst/>
        </a:prstGeom>
      </xdr:spPr>
    </xdr:pic>
    <xdr:clientData/>
  </xdr:oneCellAnchor>
  <xdr:oneCellAnchor>
    <xdr:from>
      <xdr:col>7</xdr:col>
      <xdr:colOff>15240</xdr:colOff>
      <xdr:row>577</xdr:row>
      <xdr:rowOff>157480</xdr:rowOff>
    </xdr:from>
    <xdr:ext cx="1912786" cy="898522"/>
    <xdr:pic>
      <xdr:nvPicPr>
        <xdr:cNvPr id="41" name="Picture 40">
          <a:extLst>
            <a:ext uri="{FF2B5EF4-FFF2-40B4-BE49-F238E27FC236}">
              <a16:creationId xmlns:a16="http://schemas.microsoft.com/office/drawing/2014/main" id="{15DD1BE7-928A-490D-A138-64CF55207B04}"/>
            </a:ext>
          </a:extLst>
        </xdr:cNvPr>
        <xdr:cNvPicPr>
          <a:picLocks/>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282440" y="92489020"/>
          <a:ext cx="1912786" cy="898522"/>
        </a:xfrm>
        <a:prstGeom prst="rect">
          <a:avLst/>
        </a:prstGeom>
      </xdr:spPr>
    </xdr:pic>
    <xdr:clientData/>
  </xdr:oneCellAnchor>
  <xdr:oneCellAnchor>
    <xdr:from>
      <xdr:col>7</xdr:col>
      <xdr:colOff>15240</xdr:colOff>
      <xdr:row>587</xdr:row>
      <xdr:rowOff>157480</xdr:rowOff>
    </xdr:from>
    <xdr:ext cx="1912786" cy="898522"/>
    <xdr:pic>
      <xdr:nvPicPr>
        <xdr:cNvPr id="42" name="Picture 41">
          <a:extLst>
            <a:ext uri="{FF2B5EF4-FFF2-40B4-BE49-F238E27FC236}">
              <a16:creationId xmlns:a16="http://schemas.microsoft.com/office/drawing/2014/main" id="{10630643-9B89-40F0-AE86-8509F13F4F82}"/>
            </a:ext>
          </a:extLst>
        </xdr:cNvPr>
        <xdr:cNvPicPr>
          <a:picLocks/>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4282440" y="94089220"/>
          <a:ext cx="1912786" cy="898522"/>
        </a:xfrm>
        <a:prstGeom prst="rect">
          <a:avLst/>
        </a:prstGeom>
      </xdr:spPr>
    </xdr:pic>
    <xdr:clientData/>
  </xdr:oneCellAnchor>
  <xdr:oneCellAnchor>
    <xdr:from>
      <xdr:col>7</xdr:col>
      <xdr:colOff>15240</xdr:colOff>
      <xdr:row>597</xdr:row>
      <xdr:rowOff>157480</xdr:rowOff>
    </xdr:from>
    <xdr:ext cx="1912786" cy="898522"/>
    <xdr:pic>
      <xdr:nvPicPr>
        <xdr:cNvPr id="43" name="Picture 42">
          <a:extLst>
            <a:ext uri="{FF2B5EF4-FFF2-40B4-BE49-F238E27FC236}">
              <a16:creationId xmlns:a16="http://schemas.microsoft.com/office/drawing/2014/main" id="{6CB7DB8C-BB56-4347-A830-A7F460F79491}"/>
            </a:ext>
          </a:extLst>
        </xdr:cNvPr>
        <xdr:cNvPicPr>
          <a:picLocks/>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282440" y="95689420"/>
          <a:ext cx="1912786" cy="898522"/>
        </a:xfrm>
        <a:prstGeom prst="rect">
          <a:avLst/>
        </a:prstGeom>
      </xdr:spPr>
    </xdr:pic>
    <xdr:clientData/>
  </xdr:oneCellAnchor>
  <xdr:oneCellAnchor>
    <xdr:from>
      <xdr:col>7</xdr:col>
      <xdr:colOff>15240</xdr:colOff>
      <xdr:row>607</xdr:row>
      <xdr:rowOff>157480</xdr:rowOff>
    </xdr:from>
    <xdr:ext cx="1912786" cy="898522"/>
    <xdr:pic>
      <xdr:nvPicPr>
        <xdr:cNvPr id="44" name="Picture 43">
          <a:extLst>
            <a:ext uri="{FF2B5EF4-FFF2-40B4-BE49-F238E27FC236}">
              <a16:creationId xmlns:a16="http://schemas.microsoft.com/office/drawing/2014/main" id="{C5257580-0C1B-4D46-BEA8-293704BA5819}"/>
            </a:ext>
          </a:extLst>
        </xdr:cNvPr>
        <xdr:cNvPicPr>
          <a:picLocks/>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282440" y="97289620"/>
          <a:ext cx="1912786" cy="898522"/>
        </a:xfrm>
        <a:prstGeom prst="rect">
          <a:avLst/>
        </a:prstGeom>
      </xdr:spPr>
    </xdr:pic>
    <xdr:clientData/>
  </xdr:oneCellAnchor>
  <xdr:oneCellAnchor>
    <xdr:from>
      <xdr:col>7</xdr:col>
      <xdr:colOff>15240</xdr:colOff>
      <xdr:row>617</xdr:row>
      <xdr:rowOff>157480</xdr:rowOff>
    </xdr:from>
    <xdr:ext cx="1912786" cy="898522"/>
    <xdr:pic>
      <xdr:nvPicPr>
        <xdr:cNvPr id="45" name="Picture 44">
          <a:extLst>
            <a:ext uri="{FF2B5EF4-FFF2-40B4-BE49-F238E27FC236}">
              <a16:creationId xmlns:a16="http://schemas.microsoft.com/office/drawing/2014/main" id="{ACD33250-3584-4228-8A0F-BA5FFC794200}"/>
            </a:ext>
          </a:extLst>
        </xdr:cNvPr>
        <xdr:cNvPicPr>
          <a:picLocks/>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282440" y="98889820"/>
          <a:ext cx="1912786" cy="898522"/>
        </a:xfrm>
        <a:prstGeom prst="rect">
          <a:avLst/>
        </a:prstGeom>
      </xdr:spPr>
    </xdr:pic>
    <xdr:clientData/>
  </xdr:oneCellAnchor>
  <xdr:oneCellAnchor>
    <xdr:from>
      <xdr:col>7</xdr:col>
      <xdr:colOff>15240</xdr:colOff>
      <xdr:row>627</xdr:row>
      <xdr:rowOff>157480</xdr:rowOff>
    </xdr:from>
    <xdr:ext cx="1912786" cy="898522"/>
    <xdr:pic>
      <xdr:nvPicPr>
        <xdr:cNvPr id="46" name="Picture 45">
          <a:extLst>
            <a:ext uri="{FF2B5EF4-FFF2-40B4-BE49-F238E27FC236}">
              <a16:creationId xmlns:a16="http://schemas.microsoft.com/office/drawing/2014/main" id="{98B2F443-6159-4426-955E-A041D3E6466F}"/>
            </a:ext>
          </a:extLst>
        </xdr:cNvPr>
        <xdr:cNvPicPr>
          <a:picLocks/>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282440" y="100490020"/>
          <a:ext cx="1912786" cy="898522"/>
        </a:xfrm>
        <a:prstGeom prst="rect">
          <a:avLst/>
        </a:prstGeom>
      </xdr:spPr>
    </xdr:pic>
    <xdr:clientData/>
  </xdr:oneCellAnchor>
  <xdr:oneCellAnchor>
    <xdr:from>
      <xdr:col>7</xdr:col>
      <xdr:colOff>15240</xdr:colOff>
      <xdr:row>637</xdr:row>
      <xdr:rowOff>157480</xdr:rowOff>
    </xdr:from>
    <xdr:ext cx="1912786" cy="898522"/>
    <xdr:pic>
      <xdr:nvPicPr>
        <xdr:cNvPr id="47" name="Picture 46">
          <a:extLst>
            <a:ext uri="{FF2B5EF4-FFF2-40B4-BE49-F238E27FC236}">
              <a16:creationId xmlns:a16="http://schemas.microsoft.com/office/drawing/2014/main" id="{07893DCB-9CB1-475E-BC03-739381FE5E1B}"/>
            </a:ext>
          </a:extLst>
        </xdr:cNvPr>
        <xdr:cNvPicPr>
          <a:picLocks/>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282440" y="102090220"/>
          <a:ext cx="1912786" cy="898522"/>
        </a:xfrm>
        <a:prstGeom prst="rect">
          <a:avLst/>
        </a:prstGeom>
      </xdr:spPr>
    </xdr:pic>
    <xdr:clientData/>
  </xdr:oneCellAnchor>
  <xdr:oneCellAnchor>
    <xdr:from>
      <xdr:col>7</xdr:col>
      <xdr:colOff>15240</xdr:colOff>
      <xdr:row>647</xdr:row>
      <xdr:rowOff>157480</xdr:rowOff>
    </xdr:from>
    <xdr:ext cx="1912786" cy="898522"/>
    <xdr:pic>
      <xdr:nvPicPr>
        <xdr:cNvPr id="48" name="Picture 47">
          <a:extLst>
            <a:ext uri="{FF2B5EF4-FFF2-40B4-BE49-F238E27FC236}">
              <a16:creationId xmlns:a16="http://schemas.microsoft.com/office/drawing/2014/main" id="{57A483AA-7BBB-4B37-9C83-E40D2D178A50}"/>
            </a:ext>
          </a:extLst>
        </xdr:cNvPr>
        <xdr:cNvPicPr>
          <a:picLocks/>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4282440" y="103690420"/>
          <a:ext cx="1912786" cy="898522"/>
        </a:xfrm>
        <a:prstGeom prst="rect">
          <a:avLst/>
        </a:prstGeom>
      </xdr:spPr>
    </xdr:pic>
    <xdr:clientData/>
  </xdr:oneCellAnchor>
  <xdr:oneCellAnchor>
    <xdr:from>
      <xdr:col>7</xdr:col>
      <xdr:colOff>15240</xdr:colOff>
      <xdr:row>657</xdr:row>
      <xdr:rowOff>157480</xdr:rowOff>
    </xdr:from>
    <xdr:ext cx="1912786" cy="898522"/>
    <xdr:pic>
      <xdr:nvPicPr>
        <xdr:cNvPr id="49" name="Picture 48">
          <a:extLst>
            <a:ext uri="{FF2B5EF4-FFF2-40B4-BE49-F238E27FC236}">
              <a16:creationId xmlns:a16="http://schemas.microsoft.com/office/drawing/2014/main" id="{D4A9F19D-4F39-4C9E-87E7-C1DB102F048A}"/>
            </a:ext>
          </a:extLst>
        </xdr:cNvPr>
        <xdr:cNvPicPr>
          <a:picLocks/>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282440" y="105290620"/>
          <a:ext cx="1912786" cy="898522"/>
        </a:xfrm>
        <a:prstGeom prst="rect">
          <a:avLst/>
        </a:prstGeom>
      </xdr:spPr>
    </xdr:pic>
    <xdr:clientData/>
  </xdr:oneCellAnchor>
  <xdr:oneCellAnchor>
    <xdr:from>
      <xdr:col>7</xdr:col>
      <xdr:colOff>15240</xdr:colOff>
      <xdr:row>667</xdr:row>
      <xdr:rowOff>157480</xdr:rowOff>
    </xdr:from>
    <xdr:ext cx="1912786" cy="898522"/>
    <xdr:pic>
      <xdr:nvPicPr>
        <xdr:cNvPr id="50" name="Picture 49">
          <a:extLst>
            <a:ext uri="{FF2B5EF4-FFF2-40B4-BE49-F238E27FC236}">
              <a16:creationId xmlns:a16="http://schemas.microsoft.com/office/drawing/2014/main" id="{2E2B287D-3D8A-49B4-961A-A1515A5796FF}"/>
            </a:ext>
          </a:extLst>
        </xdr:cNvPr>
        <xdr:cNvPicPr>
          <a:picLocks/>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282440" y="106890820"/>
          <a:ext cx="1912786" cy="898522"/>
        </a:xfrm>
        <a:prstGeom prst="rect">
          <a:avLst/>
        </a:prstGeom>
      </xdr:spPr>
    </xdr:pic>
    <xdr:clientData/>
  </xdr:oneCellAnchor>
  <xdr:oneCellAnchor>
    <xdr:from>
      <xdr:col>7</xdr:col>
      <xdr:colOff>15240</xdr:colOff>
      <xdr:row>677</xdr:row>
      <xdr:rowOff>157480</xdr:rowOff>
    </xdr:from>
    <xdr:ext cx="1912786" cy="898522"/>
    <xdr:pic>
      <xdr:nvPicPr>
        <xdr:cNvPr id="51" name="Picture 50">
          <a:extLst>
            <a:ext uri="{FF2B5EF4-FFF2-40B4-BE49-F238E27FC236}">
              <a16:creationId xmlns:a16="http://schemas.microsoft.com/office/drawing/2014/main" id="{A7F9C8F6-4BB4-4711-BBD6-0D2E78D584C1}"/>
            </a:ext>
          </a:extLst>
        </xdr:cNvPr>
        <xdr:cNvPicPr>
          <a:picLocks/>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282440" y="108491020"/>
          <a:ext cx="1912786" cy="898522"/>
        </a:xfrm>
        <a:prstGeom prst="rect">
          <a:avLst/>
        </a:prstGeom>
      </xdr:spPr>
    </xdr:pic>
    <xdr:clientData/>
  </xdr:oneCellAnchor>
  <xdr:oneCellAnchor>
    <xdr:from>
      <xdr:col>7</xdr:col>
      <xdr:colOff>15240</xdr:colOff>
      <xdr:row>687</xdr:row>
      <xdr:rowOff>157480</xdr:rowOff>
    </xdr:from>
    <xdr:ext cx="1912786" cy="898522"/>
    <xdr:pic>
      <xdr:nvPicPr>
        <xdr:cNvPr id="52" name="Picture 51">
          <a:extLst>
            <a:ext uri="{FF2B5EF4-FFF2-40B4-BE49-F238E27FC236}">
              <a16:creationId xmlns:a16="http://schemas.microsoft.com/office/drawing/2014/main" id="{A6D33F29-B8C3-455B-9861-FA7CAE4F42F9}"/>
            </a:ext>
          </a:extLst>
        </xdr:cNvPr>
        <xdr:cNvPicPr>
          <a:picLocks/>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282440" y="110091220"/>
          <a:ext cx="1912786" cy="898522"/>
        </a:xfrm>
        <a:prstGeom prst="rect">
          <a:avLst/>
        </a:prstGeom>
      </xdr:spPr>
    </xdr:pic>
    <xdr:clientData/>
  </xdr:oneCellAnchor>
  <xdr:oneCellAnchor>
    <xdr:from>
      <xdr:col>7</xdr:col>
      <xdr:colOff>15240</xdr:colOff>
      <xdr:row>697</xdr:row>
      <xdr:rowOff>157480</xdr:rowOff>
    </xdr:from>
    <xdr:ext cx="1912786" cy="898522"/>
    <xdr:pic>
      <xdr:nvPicPr>
        <xdr:cNvPr id="53" name="Picture 52">
          <a:extLst>
            <a:ext uri="{FF2B5EF4-FFF2-40B4-BE49-F238E27FC236}">
              <a16:creationId xmlns:a16="http://schemas.microsoft.com/office/drawing/2014/main" id="{835DEFC4-3468-45EB-B850-4AB60ACDA95F}"/>
            </a:ext>
          </a:extLst>
        </xdr:cNvPr>
        <xdr:cNvPicPr>
          <a:picLocks/>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4282440" y="111691420"/>
          <a:ext cx="1912786" cy="898522"/>
        </a:xfrm>
        <a:prstGeom prst="rect">
          <a:avLst/>
        </a:prstGeom>
      </xdr:spPr>
    </xdr:pic>
    <xdr:clientData/>
  </xdr:oneCellAnchor>
  <xdr:oneCellAnchor>
    <xdr:from>
      <xdr:col>7</xdr:col>
      <xdr:colOff>15240</xdr:colOff>
      <xdr:row>707</xdr:row>
      <xdr:rowOff>157480</xdr:rowOff>
    </xdr:from>
    <xdr:ext cx="1912786" cy="898522"/>
    <xdr:pic>
      <xdr:nvPicPr>
        <xdr:cNvPr id="54" name="Picture 53">
          <a:extLst>
            <a:ext uri="{FF2B5EF4-FFF2-40B4-BE49-F238E27FC236}">
              <a16:creationId xmlns:a16="http://schemas.microsoft.com/office/drawing/2014/main" id="{2F0A0060-0ED7-4528-948F-8D7DA6175877}"/>
            </a:ext>
          </a:extLst>
        </xdr:cNvPr>
        <xdr:cNvPicPr>
          <a:picLocks/>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282440" y="113291620"/>
          <a:ext cx="1912786" cy="898522"/>
        </a:xfrm>
        <a:prstGeom prst="rect">
          <a:avLst/>
        </a:prstGeom>
      </xdr:spPr>
    </xdr:pic>
    <xdr:clientData/>
  </xdr:oneCellAnchor>
  <xdr:oneCellAnchor>
    <xdr:from>
      <xdr:col>7</xdr:col>
      <xdr:colOff>15240</xdr:colOff>
      <xdr:row>717</xdr:row>
      <xdr:rowOff>157480</xdr:rowOff>
    </xdr:from>
    <xdr:ext cx="1912786" cy="898522"/>
    <xdr:pic>
      <xdr:nvPicPr>
        <xdr:cNvPr id="55" name="Picture 54">
          <a:extLst>
            <a:ext uri="{FF2B5EF4-FFF2-40B4-BE49-F238E27FC236}">
              <a16:creationId xmlns:a16="http://schemas.microsoft.com/office/drawing/2014/main" id="{07D92198-5AA4-4D09-BDCB-62C401954C09}"/>
            </a:ext>
          </a:extLst>
        </xdr:cNvPr>
        <xdr:cNvPicPr>
          <a:picLocks/>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4282440" y="114891820"/>
          <a:ext cx="1912786" cy="898522"/>
        </a:xfrm>
        <a:prstGeom prst="rect">
          <a:avLst/>
        </a:prstGeom>
      </xdr:spPr>
    </xdr:pic>
    <xdr:clientData/>
  </xdr:oneCellAnchor>
  <xdr:oneCellAnchor>
    <xdr:from>
      <xdr:col>7</xdr:col>
      <xdr:colOff>15240</xdr:colOff>
      <xdr:row>727</xdr:row>
      <xdr:rowOff>157480</xdr:rowOff>
    </xdr:from>
    <xdr:ext cx="1912786" cy="898522"/>
    <xdr:pic>
      <xdr:nvPicPr>
        <xdr:cNvPr id="56" name="Picture 55">
          <a:extLst>
            <a:ext uri="{FF2B5EF4-FFF2-40B4-BE49-F238E27FC236}">
              <a16:creationId xmlns:a16="http://schemas.microsoft.com/office/drawing/2014/main" id="{E32083B5-ACF1-4184-B420-E5376CC41346}"/>
            </a:ext>
          </a:extLst>
        </xdr:cNvPr>
        <xdr:cNvPicPr>
          <a:picLocks/>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282440" y="116492020"/>
          <a:ext cx="1912786" cy="898522"/>
        </a:xfrm>
        <a:prstGeom prst="rect">
          <a:avLst/>
        </a:prstGeom>
      </xdr:spPr>
    </xdr:pic>
    <xdr:clientData/>
  </xdr:oneCellAnchor>
  <xdr:oneCellAnchor>
    <xdr:from>
      <xdr:col>7</xdr:col>
      <xdr:colOff>15240</xdr:colOff>
      <xdr:row>737</xdr:row>
      <xdr:rowOff>157480</xdr:rowOff>
    </xdr:from>
    <xdr:ext cx="1912786" cy="898522"/>
    <xdr:pic>
      <xdr:nvPicPr>
        <xdr:cNvPr id="57" name="Picture 56">
          <a:extLst>
            <a:ext uri="{FF2B5EF4-FFF2-40B4-BE49-F238E27FC236}">
              <a16:creationId xmlns:a16="http://schemas.microsoft.com/office/drawing/2014/main" id="{5D598B79-4324-409F-8EFE-7D2B02539353}"/>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282440" y="118092220"/>
          <a:ext cx="1912786" cy="898522"/>
        </a:xfrm>
        <a:prstGeom prst="rect">
          <a:avLst/>
        </a:prstGeom>
      </xdr:spPr>
    </xdr:pic>
    <xdr:clientData/>
  </xdr:oneCellAnchor>
  <xdr:oneCellAnchor>
    <xdr:from>
      <xdr:col>7</xdr:col>
      <xdr:colOff>15240</xdr:colOff>
      <xdr:row>747</xdr:row>
      <xdr:rowOff>157480</xdr:rowOff>
    </xdr:from>
    <xdr:ext cx="1912786" cy="898522"/>
    <xdr:pic>
      <xdr:nvPicPr>
        <xdr:cNvPr id="58" name="Picture 57">
          <a:extLst>
            <a:ext uri="{FF2B5EF4-FFF2-40B4-BE49-F238E27FC236}">
              <a16:creationId xmlns:a16="http://schemas.microsoft.com/office/drawing/2014/main" id="{F6F64776-26C9-473F-8BEB-5A212E0DA93E}"/>
            </a:ext>
          </a:extLst>
        </xdr:cNvPr>
        <xdr:cNvPicPr>
          <a:picLocks/>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282440" y="119692420"/>
          <a:ext cx="1912786" cy="898522"/>
        </a:xfrm>
        <a:prstGeom prst="rect">
          <a:avLst/>
        </a:prstGeom>
      </xdr:spPr>
    </xdr:pic>
    <xdr:clientData/>
  </xdr:oneCellAnchor>
  <xdr:oneCellAnchor>
    <xdr:from>
      <xdr:col>7</xdr:col>
      <xdr:colOff>15240</xdr:colOff>
      <xdr:row>757</xdr:row>
      <xdr:rowOff>157480</xdr:rowOff>
    </xdr:from>
    <xdr:ext cx="1912786" cy="898522"/>
    <xdr:pic>
      <xdr:nvPicPr>
        <xdr:cNvPr id="59" name="Picture 58">
          <a:extLst>
            <a:ext uri="{FF2B5EF4-FFF2-40B4-BE49-F238E27FC236}">
              <a16:creationId xmlns:a16="http://schemas.microsoft.com/office/drawing/2014/main" id="{C671C897-C29E-4FD9-A717-FAFC0E690D21}"/>
            </a:ext>
          </a:extLst>
        </xdr:cNvPr>
        <xdr:cNvPicPr>
          <a:picLocks/>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282440" y="121292620"/>
          <a:ext cx="1912786" cy="898522"/>
        </a:xfrm>
        <a:prstGeom prst="rect">
          <a:avLst/>
        </a:prstGeom>
      </xdr:spPr>
    </xdr:pic>
    <xdr:clientData/>
  </xdr:oneCellAnchor>
  <xdr:oneCellAnchor>
    <xdr:from>
      <xdr:col>7</xdr:col>
      <xdr:colOff>15240</xdr:colOff>
      <xdr:row>767</xdr:row>
      <xdr:rowOff>157480</xdr:rowOff>
    </xdr:from>
    <xdr:ext cx="1912786" cy="898522"/>
    <xdr:pic>
      <xdr:nvPicPr>
        <xdr:cNvPr id="60" name="Picture 59">
          <a:extLst>
            <a:ext uri="{FF2B5EF4-FFF2-40B4-BE49-F238E27FC236}">
              <a16:creationId xmlns:a16="http://schemas.microsoft.com/office/drawing/2014/main" id="{6D392EC2-C4CF-4A05-A04D-FE2EB964AD1D}"/>
            </a:ext>
          </a:extLst>
        </xdr:cNvPr>
        <xdr:cNvPicPr>
          <a:picLocks/>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4282440" y="122892820"/>
          <a:ext cx="1912786" cy="898522"/>
        </a:xfrm>
        <a:prstGeom prst="rect">
          <a:avLst/>
        </a:prstGeom>
      </xdr:spPr>
    </xdr:pic>
    <xdr:clientData/>
  </xdr:oneCellAnchor>
  <xdr:oneCellAnchor>
    <xdr:from>
      <xdr:col>7</xdr:col>
      <xdr:colOff>15240</xdr:colOff>
      <xdr:row>777</xdr:row>
      <xdr:rowOff>157480</xdr:rowOff>
    </xdr:from>
    <xdr:ext cx="1912786" cy="898522"/>
    <xdr:pic>
      <xdr:nvPicPr>
        <xdr:cNvPr id="61" name="Picture 60">
          <a:extLst>
            <a:ext uri="{FF2B5EF4-FFF2-40B4-BE49-F238E27FC236}">
              <a16:creationId xmlns:a16="http://schemas.microsoft.com/office/drawing/2014/main" id="{FC2EEC0C-D331-4437-BE7D-948EC4F13D6C}"/>
            </a:ext>
          </a:extLst>
        </xdr:cNvPr>
        <xdr:cNvPicPr>
          <a:picLocks/>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4282440" y="124493020"/>
          <a:ext cx="1912786" cy="898522"/>
        </a:xfrm>
        <a:prstGeom prst="rect">
          <a:avLst/>
        </a:prstGeom>
      </xdr:spPr>
    </xdr:pic>
    <xdr:clientData/>
  </xdr:oneCellAnchor>
  <xdr:oneCellAnchor>
    <xdr:from>
      <xdr:col>7</xdr:col>
      <xdr:colOff>15240</xdr:colOff>
      <xdr:row>787</xdr:row>
      <xdr:rowOff>157480</xdr:rowOff>
    </xdr:from>
    <xdr:ext cx="1912786" cy="898522"/>
    <xdr:pic>
      <xdr:nvPicPr>
        <xdr:cNvPr id="62" name="Picture 61">
          <a:extLst>
            <a:ext uri="{FF2B5EF4-FFF2-40B4-BE49-F238E27FC236}">
              <a16:creationId xmlns:a16="http://schemas.microsoft.com/office/drawing/2014/main" id="{B1148644-039F-43AD-ADC4-6A7FD6218E58}"/>
            </a:ext>
          </a:extLst>
        </xdr:cNvPr>
        <xdr:cNvPicPr>
          <a:picLocks/>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4282440" y="126093220"/>
          <a:ext cx="1912786" cy="898522"/>
        </a:xfrm>
        <a:prstGeom prst="rect">
          <a:avLst/>
        </a:prstGeom>
      </xdr:spPr>
    </xdr:pic>
    <xdr:clientData/>
  </xdr:oneCellAnchor>
  <xdr:oneCellAnchor>
    <xdr:from>
      <xdr:col>7</xdr:col>
      <xdr:colOff>15240</xdr:colOff>
      <xdr:row>797</xdr:row>
      <xdr:rowOff>157480</xdr:rowOff>
    </xdr:from>
    <xdr:ext cx="1912786" cy="898522"/>
    <xdr:pic>
      <xdr:nvPicPr>
        <xdr:cNvPr id="63" name="Picture 62">
          <a:extLst>
            <a:ext uri="{FF2B5EF4-FFF2-40B4-BE49-F238E27FC236}">
              <a16:creationId xmlns:a16="http://schemas.microsoft.com/office/drawing/2014/main" id="{41666ECD-9412-4A63-97DE-6967D7D5444E}"/>
            </a:ext>
          </a:extLst>
        </xdr:cNvPr>
        <xdr:cNvPicPr>
          <a:picLocks/>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4282440" y="127693420"/>
          <a:ext cx="1912786" cy="898522"/>
        </a:xfrm>
        <a:prstGeom prst="rect">
          <a:avLst/>
        </a:prstGeom>
      </xdr:spPr>
    </xdr:pic>
    <xdr:clientData/>
  </xdr:oneCellAnchor>
  <xdr:oneCellAnchor>
    <xdr:from>
      <xdr:col>7</xdr:col>
      <xdr:colOff>15240</xdr:colOff>
      <xdr:row>807</xdr:row>
      <xdr:rowOff>157480</xdr:rowOff>
    </xdr:from>
    <xdr:ext cx="1912786" cy="898522"/>
    <xdr:pic>
      <xdr:nvPicPr>
        <xdr:cNvPr id="64" name="Picture 63">
          <a:extLst>
            <a:ext uri="{FF2B5EF4-FFF2-40B4-BE49-F238E27FC236}">
              <a16:creationId xmlns:a16="http://schemas.microsoft.com/office/drawing/2014/main" id="{385D1494-0A8E-446E-9F6B-B5894BE35B80}"/>
            </a:ext>
          </a:extLst>
        </xdr:cNvPr>
        <xdr:cNvPicPr>
          <a:picLocks/>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282440" y="129293620"/>
          <a:ext cx="1912786" cy="898522"/>
        </a:xfrm>
        <a:prstGeom prst="rect">
          <a:avLst/>
        </a:prstGeom>
      </xdr:spPr>
    </xdr:pic>
    <xdr:clientData/>
  </xdr:oneCellAnchor>
  <xdr:oneCellAnchor>
    <xdr:from>
      <xdr:col>3</xdr:col>
      <xdr:colOff>796290</xdr:colOff>
      <xdr:row>822</xdr:row>
      <xdr:rowOff>157480</xdr:rowOff>
    </xdr:from>
    <xdr:ext cx="1912786" cy="898522"/>
    <xdr:pic>
      <xdr:nvPicPr>
        <xdr:cNvPr id="65" name="Picture 64">
          <a:extLst>
            <a:ext uri="{FF2B5EF4-FFF2-40B4-BE49-F238E27FC236}">
              <a16:creationId xmlns:a16="http://schemas.microsoft.com/office/drawing/2014/main" id="{64361A9F-2EC8-410D-B9C5-AE26EF6243B8}"/>
            </a:ext>
          </a:extLst>
        </xdr:cNvPr>
        <xdr:cNvPicPr>
          <a:picLocks/>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2434590" y="131693920"/>
          <a:ext cx="1912786" cy="898522"/>
        </a:xfrm>
        <a:prstGeom prst="rect">
          <a:avLst/>
        </a:prstGeom>
      </xdr:spPr>
    </xdr:pic>
    <xdr:clientData/>
  </xdr:oneCellAnchor>
  <xdr:oneCellAnchor>
    <xdr:from>
      <xdr:col>3</xdr:col>
      <xdr:colOff>796290</xdr:colOff>
      <xdr:row>836</xdr:row>
      <xdr:rowOff>0</xdr:rowOff>
    </xdr:from>
    <xdr:ext cx="1912786" cy="898522"/>
    <xdr:pic>
      <xdr:nvPicPr>
        <xdr:cNvPr id="66" name="Picture 65">
          <a:extLst>
            <a:ext uri="{FF2B5EF4-FFF2-40B4-BE49-F238E27FC236}">
              <a16:creationId xmlns:a16="http://schemas.microsoft.com/office/drawing/2014/main" id="{A5EB19BC-4D87-47CE-935E-DF95F9AC1B0D}"/>
            </a:ext>
          </a:extLst>
        </xdr:cNvPr>
        <xdr:cNvPicPr>
          <a:picLocks/>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2434590" y="133776720"/>
          <a:ext cx="1912786" cy="898522"/>
        </a:xfrm>
        <a:prstGeom prst="rect">
          <a:avLst/>
        </a:prstGeom>
      </xdr:spPr>
    </xdr:pic>
    <xdr:clientData/>
  </xdr:oneCellAnchor>
  <xdr:oneCellAnchor>
    <xdr:from>
      <xdr:col>3</xdr:col>
      <xdr:colOff>796290</xdr:colOff>
      <xdr:row>849</xdr:row>
      <xdr:rowOff>2540</xdr:rowOff>
    </xdr:from>
    <xdr:ext cx="1912786" cy="898522"/>
    <xdr:pic>
      <xdr:nvPicPr>
        <xdr:cNvPr id="67" name="Picture 66">
          <a:extLst>
            <a:ext uri="{FF2B5EF4-FFF2-40B4-BE49-F238E27FC236}">
              <a16:creationId xmlns:a16="http://schemas.microsoft.com/office/drawing/2014/main" id="{41544A3C-6B0F-488E-847E-F46E0948ED71}"/>
            </a:ext>
          </a:extLst>
        </xdr:cNvPr>
        <xdr:cNvPicPr>
          <a:picLocks/>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2434590" y="135859520"/>
          <a:ext cx="1912786" cy="898522"/>
        </a:xfrm>
        <a:prstGeom prst="rect">
          <a:avLst/>
        </a:prstGeom>
      </xdr:spPr>
    </xdr:pic>
    <xdr:clientData/>
  </xdr:oneCellAnchor>
  <xdr:oneCellAnchor>
    <xdr:from>
      <xdr:col>3</xdr:col>
      <xdr:colOff>796290</xdr:colOff>
      <xdr:row>864</xdr:row>
      <xdr:rowOff>2540</xdr:rowOff>
    </xdr:from>
    <xdr:ext cx="1912786" cy="898522"/>
    <xdr:pic>
      <xdr:nvPicPr>
        <xdr:cNvPr id="68" name="Picture 67">
          <a:extLst>
            <a:ext uri="{FF2B5EF4-FFF2-40B4-BE49-F238E27FC236}">
              <a16:creationId xmlns:a16="http://schemas.microsoft.com/office/drawing/2014/main" id="{9EC4EB34-23CE-4730-9753-3B877D4E5649}"/>
            </a:ext>
          </a:extLst>
        </xdr:cNvPr>
        <xdr:cNvPicPr>
          <a:picLocks/>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2434590" y="138259820"/>
          <a:ext cx="1912786" cy="898522"/>
        </a:xfrm>
        <a:prstGeom prst="rect">
          <a:avLst/>
        </a:prstGeom>
      </xdr:spPr>
    </xdr:pic>
    <xdr:clientData/>
  </xdr:oneCellAnchor>
  <xdr:oneCellAnchor>
    <xdr:from>
      <xdr:col>7</xdr:col>
      <xdr:colOff>15240</xdr:colOff>
      <xdr:row>874</xdr:row>
      <xdr:rowOff>2540</xdr:rowOff>
    </xdr:from>
    <xdr:ext cx="1912786" cy="898522"/>
    <xdr:pic>
      <xdr:nvPicPr>
        <xdr:cNvPr id="69" name="Picture 68">
          <a:extLst>
            <a:ext uri="{FF2B5EF4-FFF2-40B4-BE49-F238E27FC236}">
              <a16:creationId xmlns:a16="http://schemas.microsoft.com/office/drawing/2014/main" id="{BE9FF28D-D9FF-4DC9-9503-9BECEF4C92C9}"/>
            </a:ext>
          </a:extLst>
        </xdr:cNvPr>
        <xdr:cNvPicPr>
          <a:picLocks/>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4282440" y="139860020"/>
          <a:ext cx="1912786" cy="898522"/>
        </a:xfrm>
        <a:prstGeom prst="rect">
          <a:avLst/>
        </a:prstGeom>
      </xdr:spPr>
    </xdr:pic>
    <xdr:clientData/>
  </xdr:oneCellAnchor>
  <xdr:oneCellAnchor>
    <xdr:from>
      <xdr:col>3</xdr:col>
      <xdr:colOff>796290</xdr:colOff>
      <xdr:row>887</xdr:row>
      <xdr:rowOff>5080</xdr:rowOff>
    </xdr:from>
    <xdr:ext cx="1912786" cy="898522"/>
    <xdr:pic>
      <xdr:nvPicPr>
        <xdr:cNvPr id="70" name="Picture 69">
          <a:extLst>
            <a:ext uri="{FF2B5EF4-FFF2-40B4-BE49-F238E27FC236}">
              <a16:creationId xmlns:a16="http://schemas.microsoft.com/office/drawing/2014/main" id="{F18195BF-05AC-48D7-9D2E-05AAFD6D93CB}"/>
            </a:ext>
          </a:extLst>
        </xdr:cNvPr>
        <xdr:cNvPicPr>
          <a:picLocks/>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2434590" y="141942820"/>
          <a:ext cx="1912786" cy="898522"/>
        </a:xfrm>
        <a:prstGeom prst="rect">
          <a:avLst/>
        </a:prstGeom>
      </xdr:spPr>
    </xdr:pic>
    <xdr:clientData/>
  </xdr:oneCellAnchor>
  <xdr:oneCellAnchor>
    <xdr:from>
      <xdr:col>7</xdr:col>
      <xdr:colOff>15240</xdr:colOff>
      <xdr:row>897</xdr:row>
      <xdr:rowOff>5080</xdr:rowOff>
    </xdr:from>
    <xdr:ext cx="1912786" cy="898522"/>
    <xdr:pic>
      <xdr:nvPicPr>
        <xdr:cNvPr id="71" name="Picture 70">
          <a:extLst>
            <a:ext uri="{FF2B5EF4-FFF2-40B4-BE49-F238E27FC236}">
              <a16:creationId xmlns:a16="http://schemas.microsoft.com/office/drawing/2014/main" id="{2912BBDC-0413-4731-AAAB-471FBDF2AEAE}"/>
            </a:ext>
          </a:extLst>
        </xdr:cNvPr>
        <xdr:cNvPicPr>
          <a:picLocks/>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4282440" y="143543020"/>
          <a:ext cx="1912786" cy="898522"/>
        </a:xfrm>
        <a:prstGeom prst="rect">
          <a:avLst/>
        </a:prstGeom>
      </xdr:spPr>
    </xdr:pic>
    <xdr:clientData/>
  </xdr:oneCellAnchor>
  <xdr:oneCellAnchor>
    <xdr:from>
      <xdr:col>7</xdr:col>
      <xdr:colOff>15240</xdr:colOff>
      <xdr:row>907</xdr:row>
      <xdr:rowOff>5080</xdr:rowOff>
    </xdr:from>
    <xdr:ext cx="1912786" cy="898522"/>
    <xdr:pic>
      <xdr:nvPicPr>
        <xdr:cNvPr id="72" name="Picture 71">
          <a:extLst>
            <a:ext uri="{FF2B5EF4-FFF2-40B4-BE49-F238E27FC236}">
              <a16:creationId xmlns:a16="http://schemas.microsoft.com/office/drawing/2014/main" id="{C67831A3-2DB9-46EF-A67D-E4D1C4B6C8DF}"/>
            </a:ext>
          </a:extLst>
        </xdr:cNvPr>
        <xdr:cNvPicPr>
          <a:picLocks/>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282440" y="145143220"/>
          <a:ext cx="1912786" cy="898522"/>
        </a:xfrm>
        <a:prstGeom prst="rect">
          <a:avLst/>
        </a:prstGeom>
      </xdr:spPr>
    </xdr:pic>
    <xdr:clientData/>
  </xdr:oneCellAnchor>
  <xdr:oneCellAnchor>
    <xdr:from>
      <xdr:col>7</xdr:col>
      <xdr:colOff>15240</xdr:colOff>
      <xdr:row>917</xdr:row>
      <xdr:rowOff>5080</xdr:rowOff>
    </xdr:from>
    <xdr:ext cx="1912786" cy="898522"/>
    <xdr:pic>
      <xdr:nvPicPr>
        <xdr:cNvPr id="73" name="Picture 72">
          <a:extLst>
            <a:ext uri="{FF2B5EF4-FFF2-40B4-BE49-F238E27FC236}">
              <a16:creationId xmlns:a16="http://schemas.microsoft.com/office/drawing/2014/main" id="{1E7C1F73-96AE-459B-80B1-ED01C1FF787B}"/>
            </a:ext>
          </a:extLst>
        </xdr:cNvPr>
        <xdr:cNvPicPr>
          <a:picLocks/>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4282440" y="146743420"/>
          <a:ext cx="1912786" cy="898522"/>
        </a:xfrm>
        <a:prstGeom prst="rect">
          <a:avLst/>
        </a:prstGeom>
      </xdr:spPr>
    </xdr:pic>
    <xdr:clientData/>
  </xdr:oneCellAnchor>
  <xdr:oneCellAnchor>
    <xdr:from>
      <xdr:col>7</xdr:col>
      <xdr:colOff>15240</xdr:colOff>
      <xdr:row>927</xdr:row>
      <xdr:rowOff>5080</xdr:rowOff>
    </xdr:from>
    <xdr:ext cx="1912786" cy="898522"/>
    <xdr:pic>
      <xdr:nvPicPr>
        <xdr:cNvPr id="74" name="Picture 73">
          <a:extLst>
            <a:ext uri="{FF2B5EF4-FFF2-40B4-BE49-F238E27FC236}">
              <a16:creationId xmlns:a16="http://schemas.microsoft.com/office/drawing/2014/main" id="{BEB86975-8D76-43BA-966A-BBEACAC6B0D1}"/>
            </a:ext>
          </a:extLst>
        </xdr:cNvPr>
        <xdr:cNvPicPr>
          <a:picLocks/>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282440" y="148343620"/>
          <a:ext cx="1912786" cy="898522"/>
        </a:xfrm>
        <a:prstGeom prst="rect">
          <a:avLst/>
        </a:prstGeom>
      </xdr:spPr>
    </xdr:pic>
    <xdr:clientData/>
  </xdr:oneCellAnchor>
  <xdr:oneCellAnchor>
    <xdr:from>
      <xdr:col>7</xdr:col>
      <xdr:colOff>15240</xdr:colOff>
      <xdr:row>937</xdr:row>
      <xdr:rowOff>5080</xdr:rowOff>
    </xdr:from>
    <xdr:ext cx="1912786" cy="898522"/>
    <xdr:pic>
      <xdr:nvPicPr>
        <xdr:cNvPr id="75" name="Picture 74">
          <a:extLst>
            <a:ext uri="{FF2B5EF4-FFF2-40B4-BE49-F238E27FC236}">
              <a16:creationId xmlns:a16="http://schemas.microsoft.com/office/drawing/2014/main" id="{AA2445E9-21F9-4035-B8E5-F74B064582CD}"/>
            </a:ext>
          </a:extLst>
        </xdr:cNvPr>
        <xdr:cNvPicPr>
          <a:picLocks/>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282440" y="149943820"/>
          <a:ext cx="1912786" cy="898522"/>
        </a:xfrm>
        <a:prstGeom prst="rect">
          <a:avLst/>
        </a:prstGeom>
      </xdr:spPr>
    </xdr:pic>
    <xdr:clientData/>
  </xdr:oneCellAnchor>
  <xdr:oneCellAnchor>
    <xdr:from>
      <xdr:col>7</xdr:col>
      <xdr:colOff>15240</xdr:colOff>
      <xdr:row>947</xdr:row>
      <xdr:rowOff>5080</xdr:rowOff>
    </xdr:from>
    <xdr:ext cx="1912786" cy="898522"/>
    <xdr:pic>
      <xdr:nvPicPr>
        <xdr:cNvPr id="76" name="Picture 75">
          <a:extLst>
            <a:ext uri="{FF2B5EF4-FFF2-40B4-BE49-F238E27FC236}">
              <a16:creationId xmlns:a16="http://schemas.microsoft.com/office/drawing/2014/main" id="{FF3BD528-6334-42EA-9C7A-2BFBFB066BC6}"/>
            </a:ext>
          </a:extLst>
        </xdr:cNvPr>
        <xdr:cNvPicPr>
          <a:picLocks/>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4282440" y="151544020"/>
          <a:ext cx="1912786" cy="898522"/>
        </a:xfrm>
        <a:prstGeom prst="rect">
          <a:avLst/>
        </a:prstGeom>
      </xdr:spPr>
    </xdr:pic>
    <xdr:clientData/>
  </xdr:oneCellAnchor>
  <xdr:oneCellAnchor>
    <xdr:from>
      <xdr:col>7</xdr:col>
      <xdr:colOff>15240</xdr:colOff>
      <xdr:row>959</xdr:row>
      <xdr:rowOff>2540</xdr:rowOff>
    </xdr:from>
    <xdr:ext cx="1912786" cy="898522"/>
    <xdr:pic>
      <xdr:nvPicPr>
        <xdr:cNvPr id="77" name="Picture 76">
          <a:extLst>
            <a:ext uri="{FF2B5EF4-FFF2-40B4-BE49-F238E27FC236}">
              <a16:creationId xmlns:a16="http://schemas.microsoft.com/office/drawing/2014/main" id="{98ECF0AC-3ACB-4549-AB77-6CBD38D38A8C}"/>
            </a:ext>
          </a:extLst>
        </xdr:cNvPr>
        <xdr:cNvPicPr>
          <a:picLocks/>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282440" y="153461720"/>
          <a:ext cx="1912786" cy="898522"/>
        </a:xfrm>
        <a:prstGeom prst="rect">
          <a:avLst/>
        </a:prstGeom>
      </xdr:spPr>
    </xdr:pic>
    <xdr:clientData/>
  </xdr:oneCellAnchor>
  <xdr:oneCellAnchor>
    <xdr:from>
      <xdr:col>7</xdr:col>
      <xdr:colOff>15240</xdr:colOff>
      <xdr:row>969</xdr:row>
      <xdr:rowOff>2540</xdr:rowOff>
    </xdr:from>
    <xdr:ext cx="1912786" cy="898522"/>
    <xdr:pic>
      <xdr:nvPicPr>
        <xdr:cNvPr id="78" name="Picture 77">
          <a:extLst>
            <a:ext uri="{FF2B5EF4-FFF2-40B4-BE49-F238E27FC236}">
              <a16:creationId xmlns:a16="http://schemas.microsoft.com/office/drawing/2014/main" id="{F3E07B28-2AE8-4A5E-AB59-A91498E96B8F}"/>
            </a:ext>
          </a:extLst>
        </xdr:cNvPr>
        <xdr:cNvPicPr>
          <a:picLocks/>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4282440" y="155061920"/>
          <a:ext cx="1912786" cy="898522"/>
        </a:xfrm>
        <a:prstGeom prst="rect">
          <a:avLst/>
        </a:prstGeom>
      </xdr:spPr>
    </xdr:pic>
    <xdr:clientData/>
  </xdr:oneCellAnchor>
  <xdr:oneCellAnchor>
    <xdr:from>
      <xdr:col>7</xdr:col>
      <xdr:colOff>15240</xdr:colOff>
      <xdr:row>979</xdr:row>
      <xdr:rowOff>2540</xdr:rowOff>
    </xdr:from>
    <xdr:ext cx="1912786" cy="898522"/>
    <xdr:pic>
      <xdr:nvPicPr>
        <xdr:cNvPr id="79" name="Picture 78">
          <a:extLst>
            <a:ext uri="{FF2B5EF4-FFF2-40B4-BE49-F238E27FC236}">
              <a16:creationId xmlns:a16="http://schemas.microsoft.com/office/drawing/2014/main" id="{4F11A478-A37E-4FDB-9CA0-68DC5C79A8BF}"/>
            </a:ext>
          </a:extLst>
        </xdr:cNvPr>
        <xdr:cNvPicPr>
          <a:picLocks/>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4282440" y="156662120"/>
          <a:ext cx="1912786" cy="898522"/>
        </a:xfrm>
        <a:prstGeom prst="rect">
          <a:avLst/>
        </a:prstGeom>
      </xdr:spPr>
    </xdr:pic>
    <xdr:clientData/>
  </xdr:oneCellAnchor>
  <xdr:oneCellAnchor>
    <xdr:from>
      <xdr:col>7</xdr:col>
      <xdr:colOff>15240</xdr:colOff>
      <xdr:row>989</xdr:row>
      <xdr:rowOff>2540</xdr:rowOff>
    </xdr:from>
    <xdr:ext cx="1912786" cy="898522"/>
    <xdr:pic>
      <xdr:nvPicPr>
        <xdr:cNvPr id="80" name="Picture 79">
          <a:extLst>
            <a:ext uri="{FF2B5EF4-FFF2-40B4-BE49-F238E27FC236}">
              <a16:creationId xmlns:a16="http://schemas.microsoft.com/office/drawing/2014/main" id="{48FC8EDE-217E-4DE1-82BD-C1FE51AE82E0}"/>
            </a:ext>
          </a:extLst>
        </xdr:cNvPr>
        <xdr:cNvPicPr>
          <a:picLocks/>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282440" y="158262320"/>
          <a:ext cx="1912786" cy="898522"/>
        </a:xfrm>
        <a:prstGeom prst="rect">
          <a:avLst/>
        </a:prstGeom>
      </xdr:spPr>
    </xdr:pic>
    <xdr:clientData/>
  </xdr:oneCellAnchor>
  <xdr:oneCellAnchor>
    <xdr:from>
      <xdr:col>7</xdr:col>
      <xdr:colOff>15240</xdr:colOff>
      <xdr:row>999</xdr:row>
      <xdr:rowOff>2540</xdr:rowOff>
    </xdr:from>
    <xdr:ext cx="1912786" cy="898522"/>
    <xdr:pic>
      <xdr:nvPicPr>
        <xdr:cNvPr id="81" name="Picture 80">
          <a:extLst>
            <a:ext uri="{FF2B5EF4-FFF2-40B4-BE49-F238E27FC236}">
              <a16:creationId xmlns:a16="http://schemas.microsoft.com/office/drawing/2014/main" id="{B3EBA945-5FEC-449C-9212-017ECB6A7443}"/>
            </a:ext>
          </a:extLst>
        </xdr:cNvPr>
        <xdr:cNvPicPr>
          <a:picLocks/>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4282440" y="159862520"/>
          <a:ext cx="1912786" cy="898522"/>
        </a:xfrm>
        <a:prstGeom prst="rect">
          <a:avLst/>
        </a:prstGeom>
      </xdr:spPr>
    </xdr:pic>
    <xdr:clientData/>
  </xdr:oneCellAnchor>
  <xdr:oneCellAnchor>
    <xdr:from>
      <xdr:col>7</xdr:col>
      <xdr:colOff>15240</xdr:colOff>
      <xdr:row>1009</xdr:row>
      <xdr:rowOff>2540</xdr:rowOff>
    </xdr:from>
    <xdr:ext cx="1912786" cy="898522"/>
    <xdr:pic>
      <xdr:nvPicPr>
        <xdr:cNvPr id="82" name="Picture 81">
          <a:extLst>
            <a:ext uri="{FF2B5EF4-FFF2-40B4-BE49-F238E27FC236}">
              <a16:creationId xmlns:a16="http://schemas.microsoft.com/office/drawing/2014/main" id="{75966D71-C3F0-4313-89F6-8EB9312B14C9}"/>
            </a:ext>
          </a:extLst>
        </xdr:cNvPr>
        <xdr:cNvPicPr>
          <a:picLocks/>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4282440" y="161462720"/>
          <a:ext cx="1912786" cy="898522"/>
        </a:xfrm>
        <a:prstGeom prst="rect">
          <a:avLst/>
        </a:prstGeom>
      </xdr:spPr>
    </xdr:pic>
    <xdr:clientData/>
  </xdr:oneCellAnchor>
  <xdr:oneCellAnchor>
    <xdr:from>
      <xdr:col>7</xdr:col>
      <xdr:colOff>15240</xdr:colOff>
      <xdr:row>1019</xdr:row>
      <xdr:rowOff>2540</xdr:rowOff>
    </xdr:from>
    <xdr:ext cx="1912786" cy="898522"/>
    <xdr:pic>
      <xdr:nvPicPr>
        <xdr:cNvPr id="83" name="Picture 82">
          <a:extLst>
            <a:ext uri="{FF2B5EF4-FFF2-40B4-BE49-F238E27FC236}">
              <a16:creationId xmlns:a16="http://schemas.microsoft.com/office/drawing/2014/main" id="{F8F378C7-D516-4660-880B-29D5CC230C46}"/>
            </a:ext>
          </a:extLst>
        </xdr:cNvPr>
        <xdr:cNvPicPr>
          <a:picLocks/>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282440" y="163062920"/>
          <a:ext cx="1912786" cy="898522"/>
        </a:xfrm>
        <a:prstGeom prst="rect">
          <a:avLst/>
        </a:prstGeom>
      </xdr:spPr>
    </xdr:pic>
    <xdr:clientData/>
  </xdr:oneCellAnchor>
  <xdr:oneCellAnchor>
    <xdr:from>
      <xdr:col>2</xdr:col>
      <xdr:colOff>190501</xdr:colOff>
      <xdr:row>1031</xdr:row>
      <xdr:rowOff>1</xdr:rowOff>
    </xdr:from>
    <xdr:ext cx="4785775" cy="3894157"/>
    <xdr:pic>
      <xdr:nvPicPr>
        <xdr:cNvPr id="84" name="Picture 83">
          <a:extLst>
            <a:ext uri="{FF2B5EF4-FFF2-40B4-BE49-F238E27FC236}">
              <a16:creationId xmlns:a16="http://schemas.microsoft.com/office/drawing/2014/main" id="{C3F88D5B-B055-41E9-99E4-996DF45D6992}"/>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409701" y="164980621"/>
          <a:ext cx="4785775" cy="3894157"/>
        </a:xfrm>
        <a:prstGeom prst="rect">
          <a:avLst/>
        </a:prstGeom>
      </xdr:spPr>
    </xdr:pic>
    <xdr:clientData/>
  </xdr:oneCellAnchor>
  <xdr:oneCellAnchor>
    <xdr:from>
      <xdr:col>2</xdr:col>
      <xdr:colOff>190501</xdr:colOff>
      <xdr:row>1059</xdr:row>
      <xdr:rowOff>154941</xdr:rowOff>
    </xdr:from>
    <xdr:ext cx="4785775" cy="3894157"/>
    <xdr:pic>
      <xdr:nvPicPr>
        <xdr:cNvPr id="85" name="Picture 84">
          <a:extLst>
            <a:ext uri="{FF2B5EF4-FFF2-40B4-BE49-F238E27FC236}">
              <a16:creationId xmlns:a16="http://schemas.microsoft.com/office/drawing/2014/main" id="{3550DE56-0E1B-4A9E-B037-78DFB7D55C32}"/>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1409701" y="169616121"/>
          <a:ext cx="4785775" cy="3894157"/>
        </a:xfrm>
        <a:prstGeom prst="rect">
          <a:avLst/>
        </a:prstGeom>
      </xdr:spPr>
    </xdr:pic>
    <xdr:clientData/>
  </xdr:oneCellAnchor>
  <xdr:twoCellAnchor editAs="oneCell">
    <xdr:from>
      <xdr:col>10</xdr:col>
      <xdr:colOff>0</xdr:colOff>
      <xdr:row>0</xdr:row>
      <xdr:rowOff>0</xdr:rowOff>
    </xdr:from>
    <xdr:to>
      <xdr:col>20</xdr:col>
      <xdr:colOff>514747</xdr:colOff>
      <xdr:row>42</xdr:row>
      <xdr:rowOff>67091</xdr:rowOff>
    </xdr:to>
    <xdr:pic>
      <xdr:nvPicPr>
        <xdr:cNvPr id="86" name="Picture 85">
          <a:extLst>
            <a:ext uri="{FF2B5EF4-FFF2-40B4-BE49-F238E27FC236}">
              <a16:creationId xmlns:a16="http://schemas.microsoft.com/office/drawing/2014/main" id="{9C1A2470-161F-C54F-B975-3083ACA68D1D}"/>
            </a:ext>
          </a:extLst>
        </xdr:cNvPr>
        <xdr:cNvPicPr>
          <a:picLocks noChangeAspect="1"/>
        </xdr:cNvPicPr>
      </xdr:nvPicPr>
      <xdr:blipFill>
        <a:blip xmlns:r="http://schemas.openxmlformats.org/officeDocument/2006/relationships" r:embed="rId85"/>
        <a:stretch>
          <a:fillRect/>
        </a:stretch>
      </xdr:blipFill>
      <xdr:spPr>
        <a:xfrm>
          <a:off x="5702300" y="0"/>
          <a:ext cx="12109847" cy="7001291"/>
        </a:xfrm>
        <a:prstGeom prst="rect">
          <a:avLst/>
        </a:prstGeom>
      </xdr:spPr>
    </xdr:pic>
    <xdr:clientData/>
  </xdr:twoCellAnchor>
  <xdr:twoCellAnchor editAs="oneCell">
    <xdr:from>
      <xdr:col>10</xdr:col>
      <xdr:colOff>0</xdr:colOff>
      <xdr:row>45</xdr:row>
      <xdr:rowOff>88900</xdr:rowOff>
    </xdr:from>
    <xdr:to>
      <xdr:col>12</xdr:col>
      <xdr:colOff>41131</xdr:colOff>
      <xdr:row>78</xdr:row>
      <xdr:rowOff>149189</xdr:rowOff>
    </xdr:to>
    <xdr:pic>
      <xdr:nvPicPr>
        <xdr:cNvPr id="87" name="Picture 86">
          <a:extLst>
            <a:ext uri="{FF2B5EF4-FFF2-40B4-BE49-F238E27FC236}">
              <a16:creationId xmlns:a16="http://schemas.microsoft.com/office/drawing/2014/main" id="{D97F08C9-AA26-3C40-B0BD-39A50154F72A}"/>
            </a:ext>
          </a:extLst>
        </xdr:cNvPr>
        <xdr:cNvPicPr>
          <a:picLocks noChangeAspect="1"/>
        </xdr:cNvPicPr>
      </xdr:nvPicPr>
      <xdr:blipFill>
        <a:blip xmlns:r="http://schemas.openxmlformats.org/officeDocument/2006/relationships" r:embed="rId86"/>
        <a:stretch>
          <a:fillRect/>
        </a:stretch>
      </xdr:blipFill>
      <xdr:spPr>
        <a:xfrm>
          <a:off x="5702300" y="7518400"/>
          <a:ext cx="6251431" cy="5508589"/>
        </a:xfrm>
        <a:prstGeom prst="rect">
          <a:avLst/>
        </a:prstGeom>
      </xdr:spPr>
    </xdr:pic>
    <xdr:clientData/>
  </xdr:twoCellAnchor>
  <xdr:twoCellAnchor editAs="oneCell">
    <xdr:from>
      <xdr:col>10</xdr:col>
      <xdr:colOff>0</xdr:colOff>
      <xdr:row>80</xdr:row>
      <xdr:rowOff>0</xdr:rowOff>
    </xdr:from>
    <xdr:to>
      <xdr:col>12</xdr:col>
      <xdr:colOff>41131</xdr:colOff>
      <xdr:row>113</xdr:row>
      <xdr:rowOff>60289</xdr:rowOff>
    </xdr:to>
    <xdr:pic>
      <xdr:nvPicPr>
        <xdr:cNvPr id="88" name="Picture 87">
          <a:extLst>
            <a:ext uri="{FF2B5EF4-FFF2-40B4-BE49-F238E27FC236}">
              <a16:creationId xmlns:a16="http://schemas.microsoft.com/office/drawing/2014/main" id="{BB406EA5-4CEB-5F4E-8563-6C6F21B0A60A}"/>
            </a:ext>
          </a:extLst>
        </xdr:cNvPr>
        <xdr:cNvPicPr>
          <a:picLocks noChangeAspect="1"/>
        </xdr:cNvPicPr>
      </xdr:nvPicPr>
      <xdr:blipFill>
        <a:blip xmlns:r="http://schemas.openxmlformats.org/officeDocument/2006/relationships" r:embed="rId87"/>
        <a:stretch>
          <a:fillRect/>
        </a:stretch>
      </xdr:blipFill>
      <xdr:spPr>
        <a:xfrm>
          <a:off x="5702300" y="13208000"/>
          <a:ext cx="6251431" cy="550858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hengyi Xu" id="{B8055252-CA57-6A40-9679-1054A30C9A88}" userId="db29b5b5a8caf38b"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107B0E-A029-3246-99D6-4C2D8FF22946}" name="Table1" displayName="Table1" ref="R1:T27" totalsRowShown="0" headerRowDxfId="17" headerRowBorderDxfId="16" tableBorderDxfId="15">
  <autoFilter ref="R1:T27" xr:uid="{0CD45CD1-88DE-D54B-9E9C-3D5102DC473B}"/>
  <sortState xmlns:xlrd2="http://schemas.microsoft.com/office/spreadsheetml/2017/richdata2" ref="R2:T27">
    <sortCondition descending="1" ref="S1:S27"/>
  </sortState>
  <tableColumns count="3">
    <tableColumn id="1" xr3:uid="{E170B67E-23E1-7F47-A3BF-547449095D86}" name="Risks Name"/>
    <tableColumn id="2" xr3:uid="{823FA8A0-F8F2-0A44-9EF9-6FD6EB36A94D}" name="Impact"/>
    <tableColumn id="3" xr3:uid="{44A4B147-F589-B44A-A971-35ECDF32FB19}" name="Likelihood"/>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43" dT="2023-05-02T06:37:32.28" personId="{B8055252-CA57-6A40-9679-1054A30C9A88}" id="{D55F41E6-EE71-694E-910F-1C8DA0C6BB14}">
    <text>We set it equal to 4% since we believe the interest expense and income are somehow depends on the interest rate, and the interest rates for financing debt is stable at 4%, therefore, we believe adopting 4% should also be optimal for interest income</text>
  </threadedComment>
  <threadedComment ref="T44" dT="2023-05-02T10:42:14.77" personId="{B8055252-CA57-6A40-9679-1054A30C9A88}" id="{4C279E02-1500-A750-86A2-F08BE3216F2F}">
    <text>As stated in the Annual Report, the Equity in earnings is the earnings from the equity investments</text>
  </threadedComment>
  <threadedComment ref="T57" dT="2023-05-02T06:51:59.16" personId="{B8055252-CA57-6A40-9679-1054A30C9A88}" id="{A8121F82-B76A-464B-8B03-80CB68F44CF2}">
    <text>According to the 2022 annual report, page 51, Marriott will purchase land with value of 300m at the end of 2022, which should reflected on the balance sheet of 2023, since it did not show on 2022 balance sheet.</text>
  </threadedComment>
  <threadedComment ref="T58" dT="2023-05-02T06:53:47.61" personId="{B8055252-CA57-6A40-9679-1054A30C9A88}" id="{F28EF20C-7016-1142-8492-F579302034C1}">
    <text>Since the buildings and improvements will be based on the land, therefore, a percentage of land would be optimal to forecast the buildings and improvements</text>
  </threadedComment>
  <threadedComment ref="T59" dT="2023-05-02T06:58:20.78" personId="{B8055252-CA57-6A40-9679-1054A30C9A88}" id="{72AE2B3A-48E1-054C-B17F-5766CC99B399}">
    <text>Same as Buildings and improvements, since furniture and equipment should be equipped for Buildings and improvements, forecast using the % of buildings and improvements should be optimal</text>
  </threadedComment>
  <threadedComment ref="V59" dT="2023-05-02T07:00:06.06" personId="{B8055252-CA57-6A40-9679-1054A30C9A88}" id="{26FB7CC4-A7C4-FA42-8BD2-05A3EEA68A1D}">
    <text>I adopted the average of 2018 and 2019 since the following 3 years are shadowed by COVID, which may hinder the furniture and equipment procurement.</text>
  </threadedComment>
  <threadedComment ref="T61" dT="2023-05-02T07:02:46.92" personId="{B8055252-CA57-6A40-9679-1054A30C9A88}" id="{57BF60A8-0C29-774A-A79D-01671760E77B}">
    <text>Depreciation should be related to all the fixed assets (Land, buildings and furniture)</text>
  </threadedComment>
  <threadedComment ref="T66" dT="2023-05-02T07:12:13.31" personId="{B8055252-CA57-6A40-9679-1054A30C9A88}" id="{93BC6B71-CBCB-E347-90A3-6A5A919AC3AD}">
    <text>Amortization should be a % of intangible brand assets</text>
  </threadedComment>
  <threadedComment ref="T67" dT="2023-05-02T07:14:54.24" personId="{B8055252-CA57-6A40-9679-1054A30C9A88}" id="{5B36E184-ECBB-C442-8FBE-75AABAE48FB6}">
    <text>If no other information, the intangible assets should be fixed</text>
  </threadedComment>
  <threadedComment ref="T68" dT="2023-05-02T07:16:51.58" personId="{B8055252-CA57-6A40-9679-1054A30C9A88}" id="{4C3415CB-0B28-2A41-B155-0995FA3E2272}">
    <text>Same as intangible Brand Assets, should stayed the same.</text>
  </threadedComment>
  <threadedComment ref="T82" dT="2023-05-02T10:49:12.36" personId="{B8055252-CA57-6A40-9679-1054A30C9A88}" id="{748E98FD-A42C-9549-83B8-8F3776ED11BC}">
    <text>We believe the current portion of long-term debt would be a % of the long-term debt, since it is revolving. And it is hard to predict exactly how much debt they are issuing thruough the annual report.</text>
  </threadedComment>
  <threadedComment ref="T90" dT="2023-05-02T11:05:29.56" personId="{B8055252-CA57-6A40-9679-1054A30C9A88}" id="{C0515163-D896-0041-BE46-398AE514ECEA}">
    <text>It is hard to forecast how many debt they will issue without exact information, but according to historical figures, the issuance and repayment seems to offset each other</text>
  </threadedComment>
  <threadedComment ref="T103" dT="2023-05-02T11:46:34.76" personId="{B8055252-CA57-6A40-9679-1054A30C9A88}" id="{CB461C03-2976-8446-9BD1-F45FE83AFF82}">
    <text>Dividends should be paid at a portion of net income, however, MARIOTT has some complicated years (2020 and 2020) where they paid dividends even without net income and not paying any dividends. So we averaged the rest 3 years.</text>
  </threadedComment>
  <threadedComment ref="A125" dT="2023-05-02T16:55:08.70" personId="{B8055252-CA57-6A40-9679-1054A30C9A88}" id="{77818B81-F81F-2F50-863E-523ACB55B587}">
    <text>From the WACC tab</text>
  </threadedComment>
  <threadedComment ref="A126" dT="2023-05-02T16:54:58.92" personId="{B8055252-CA57-6A40-9679-1054A30C9A88}" id="{196BB9B8-2861-4543-AE0F-6903D9EE98B6}">
    <text>From the ‘Revenue Growth’ Tab</text>
  </threadedComment>
  <threadedComment ref="A137" dT="2023-05-02T17:01:17.95" personId="{B8055252-CA57-6A40-9679-1054A30C9A88}" id="{83D15A85-A83F-004A-B653-68629A0CAD31}">
    <text>We did not use the Mid-year convention method since our data are year-end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27" dT="2023-05-02T16:50:22.32" personId="{B8055252-CA57-6A40-9679-1054A30C9A88}" id="{7F61E6B5-5893-0D44-8D25-4840D269EA01}">
    <text>We did not use the Mid-year convention method since our data are year-end</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hyperlink" Target="https://marriott.gcs-web.com/financial-information/sec-filing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marriott.gcs-web.com/financial-information/sec-filing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marriott.gcs-web.com/financial-information/sec-filing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4"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6" Type="http://schemas.microsoft.com/office/2017/10/relationships/threadedComment" Target="../threadedComments/threadedComment1.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4"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7" Type="http://schemas.openxmlformats.org/officeDocument/2006/relationships/comments" Target="../comments9.xm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6" Type="http://schemas.openxmlformats.org/officeDocument/2006/relationships/vmlDrawing" Target="../drawings/vmlDrawing9.vml"/><Relationship Id="rId5" Type="http://schemas.openxmlformats.org/officeDocument/2006/relationships/hyperlink" Target="https://pypi.org/project/yfinance/" TargetMode="External"/><Relationship Id="rId4" Type="http://schemas.openxmlformats.org/officeDocument/2006/relationships/hyperlink" Target="https://pages.stern.nyu.edu/~adamodar/" TargetMode="External"/></Relationships>
</file>

<file path=xl/worksheets/_rels/sheet2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1.xml.rels><?xml version="1.0" encoding="UTF-8" standalone="yes"?>
<Relationships xmlns="http://schemas.openxmlformats.org/package/2006/relationships"><Relationship Id="rId2" Type="http://schemas.openxmlformats.org/officeDocument/2006/relationships/hyperlink" Target="https://databank.worldbank.org/source/population-estimates-and-projections" TargetMode="External"/><Relationship Id="rId1" Type="http://schemas.openxmlformats.org/officeDocument/2006/relationships/hyperlink" Target="https://marriott.gcs-web.com/financial-information/sec-filings"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34.xml.rels><?xml version="1.0" encoding="UTF-8" standalone="yes"?>
<Relationships xmlns="http://schemas.openxmlformats.org/package/2006/relationships"><Relationship Id="rId3" Type="http://schemas.openxmlformats.org/officeDocument/2006/relationships/hyperlink" Target="https://www-capitaliq-com.proxy1.library.jhu.edu/CIQDotNet/Financial/BalanceSheet.aspx?companyId=31148&amp;statekey=044f03093e9b4f6fb42575b72a6091e5" TargetMode="External"/><Relationship Id="rId2" Type="http://schemas.openxmlformats.org/officeDocument/2006/relationships/hyperlink" Target="https://www.sec.gov/edgar/browse/?CIK=1048286&amp;owner=exclude" TargetMode="External"/><Relationship Id="rId1" Type="http://schemas.openxmlformats.org/officeDocument/2006/relationships/hyperlink" Target="https://marriott.gcs-web.com/financial-information/sec-filings"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9EA7A-F973-0641-ABD8-F7B802102BA7}">
  <sheetPr codeName="Sheet1">
    <tabColor theme="7" tint="0.79998168889431442"/>
  </sheetPr>
  <dimension ref="A1:I40"/>
  <sheetViews>
    <sheetView topLeftCell="A9" workbookViewId="0">
      <selection activeCell="C27" sqref="A27:XFD27"/>
    </sheetView>
  </sheetViews>
  <sheetFormatPr baseColWidth="10" defaultColWidth="10.83203125" defaultRowHeight="17"/>
  <cols>
    <col min="1" max="1" width="10.83203125" style="27"/>
    <col min="2" max="2" width="12.5" style="27" customWidth="1"/>
    <col min="3" max="3" width="12.83203125" style="27" customWidth="1"/>
    <col min="4" max="5" width="13.5" style="27" customWidth="1"/>
    <col min="6" max="6" width="14.83203125" style="27" customWidth="1"/>
    <col min="7" max="8" width="13.5" style="27" customWidth="1"/>
    <col min="9" max="9" width="10.6640625" style="27" customWidth="1"/>
    <col min="10" max="16384" width="10.83203125" style="27"/>
  </cols>
  <sheetData>
    <row r="1" spans="1:9" ht="25">
      <c r="A1" s="658" t="s">
        <v>250</v>
      </c>
      <c r="B1" s="658"/>
      <c r="C1" s="658"/>
      <c r="D1" s="658"/>
      <c r="E1" s="658"/>
      <c r="F1" s="658"/>
      <c r="G1" s="658"/>
      <c r="H1" s="658"/>
      <c r="I1" s="658"/>
    </row>
    <row r="2" spans="1:9">
      <c r="A2" s="26"/>
      <c r="B2" s="26"/>
      <c r="C2" s="26"/>
      <c r="D2" s="26"/>
      <c r="E2" s="26"/>
      <c r="F2" s="26"/>
      <c r="G2" s="26"/>
      <c r="H2" s="26"/>
      <c r="I2" s="26"/>
    </row>
    <row r="3" spans="1:9" ht="20">
      <c r="A3" s="126" t="s">
        <v>376</v>
      </c>
      <c r="B3" s="123"/>
      <c r="C3" s="26"/>
      <c r="D3" s="26"/>
      <c r="E3" s="26"/>
      <c r="F3" s="26"/>
      <c r="G3" s="26"/>
      <c r="H3" s="26"/>
      <c r="I3" s="26"/>
    </row>
    <row r="4" spans="1:9">
      <c r="A4" s="119"/>
      <c r="B4" s="119"/>
    </row>
    <row r="5" spans="1:9">
      <c r="A5" s="123" t="s">
        <v>245</v>
      </c>
      <c r="B5" s="123"/>
      <c r="C5" s="26" t="s">
        <v>246</v>
      </c>
      <c r="D5" s="26"/>
      <c r="E5" s="26"/>
      <c r="F5" s="26"/>
      <c r="G5" s="26"/>
      <c r="H5" s="26"/>
      <c r="I5" s="26"/>
    </row>
    <row r="6" spans="1:9">
      <c r="A6" s="123" t="s">
        <v>247</v>
      </c>
      <c r="B6" s="123"/>
      <c r="C6" s="26" t="s">
        <v>248</v>
      </c>
      <c r="D6" s="26"/>
      <c r="E6" s="26"/>
      <c r="F6" s="26"/>
      <c r="G6" s="26"/>
      <c r="H6" s="26"/>
      <c r="I6" s="26"/>
    </row>
    <row r="7" spans="1:9">
      <c r="A7" s="123" t="s">
        <v>249</v>
      </c>
      <c r="B7" s="123"/>
      <c r="C7" s="127">
        <v>45029</v>
      </c>
      <c r="D7" s="123" t="s">
        <v>1220</v>
      </c>
      <c r="E7" s="26"/>
      <c r="F7" s="26"/>
      <c r="G7" s="26"/>
      <c r="H7" s="26"/>
      <c r="I7" s="26"/>
    </row>
    <row r="8" spans="1:9">
      <c r="B8" s="117"/>
    </row>
    <row r="9" spans="1:9">
      <c r="A9" s="123" t="s">
        <v>243</v>
      </c>
      <c r="B9" s="26"/>
      <c r="C9" s="125" t="s">
        <v>244</v>
      </c>
      <c r="D9" s="124"/>
      <c r="E9" s="124"/>
      <c r="F9" s="26"/>
      <c r="G9" s="26"/>
      <c r="H9" s="26"/>
      <c r="I9" s="26"/>
    </row>
    <row r="10" spans="1:9">
      <c r="A10" s="26"/>
      <c r="B10" s="26"/>
      <c r="C10" s="125" t="s">
        <v>225</v>
      </c>
      <c r="D10" s="125" t="s">
        <v>226</v>
      </c>
      <c r="E10" s="125" t="s">
        <v>227</v>
      </c>
      <c r="F10" s="26"/>
      <c r="G10" s="26"/>
      <c r="H10" s="26"/>
      <c r="I10" s="26"/>
    </row>
    <row r="11" spans="1:9">
      <c r="A11" s="26"/>
      <c r="B11" s="26"/>
      <c r="C11" s="124" t="s">
        <v>228</v>
      </c>
      <c r="D11" s="124" t="s">
        <v>229</v>
      </c>
      <c r="E11" s="124" t="s">
        <v>230</v>
      </c>
      <c r="F11" s="26"/>
      <c r="G11" s="26"/>
      <c r="H11" s="26"/>
      <c r="I11" s="26"/>
    </row>
    <row r="12" spans="1:9">
      <c r="A12" s="26"/>
      <c r="B12" s="26"/>
      <c r="C12" s="124" t="s">
        <v>231</v>
      </c>
      <c r="D12" s="124" t="s">
        <v>232</v>
      </c>
      <c r="E12" s="124" t="s">
        <v>233</v>
      </c>
      <c r="F12" s="26"/>
      <c r="G12" s="26"/>
      <c r="H12" s="26"/>
      <c r="I12" s="26"/>
    </row>
    <row r="13" spans="1:9">
      <c r="A13" s="26"/>
      <c r="B13" s="26"/>
      <c r="C13" s="124" t="s">
        <v>234</v>
      </c>
      <c r="D13" s="124" t="s">
        <v>235</v>
      </c>
      <c r="E13" s="124" t="s">
        <v>236</v>
      </c>
      <c r="F13" s="26"/>
      <c r="G13" s="26"/>
      <c r="H13" s="26"/>
      <c r="I13" s="26"/>
    </row>
    <row r="14" spans="1:9">
      <c r="A14" s="26"/>
      <c r="B14" s="26"/>
      <c r="C14" s="124" t="s">
        <v>237</v>
      </c>
      <c r="D14" s="124" t="s">
        <v>238</v>
      </c>
      <c r="E14" s="124" t="s">
        <v>239</v>
      </c>
      <c r="F14" s="26"/>
      <c r="G14" s="26"/>
      <c r="H14" s="26"/>
      <c r="I14" s="26"/>
    </row>
    <row r="15" spans="1:9">
      <c r="A15" s="26"/>
      <c r="B15" s="26"/>
      <c r="C15" s="124" t="s">
        <v>240</v>
      </c>
      <c r="D15" s="124" t="s">
        <v>241</v>
      </c>
      <c r="E15" s="124" t="s">
        <v>242</v>
      </c>
      <c r="F15" s="26"/>
      <c r="G15" s="26"/>
      <c r="H15" s="26"/>
      <c r="I15" s="26"/>
    </row>
    <row r="17" spans="1:9">
      <c r="A17" s="656" t="s">
        <v>271</v>
      </c>
      <c r="B17" s="656"/>
      <c r="C17" s="656"/>
      <c r="D17" s="656"/>
      <c r="E17" s="656"/>
      <c r="F17" s="656"/>
      <c r="G17" s="656"/>
      <c r="H17" s="656"/>
      <c r="I17" s="656"/>
    </row>
    <row r="18" spans="1:9">
      <c r="A18" s="657" t="s">
        <v>274</v>
      </c>
      <c r="B18" s="657"/>
      <c r="C18" s="657"/>
      <c r="D18" s="657"/>
      <c r="E18" s="657"/>
      <c r="F18" s="657"/>
      <c r="G18" s="657"/>
      <c r="H18" s="657"/>
      <c r="I18" s="657"/>
    </row>
    <row r="19" spans="1:9">
      <c r="A19" s="657"/>
      <c r="B19" s="657"/>
      <c r="C19" s="657"/>
      <c r="D19" s="657"/>
      <c r="E19" s="657"/>
      <c r="F19" s="657"/>
      <c r="G19" s="657"/>
      <c r="H19" s="657"/>
      <c r="I19" s="657"/>
    </row>
    <row r="20" spans="1:9">
      <c r="A20" s="657"/>
      <c r="B20" s="657"/>
      <c r="C20" s="657"/>
      <c r="D20" s="657"/>
      <c r="E20" s="657"/>
      <c r="F20" s="657"/>
      <c r="G20" s="657"/>
      <c r="H20" s="657"/>
      <c r="I20" s="657"/>
    </row>
    <row r="21" spans="1:9">
      <c r="A21" s="657"/>
      <c r="B21" s="657"/>
      <c r="C21" s="657"/>
      <c r="D21" s="657"/>
      <c r="E21" s="657"/>
      <c r="F21" s="657"/>
      <c r="G21" s="657"/>
      <c r="H21" s="657"/>
      <c r="I21" s="657"/>
    </row>
    <row r="22" spans="1:9">
      <c r="A22" s="657"/>
      <c r="B22" s="657"/>
      <c r="C22" s="657"/>
      <c r="D22" s="657"/>
      <c r="E22" s="657"/>
      <c r="F22" s="657"/>
      <c r="G22" s="657"/>
      <c r="H22" s="657"/>
      <c r="I22" s="657"/>
    </row>
    <row r="23" spans="1:9">
      <c r="A23" s="118"/>
    </row>
    <row r="24" spans="1:9">
      <c r="A24" s="656" t="s">
        <v>270</v>
      </c>
      <c r="B24" s="656"/>
      <c r="C24" s="656"/>
      <c r="D24" s="656"/>
      <c r="E24" s="656"/>
      <c r="F24" s="656"/>
      <c r="G24" s="656"/>
      <c r="H24" s="656"/>
      <c r="I24" s="656"/>
    </row>
    <row r="25" spans="1:9">
      <c r="A25" s="123" t="s">
        <v>272</v>
      </c>
      <c r="B25" s="26"/>
      <c r="C25" s="26" t="s">
        <v>259</v>
      </c>
      <c r="D25" s="26" t="s">
        <v>260</v>
      </c>
      <c r="E25" s="26" t="s">
        <v>261</v>
      </c>
      <c r="F25" s="26" t="s">
        <v>262</v>
      </c>
      <c r="G25" s="26" t="s">
        <v>263</v>
      </c>
      <c r="H25" s="26"/>
      <c r="I25" s="26"/>
    </row>
    <row r="26" spans="1:9">
      <c r="A26" s="123" t="s">
        <v>273</v>
      </c>
      <c r="B26" s="26"/>
      <c r="C26" s="26" t="s">
        <v>257</v>
      </c>
      <c r="D26" s="26" t="s">
        <v>258</v>
      </c>
      <c r="E26" s="26" t="s">
        <v>255</v>
      </c>
      <c r="F26" s="26" t="s">
        <v>205</v>
      </c>
      <c r="G26" s="26" t="s">
        <v>256</v>
      </c>
      <c r="H26" s="26"/>
      <c r="I26" s="26"/>
    </row>
    <row r="27" spans="1:9">
      <c r="A27" s="123" t="s">
        <v>1301</v>
      </c>
      <c r="B27" s="26"/>
      <c r="C27" s="26"/>
      <c r="D27" s="26"/>
      <c r="E27" s="26"/>
      <c r="F27" s="26"/>
      <c r="G27" s="26"/>
      <c r="H27" s="26"/>
      <c r="I27" s="26"/>
    </row>
    <row r="29" spans="1:9">
      <c r="A29" s="656" t="s">
        <v>269</v>
      </c>
      <c r="B29" s="656"/>
      <c r="C29" s="656"/>
      <c r="D29" s="656"/>
      <c r="E29" s="656"/>
      <c r="F29" s="656"/>
      <c r="G29" s="656"/>
      <c r="H29" s="656"/>
      <c r="I29" s="656"/>
    </row>
    <row r="30" spans="1:9">
      <c r="A30" s="123" t="s">
        <v>268</v>
      </c>
      <c r="B30" s="123"/>
      <c r="C30" s="26" t="s">
        <v>251</v>
      </c>
      <c r="D30" s="26"/>
      <c r="E30" s="26"/>
      <c r="F30" s="26"/>
      <c r="G30" s="26"/>
      <c r="H30" s="26"/>
      <c r="I30" s="26"/>
    </row>
    <row r="31" spans="1:9">
      <c r="A31" s="123" t="s">
        <v>267</v>
      </c>
      <c r="B31" s="123"/>
      <c r="C31" s="26" t="s">
        <v>252</v>
      </c>
      <c r="D31" s="26"/>
      <c r="E31" s="26"/>
      <c r="F31" s="26"/>
      <c r="G31" s="26"/>
      <c r="H31" s="26"/>
      <c r="I31" s="26"/>
    </row>
    <row r="32" spans="1:9">
      <c r="A32" s="123" t="s">
        <v>266</v>
      </c>
      <c r="B32" s="123"/>
      <c r="C32" s="26" t="s">
        <v>253</v>
      </c>
      <c r="D32" s="26"/>
      <c r="E32" s="26"/>
      <c r="F32" s="26"/>
      <c r="G32" s="26"/>
      <c r="H32" s="26"/>
      <c r="I32" s="26"/>
    </row>
    <row r="33" spans="1:9">
      <c r="A33" s="123" t="s">
        <v>265</v>
      </c>
      <c r="B33" s="123"/>
      <c r="C33" s="120" t="s">
        <v>254</v>
      </c>
      <c r="D33" s="120"/>
      <c r="E33" s="120"/>
      <c r="F33" s="120"/>
      <c r="G33" s="26"/>
      <c r="H33" s="26"/>
      <c r="I33" s="26"/>
    </row>
    <row r="34" spans="1:9">
      <c r="A34" s="26"/>
      <c r="B34" s="26"/>
      <c r="C34" s="121" t="s">
        <v>1295</v>
      </c>
      <c r="D34" s="121"/>
      <c r="E34" s="121"/>
      <c r="F34" s="121"/>
      <c r="G34" s="26"/>
      <c r="H34" s="26"/>
      <c r="I34" s="26"/>
    </row>
    <row r="35" spans="1:9">
      <c r="A35" s="26"/>
      <c r="B35" s="26"/>
      <c r="C35" s="122" t="s">
        <v>264</v>
      </c>
      <c r="D35" s="122"/>
      <c r="E35" s="122"/>
      <c r="F35" s="122"/>
      <c r="G35" s="26"/>
      <c r="H35" s="26"/>
      <c r="I35" s="26"/>
    </row>
    <row r="36" spans="1:9">
      <c r="A36" s="26"/>
      <c r="B36" s="26"/>
      <c r="C36" s="26" t="s">
        <v>1296</v>
      </c>
      <c r="D36" s="26"/>
      <c r="E36" s="26"/>
      <c r="F36" s="26"/>
      <c r="G36" s="26"/>
      <c r="H36" s="26"/>
      <c r="I36" s="26"/>
    </row>
    <row r="37" spans="1:9">
      <c r="A37" s="26"/>
      <c r="B37" s="26"/>
      <c r="C37" s="26" t="s">
        <v>1297</v>
      </c>
      <c r="D37" s="26"/>
      <c r="E37" s="26"/>
      <c r="F37" s="26"/>
      <c r="G37" s="26"/>
      <c r="H37" s="26"/>
      <c r="I37" s="26"/>
    </row>
    <row r="38" spans="1:9">
      <c r="A38" s="26"/>
      <c r="B38" s="26"/>
      <c r="C38" s="26" t="s">
        <v>1298</v>
      </c>
      <c r="D38" s="26"/>
      <c r="E38" s="26"/>
      <c r="F38" s="26"/>
      <c r="G38" s="26"/>
      <c r="H38" s="26"/>
      <c r="I38" s="26"/>
    </row>
    <row r="39" spans="1:9">
      <c r="A39" s="26"/>
      <c r="B39" s="26"/>
      <c r="C39" s="26" t="s">
        <v>1300</v>
      </c>
      <c r="D39" s="26"/>
      <c r="E39" s="26"/>
      <c r="F39" s="26"/>
      <c r="G39" s="26"/>
      <c r="H39" s="26"/>
      <c r="I39" s="26"/>
    </row>
    <row r="40" spans="1:9">
      <c r="A40" s="26"/>
      <c r="B40" s="26"/>
      <c r="C40" s="26" t="s">
        <v>1299</v>
      </c>
      <c r="D40" s="26"/>
      <c r="E40" s="26"/>
      <c r="F40" s="26"/>
      <c r="G40" s="26"/>
      <c r="H40" s="26"/>
      <c r="I40" s="26"/>
    </row>
  </sheetData>
  <mergeCells count="5">
    <mergeCell ref="A29:I29"/>
    <mergeCell ref="A24:I24"/>
    <mergeCell ref="A17:I17"/>
    <mergeCell ref="A18:I22"/>
    <mergeCell ref="A1:I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A8E6-FA5A-9A49-AF87-A3AF45954731}">
  <sheetPr>
    <tabColor theme="8" tint="0.79998168889431442"/>
  </sheetPr>
  <dimension ref="A1:O91"/>
  <sheetViews>
    <sheetView workbookViewId="0">
      <selection activeCell="B55" sqref="B55"/>
    </sheetView>
  </sheetViews>
  <sheetFormatPr baseColWidth="10" defaultColWidth="10.83203125" defaultRowHeight="16"/>
  <cols>
    <col min="1" max="1" width="26.6640625" style="3" customWidth="1"/>
    <col min="2" max="2" width="31.5" style="3" bestFit="1" customWidth="1"/>
    <col min="3" max="3" width="10.83203125" style="3"/>
    <col min="4" max="4" width="15.1640625" style="3" bestFit="1" customWidth="1"/>
    <col min="5" max="5" width="25.6640625" style="3" bestFit="1" customWidth="1"/>
    <col min="6" max="16384" width="10.83203125" style="3"/>
  </cols>
  <sheetData>
    <row r="1" spans="1:15" s="2" customFormat="1" ht="25">
      <c r="A1" s="661" t="s">
        <v>1069</v>
      </c>
      <c r="B1" s="661"/>
      <c r="C1" s="661"/>
      <c r="D1" s="661"/>
      <c r="E1" s="661"/>
      <c r="F1" s="661"/>
      <c r="G1" s="661"/>
      <c r="H1" s="661"/>
      <c r="I1" s="661"/>
      <c r="J1" s="661"/>
      <c r="K1" s="661"/>
      <c r="L1" s="661"/>
      <c r="M1" s="661"/>
      <c r="N1" s="661"/>
      <c r="O1" s="661"/>
    </row>
    <row r="2" spans="1:15" s="2" customFormat="1" ht="17">
      <c r="A2" s="1"/>
      <c r="B2" s="17"/>
      <c r="C2" s="18"/>
      <c r="D2" s="19"/>
      <c r="E2" s="17"/>
      <c r="F2" s="18"/>
    </row>
    <row r="3" spans="1:15" s="2" customFormat="1" ht="17">
      <c r="A3" s="662" t="s">
        <v>95</v>
      </c>
      <c r="B3" s="662"/>
      <c r="C3" s="662"/>
      <c r="D3" s="662"/>
      <c r="E3" s="662"/>
      <c r="F3" s="662"/>
      <c r="G3" s="662"/>
      <c r="H3" s="662"/>
      <c r="I3" s="662"/>
      <c r="J3" s="662"/>
      <c r="K3" s="662"/>
      <c r="L3" s="662"/>
      <c r="M3" s="662"/>
      <c r="N3" s="662"/>
      <c r="O3" s="662"/>
    </row>
    <row r="4" spans="1:15" s="2" customFormat="1" ht="17">
      <c r="A4" s="20" t="s">
        <v>86</v>
      </c>
      <c r="B4" s="21" t="s">
        <v>87</v>
      </c>
      <c r="C4" s="7"/>
      <c r="D4" s="20" t="s">
        <v>102</v>
      </c>
      <c r="E4" s="23" t="s">
        <v>91</v>
      </c>
      <c r="F4" s="7"/>
      <c r="G4" s="7"/>
      <c r="H4" s="301" t="s">
        <v>680</v>
      </c>
      <c r="I4" s="301"/>
      <c r="J4" s="301"/>
      <c r="K4" s="301"/>
      <c r="L4" s="301"/>
      <c r="M4" s="7"/>
      <c r="N4" s="7"/>
      <c r="O4" s="7"/>
    </row>
    <row r="5" spans="1:15" s="2" customFormat="1" ht="17">
      <c r="A5" s="20" t="s">
        <v>88</v>
      </c>
      <c r="B5" s="21" t="s">
        <v>85</v>
      </c>
      <c r="C5" s="7"/>
      <c r="D5" s="50" t="s">
        <v>129</v>
      </c>
      <c r="E5" s="23" t="s">
        <v>90</v>
      </c>
      <c r="F5" s="23"/>
      <c r="G5" s="7"/>
      <c r="H5" s="23"/>
      <c r="I5" s="7"/>
      <c r="J5" s="7"/>
      <c r="K5" s="7"/>
      <c r="L5" s="7"/>
      <c r="M5" s="7"/>
      <c r="N5" s="7"/>
      <c r="O5" s="7"/>
    </row>
    <row r="6" spans="1:15" s="2" customFormat="1" ht="17">
      <c r="A6" s="20" t="s">
        <v>89</v>
      </c>
      <c r="B6" s="21" t="s">
        <v>130</v>
      </c>
      <c r="C6" s="7"/>
      <c r="D6" s="22"/>
      <c r="E6" s="23" t="s">
        <v>92</v>
      </c>
      <c r="F6" s="23"/>
      <c r="G6" s="23"/>
      <c r="H6" s="23"/>
      <c r="I6" s="7"/>
      <c r="J6" s="7"/>
      <c r="K6" s="7"/>
      <c r="L6" s="7"/>
      <c r="M6" s="7"/>
      <c r="N6" s="7"/>
      <c r="O6" s="7"/>
    </row>
    <row r="7" spans="1:15" s="2" customFormat="1" ht="17">
      <c r="A7" s="17"/>
      <c r="B7" s="18"/>
      <c r="D7" s="19"/>
      <c r="E7" s="24"/>
      <c r="F7" s="24"/>
      <c r="G7" s="24"/>
      <c r="H7" s="24"/>
    </row>
    <row r="8" spans="1:15" s="2" customFormat="1" ht="17">
      <c r="A8" s="17"/>
      <c r="B8" s="18"/>
      <c r="D8" s="19"/>
      <c r="E8" s="24"/>
      <c r="F8" s="24"/>
      <c r="G8" s="24"/>
      <c r="H8" s="24"/>
    </row>
    <row r="9" spans="1:15" ht="17">
      <c r="A9" s="656" t="s">
        <v>667</v>
      </c>
      <c r="B9" s="656"/>
      <c r="C9" s="656"/>
      <c r="D9" s="656"/>
      <c r="E9" s="656"/>
      <c r="F9" s="656"/>
      <c r="G9" s="656"/>
      <c r="H9" s="656"/>
      <c r="I9" s="656"/>
      <c r="J9" s="656"/>
      <c r="K9" s="656"/>
      <c r="L9" s="656"/>
      <c r="M9" s="656"/>
      <c r="N9" s="656"/>
      <c r="O9" s="656"/>
    </row>
    <row r="10" spans="1:15" ht="17">
      <c r="A10" s="119" t="s">
        <v>618</v>
      </c>
      <c r="B10" s="659" t="s">
        <v>610</v>
      </c>
      <c r="C10" s="659"/>
      <c r="D10" s="659"/>
      <c r="E10" s="659"/>
      <c r="F10" s="659"/>
      <c r="G10" s="659"/>
      <c r="H10" s="659"/>
      <c r="I10" s="659"/>
      <c r="J10" s="659"/>
      <c r="K10" s="659"/>
      <c r="L10" s="659"/>
      <c r="M10" s="659"/>
      <c r="N10" s="659"/>
      <c r="O10" s="659"/>
    </row>
    <row r="11" spans="1:15" ht="17">
      <c r="A11" s="119"/>
      <c r="B11" s="659"/>
      <c r="C11" s="659"/>
      <c r="D11" s="659"/>
      <c r="E11" s="659"/>
      <c r="F11" s="659"/>
      <c r="G11" s="659"/>
      <c r="H11" s="659"/>
      <c r="I11" s="659"/>
      <c r="J11" s="659"/>
      <c r="K11" s="659"/>
      <c r="L11" s="659"/>
      <c r="M11" s="659"/>
      <c r="N11" s="659"/>
      <c r="O11" s="659"/>
    </row>
    <row r="12" spans="1:15" ht="17">
      <c r="A12" s="119" t="s">
        <v>619</v>
      </c>
      <c r="B12" s="27" t="s">
        <v>620</v>
      </c>
      <c r="C12" s="27"/>
      <c r="D12" s="27"/>
      <c r="E12" s="27"/>
      <c r="F12" s="27"/>
      <c r="G12" s="27"/>
      <c r="H12" s="27"/>
      <c r="I12" s="27"/>
      <c r="J12" s="27"/>
      <c r="K12" s="27"/>
    </row>
    <row r="13" spans="1:15" ht="17">
      <c r="A13" s="1"/>
      <c r="B13" s="660" t="s">
        <v>621</v>
      </c>
      <c r="C13" s="660"/>
      <c r="D13" s="660"/>
      <c r="E13" s="660"/>
      <c r="F13" s="660"/>
      <c r="G13" s="660"/>
      <c r="H13" s="660"/>
      <c r="I13" s="660"/>
      <c r="J13" s="660"/>
      <c r="K13" s="660"/>
      <c r="L13" s="660"/>
      <c r="M13" s="660"/>
      <c r="N13" s="660"/>
      <c r="O13" s="660"/>
    </row>
    <row r="14" spans="1:15" ht="17">
      <c r="A14" s="1"/>
      <c r="B14" s="660"/>
      <c r="C14" s="660"/>
      <c r="D14" s="660"/>
      <c r="E14" s="660"/>
      <c r="F14" s="660"/>
      <c r="G14" s="660"/>
      <c r="H14" s="660"/>
      <c r="I14" s="660"/>
      <c r="J14" s="660"/>
      <c r="K14" s="660"/>
      <c r="L14" s="660"/>
      <c r="M14" s="660"/>
      <c r="N14" s="660"/>
      <c r="O14" s="660"/>
    </row>
    <row r="15" spans="1:15" ht="17">
      <c r="A15" s="1"/>
      <c r="B15" s="660"/>
      <c r="C15" s="660"/>
      <c r="D15" s="660"/>
      <c r="E15" s="660"/>
      <c r="F15" s="660"/>
      <c r="G15" s="660"/>
      <c r="H15" s="660"/>
      <c r="I15" s="660"/>
      <c r="J15" s="660"/>
      <c r="K15" s="660"/>
      <c r="L15" s="660"/>
      <c r="M15" s="660"/>
      <c r="N15" s="660"/>
      <c r="O15" s="660"/>
    </row>
    <row r="16" spans="1:15">
      <c r="A16" s="95"/>
      <c r="B16" s="660"/>
      <c r="C16" s="660"/>
      <c r="D16" s="660"/>
      <c r="E16" s="660"/>
      <c r="F16" s="660"/>
      <c r="G16" s="660"/>
      <c r="H16" s="660"/>
      <c r="I16" s="660"/>
      <c r="J16" s="660"/>
      <c r="K16" s="660"/>
      <c r="L16" s="660"/>
      <c r="M16" s="660"/>
      <c r="N16" s="660"/>
      <c r="O16" s="660"/>
    </row>
    <row r="17" spans="1:11" ht="17">
      <c r="A17" s="1" t="s">
        <v>622</v>
      </c>
      <c r="B17" s="294" t="s">
        <v>611</v>
      </c>
    </row>
    <row r="23" spans="1:11" ht="17">
      <c r="A23" s="2"/>
      <c r="B23" s="2"/>
      <c r="C23" s="2"/>
      <c r="D23" s="2"/>
      <c r="E23" s="2"/>
      <c r="F23" s="2"/>
      <c r="G23" s="2"/>
      <c r="H23" s="2"/>
      <c r="I23" s="2"/>
      <c r="J23" s="2"/>
      <c r="K23" s="2"/>
    </row>
    <row r="24" spans="1:11" ht="17">
      <c r="A24" s="2"/>
      <c r="B24" s="2"/>
      <c r="C24" s="2"/>
      <c r="D24" s="2"/>
      <c r="E24" s="2"/>
      <c r="F24" s="2"/>
      <c r="G24" s="2"/>
      <c r="H24" s="2"/>
      <c r="I24" s="2"/>
      <c r="J24" s="2"/>
      <c r="K24" s="2"/>
    </row>
    <row r="25" spans="1:11" ht="17">
      <c r="A25" s="2"/>
      <c r="B25" s="2"/>
      <c r="C25" s="2"/>
      <c r="D25" s="2"/>
      <c r="E25" s="2"/>
      <c r="F25" s="2"/>
      <c r="G25" s="2"/>
      <c r="H25" s="2"/>
      <c r="I25" s="2"/>
      <c r="J25" s="2"/>
      <c r="K25" s="2"/>
    </row>
    <row r="26" spans="1:11" ht="17">
      <c r="A26" s="2"/>
      <c r="B26" s="2"/>
      <c r="C26" s="2"/>
      <c r="D26" s="2"/>
      <c r="E26" s="2"/>
      <c r="F26" s="2"/>
      <c r="G26" s="2"/>
      <c r="H26" s="2"/>
      <c r="I26" s="2"/>
      <c r="J26" s="2"/>
      <c r="K26" s="2"/>
    </row>
    <row r="27" spans="1:11" ht="17">
      <c r="A27" s="2"/>
      <c r="B27" s="2"/>
      <c r="C27" s="2"/>
      <c r="D27" s="2"/>
      <c r="E27" s="2"/>
      <c r="F27" s="2"/>
      <c r="G27" s="2"/>
      <c r="H27" s="2"/>
      <c r="I27" s="2"/>
      <c r="J27" s="2"/>
      <c r="K27" s="2"/>
    </row>
    <row r="28" spans="1:11" ht="17">
      <c r="A28" s="27"/>
      <c r="B28" s="27"/>
      <c r="C28" s="27"/>
      <c r="D28" s="27"/>
      <c r="E28" s="27"/>
      <c r="F28" s="27"/>
      <c r="G28" s="27"/>
      <c r="H28" s="27"/>
      <c r="I28" s="27"/>
      <c r="J28" s="27"/>
      <c r="K28" s="27"/>
    </row>
    <row r="29" spans="1:11" ht="17">
      <c r="A29" s="27"/>
      <c r="B29" s="27"/>
      <c r="C29" s="27"/>
      <c r="D29" s="27"/>
      <c r="E29" s="27"/>
      <c r="F29" s="27"/>
      <c r="G29" s="27"/>
      <c r="H29" s="27"/>
      <c r="I29" s="27"/>
      <c r="J29" s="27"/>
      <c r="K29" s="27"/>
    </row>
    <row r="30" spans="1:11" ht="17">
      <c r="A30" s="27"/>
      <c r="B30" s="27"/>
      <c r="C30" s="27"/>
      <c r="D30" s="27"/>
      <c r="E30" s="27"/>
      <c r="F30" s="27"/>
      <c r="G30" s="27"/>
      <c r="H30" s="27"/>
      <c r="I30" s="27"/>
      <c r="J30" s="27"/>
      <c r="K30" s="27"/>
    </row>
    <row r="31" spans="1:11" ht="17">
      <c r="A31" s="27"/>
      <c r="B31" s="27"/>
      <c r="C31" s="27"/>
      <c r="D31" s="27"/>
      <c r="E31" s="27"/>
      <c r="F31" s="27"/>
      <c r="G31" s="27"/>
      <c r="H31" s="27"/>
      <c r="I31" s="27"/>
      <c r="J31" s="27"/>
      <c r="K31" s="27"/>
    </row>
    <row r="32" spans="1:11" ht="17">
      <c r="A32" s="2"/>
      <c r="B32" s="2"/>
      <c r="C32" s="2"/>
      <c r="D32" s="2"/>
      <c r="E32" s="2"/>
      <c r="F32" s="2"/>
      <c r="G32" s="2"/>
      <c r="H32" s="2"/>
      <c r="I32" s="2"/>
      <c r="J32" s="2"/>
      <c r="K32" s="2"/>
    </row>
    <row r="33" spans="1:11" ht="17">
      <c r="A33" s="2"/>
      <c r="B33" s="2"/>
      <c r="C33" s="2"/>
      <c r="D33" s="2"/>
      <c r="E33" s="2"/>
      <c r="F33" s="2"/>
      <c r="G33" s="2"/>
      <c r="H33" s="2"/>
      <c r="I33" s="2"/>
      <c r="J33" s="2"/>
      <c r="K33" s="2"/>
    </row>
    <row r="34" spans="1:11" ht="17">
      <c r="A34" s="2"/>
      <c r="B34" s="2"/>
      <c r="C34" s="2"/>
      <c r="D34" s="2"/>
      <c r="E34" s="2"/>
      <c r="F34" s="2"/>
      <c r="G34" s="2"/>
      <c r="H34" s="2"/>
      <c r="I34" s="2"/>
      <c r="J34" s="2"/>
      <c r="K34" s="2"/>
    </row>
    <row r="35" spans="1:11" ht="17">
      <c r="A35" s="2"/>
      <c r="B35" s="2"/>
      <c r="C35" s="2"/>
      <c r="D35" s="2"/>
      <c r="E35" s="2"/>
      <c r="F35" s="2"/>
      <c r="G35" s="2"/>
      <c r="H35" s="2"/>
      <c r="I35" s="2"/>
      <c r="J35" s="2"/>
      <c r="K35" s="2"/>
    </row>
    <row r="37" spans="1:11" ht="17">
      <c r="A37" s="1" t="s">
        <v>623</v>
      </c>
      <c r="B37" s="299" t="s">
        <v>624</v>
      </c>
      <c r="C37" s="2"/>
      <c r="D37" s="2"/>
      <c r="E37" s="2"/>
      <c r="F37" s="2"/>
      <c r="G37" s="2"/>
      <c r="H37" s="2"/>
      <c r="I37" s="2"/>
      <c r="J37" s="2"/>
      <c r="K37" s="2"/>
    </row>
    <row r="38" spans="1:11" ht="17">
      <c r="A38" s="119" t="s">
        <v>619</v>
      </c>
      <c r="B38" s="2" t="s">
        <v>659</v>
      </c>
      <c r="C38" s="2"/>
      <c r="D38" s="2"/>
      <c r="E38" s="2"/>
      <c r="F38" s="2"/>
      <c r="G38" s="2"/>
      <c r="H38" s="2"/>
      <c r="I38" s="2"/>
      <c r="J38" s="2"/>
      <c r="K38" s="2"/>
    </row>
    <row r="39" spans="1:11">
      <c r="B39" s="95"/>
    </row>
    <row r="41" spans="1:11" ht="17">
      <c r="B41" s="2"/>
      <c r="C41" s="2"/>
      <c r="D41" s="2"/>
      <c r="E41" s="2"/>
      <c r="F41" s="2"/>
      <c r="G41" s="2"/>
      <c r="H41" s="2"/>
      <c r="I41" s="2"/>
      <c r="J41" s="2"/>
      <c r="K41" s="2"/>
    </row>
    <row r="42" spans="1:11" ht="17">
      <c r="A42" s="1" t="s">
        <v>660</v>
      </c>
      <c r="B42" s="294" t="s">
        <v>614</v>
      </c>
      <c r="C42" s="2"/>
      <c r="D42" s="2"/>
      <c r="E42" s="2"/>
      <c r="F42" s="2"/>
      <c r="G42" s="2"/>
      <c r="H42" s="2"/>
      <c r="I42" s="2"/>
      <c r="J42" s="2"/>
      <c r="K42" s="2"/>
    </row>
    <row r="43" spans="1:11" ht="17">
      <c r="A43" s="119" t="s">
        <v>619</v>
      </c>
      <c r="B43" s="2" t="s">
        <v>661</v>
      </c>
      <c r="C43" s="2"/>
      <c r="D43" s="2"/>
      <c r="E43" s="2"/>
      <c r="F43" s="2"/>
      <c r="G43" s="2"/>
      <c r="H43" s="2"/>
      <c r="I43" s="2"/>
      <c r="J43" s="2"/>
      <c r="K43" s="2"/>
    </row>
    <row r="44" spans="1:11" ht="17">
      <c r="A44" s="2"/>
      <c r="B44" s="2"/>
      <c r="C44" s="2"/>
      <c r="D44" s="2"/>
      <c r="E44" s="2"/>
      <c r="F44" s="2"/>
      <c r="G44" s="2"/>
      <c r="H44" s="2"/>
      <c r="I44" s="2"/>
      <c r="J44" s="2"/>
      <c r="K44" s="2"/>
    </row>
    <row r="45" spans="1:11" ht="17">
      <c r="A45" s="2"/>
      <c r="B45" s="2"/>
      <c r="C45" s="2"/>
      <c r="D45" s="2"/>
      <c r="E45" s="2"/>
      <c r="F45" s="2"/>
      <c r="G45" s="2"/>
      <c r="H45" s="2"/>
      <c r="I45" s="2"/>
      <c r="J45" s="2"/>
      <c r="K45" s="2"/>
    </row>
    <row r="46" spans="1:11" ht="17">
      <c r="A46" s="1" t="s">
        <v>662</v>
      </c>
      <c r="B46" s="294" t="s">
        <v>615</v>
      </c>
      <c r="C46" s="2"/>
      <c r="D46" s="2"/>
      <c r="E46" s="2"/>
      <c r="F46" s="2"/>
      <c r="G46" s="2"/>
      <c r="H46" s="2"/>
      <c r="I46" s="2"/>
      <c r="J46" s="2"/>
      <c r="K46" s="2"/>
    </row>
    <row r="47" spans="1:11" ht="17">
      <c r="A47" s="119" t="s">
        <v>619</v>
      </c>
      <c r="B47" s="300" t="s">
        <v>156</v>
      </c>
      <c r="C47" s="2"/>
      <c r="D47" s="2"/>
      <c r="E47" s="2"/>
      <c r="F47" s="2"/>
      <c r="G47" s="2"/>
      <c r="H47" s="2"/>
      <c r="I47" s="2"/>
      <c r="J47" s="2"/>
      <c r="K47" s="2"/>
    </row>
    <row r="48" spans="1:11" ht="17">
      <c r="A48" s="1"/>
      <c r="B48" s="300" t="s">
        <v>157</v>
      </c>
      <c r="C48" s="1"/>
      <c r="D48" s="1"/>
      <c r="E48" s="1"/>
      <c r="F48" s="1"/>
      <c r="G48" s="1"/>
      <c r="H48" s="1"/>
      <c r="I48" s="1"/>
      <c r="J48" s="1"/>
      <c r="K48" s="1"/>
    </row>
    <row r="49" spans="1:11" ht="17">
      <c r="A49" s="1"/>
      <c r="B49" s="300" t="s">
        <v>159</v>
      </c>
      <c r="C49" s="1"/>
      <c r="D49" s="1"/>
      <c r="E49" s="1"/>
      <c r="F49" s="1"/>
      <c r="G49" s="1"/>
      <c r="H49" s="1"/>
      <c r="I49" s="1"/>
      <c r="J49" s="1"/>
      <c r="K49" s="1"/>
    </row>
    <row r="50" spans="1:11" ht="17">
      <c r="A50" s="297"/>
      <c r="B50" s="300" t="s">
        <v>164</v>
      </c>
      <c r="C50" s="297"/>
      <c r="D50" s="297"/>
      <c r="E50" s="297"/>
      <c r="F50" s="2"/>
      <c r="G50" s="2"/>
      <c r="H50" s="2"/>
      <c r="I50" s="2"/>
      <c r="J50" s="2"/>
      <c r="K50" s="2"/>
    </row>
    <row r="51" spans="1:11" ht="17">
      <c r="A51" s="2"/>
      <c r="B51" s="300" t="s">
        <v>20</v>
      </c>
      <c r="C51" s="2"/>
      <c r="D51" s="2"/>
      <c r="E51" s="2"/>
      <c r="F51" s="2"/>
      <c r="G51" s="2"/>
      <c r="H51" s="2"/>
      <c r="I51" s="2"/>
      <c r="J51" s="2"/>
      <c r="K51" s="2"/>
    </row>
    <row r="52" spans="1:11" ht="17">
      <c r="A52" s="2"/>
      <c r="B52" s="300" t="s">
        <v>26</v>
      </c>
      <c r="C52" s="2"/>
      <c r="D52" s="2"/>
      <c r="E52" s="2"/>
      <c r="F52" s="2"/>
      <c r="G52" s="2"/>
      <c r="H52" s="2"/>
      <c r="I52" s="2"/>
      <c r="J52" s="2"/>
      <c r="K52" s="2"/>
    </row>
    <row r="53" spans="1:11" ht="17">
      <c r="B53" s="300" t="s">
        <v>30</v>
      </c>
      <c r="C53" s="2"/>
      <c r="D53" s="2"/>
      <c r="E53" s="2"/>
      <c r="F53" s="2"/>
      <c r="G53" s="2"/>
      <c r="H53" s="2"/>
      <c r="I53" s="2"/>
      <c r="J53" s="2"/>
      <c r="K53" s="2"/>
    </row>
    <row r="54" spans="1:11" ht="17">
      <c r="B54" s="300" t="s">
        <v>81</v>
      </c>
      <c r="C54" s="295"/>
      <c r="D54" s="295"/>
      <c r="E54" s="295"/>
    </row>
    <row r="55" spans="1:11" ht="20">
      <c r="A55" s="296"/>
      <c r="B55" s="300" t="s">
        <v>125</v>
      </c>
    </row>
    <row r="56" spans="1:11" ht="17">
      <c r="B56" s="300" t="s">
        <v>41</v>
      </c>
    </row>
    <row r="57" spans="1:11" ht="17">
      <c r="B57" s="300" t="s">
        <v>371</v>
      </c>
    </row>
    <row r="59" spans="1:11">
      <c r="B59" s="3" t="s">
        <v>663</v>
      </c>
    </row>
    <row r="61" spans="1:11" ht="17">
      <c r="A61" s="1" t="s">
        <v>662</v>
      </c>
      <c r="B61" s="294" t="s">
        <v>616</v>
      </c>
    </row>
    <row r="62" spans="1:11" ht="17">
      <c r="A62" s="119" t="s">
        <v>619</v>
      </c>
      <c r="B62" s="3" t="s">
        <v>664</v>
      </c>
    </row>
    <row r="63" spans="1:11" ht="17">
      <c r="A63" s="294"/>
      <c r="B63" s="2"/>
      <c r="C63" s="2"/>
    </row>
    <row r="64" spans="1:11" ht="17">
      <c r="A64" s="1" t="s">
        <v>665</v>
      </c>
      <c r="B64" s="295" t="s">
        <v>617</v>
      </c>
      <c r="C64" s="2"/>
    </row>
    <row r="65" spans="1:3" ht="17">
      <c r="A65" s="119" t="s">
        <v>619</v>
      </c>
      <c r="B65" s="2" t="s">
        <v>666</v>
      </c>
      <c r="C65" s="2"/>
    </row>
    <row r="66" spans="1:3" ht="17">
      <c r="A66" s="2"/>
      <c r="B66" s="2"/>
      <c r="C66" s="2"/>
    </row>
    <row r="67" spans="1:3" ht="17">
      <c r="A67" s="2"/>
      <c r="B67" s="2"/>
      <c r="C67" s="2"/>
    </row>
    <row r="68" spans="1:3" ht="17">
      <c r="A68" s="2"/>
      <c r="C68" s="2"/>
    </row>
    <row r="69" spans="1:3" ht="17">
      <c r="A69" s="2"/>
      <c r="B69" s="2"/>
      <c r="C69" s="2"/>
    </row>
    <row r="70" spans="1:3" ht="17">
      <c r="A70" s="294"/>
      <c r="B70" s="2"/>
      <c r="C70" s="2"/>
    </row>
    <row r="71" spans="1:3" ht="17">
      <c r="A71" s="2"/>
      <c r="B71" s="2"/>
      <c r="C71" s="2"/>
    </row>
    <row r="72" spans="1:3" ht="17">
      <c r="A72" s="2"/>
      <c r="B72" s="2"/>
      <c r="C72" s="2"/>
    </row>
    <row r="73" spans="1:3" ht="17">
      <c r="A73" s="2"/>
      <c r="B73" s="2"/>
      <c r="C73" s="2"/>
    </row>
    <row r="74" spans="1:3" ht="17">
      <c r="A74" s="2"/>
      <c r="B74" s="2"/>
      <c r="C74" s="2"/>
    </row>
    <row r="75" spans="1:3" ht="17">
      <c r="A75" s="2"/>
      <c r="B75" s="2"/>
      <c r="C75" s="2"/>
    </row>
    <row r="76" spans="1:3" ht="17">
      <c r="A76" s="2"/>
      <c r="B76" s="2"/>
      <c r="C76" s="2"/>
    </row>
    <row r="77" spans="1:3" ht="17">
      <c r="A77" s="2"/>
      <c r="B77" s="2"/>
      <c r="C77" s="2"/>
    </row>
    <row r="78" spans="1:3" ht="17">
      <c r="A78" s="2"/>
      <c r="B78" s="2"/>
      <c r="C78" s="2"/>
    </row>
    <row r="79" spans="1:3" ht="17">
      <c r="A79" s="2"/>
      <c r="B79" s="2"/>
      <c r="C79" s="2"/>
    </row>
    <row r="80" spans="1:3" ht="17">
      <c r="A80" s="2"/>
      <c r="B80" s="2"/>
      <c r="C80" s="2"/>
    </row>
    <row r="81" spans="1:3" ht="17">
      <c r="A81" s="2"/>
      <c r="B81" s="2"/>
      <c r="C81" s="2"/>
    </row>
    <row r="82" spans="1:3" ht="17">
      <c r="A82" s="2"/>
      <c r="B82" s="2"/>
      <c r="C82" s="2"/>
    </row>
    <row r="83" spans="1:3" ht="17">
      <c r="A83" s="2"/>
      <c r="B83" s="2"/>
      <c r="C83" s="2"/>
    </row>
    <row r="84" spans="1:3" ht="17">
      <c r="A84" s="2"/>
      <c r="B84" s="2"/>
      <c r="C84" s="2"/>
    </row>
    <row r="85" spans="1:3" ht="17">
      <c r="A85" s="2"/>
      <c r="B85" s="2"/>
      <c r="C85" s="2"/>
    </row>
    <row r="86" spans="1:3" ht="17">
      <c r="A86" s="2"/>
      <c r="B86" s="2"/>
      <c r="C86" s="2"/>
    </row>
    <row r="87" spans="1:3" ht="17">
      <c r="A87" s="2"/>
      <c r="B87" s="2"/>
      <c r="C87" s="2"/>
    </row>
    <row r="88" spans="1:3" ht="17">
      <c r="A88" s="2"/>
      <c r="B88" s="2"/>
      <c r="C88" s="2"/>
    </row>
    <row r="89" spans="1:3" ht="17">
      <c r="A89" s="2"/>
      <c r="B89" s="2"/>
      <c r="C89" s="2"/>
    </row>
    <row r="90" spans="1:3" ht="17">
      <c r="A90" s="294" t="s">
        <v>612</v>
      </c>
      <c r="B90" s="2"/>
      <c r="C90" s="2"/>
    </row>
    <row r="91" spans="1:3" ht="17">
      <c r="A91" s="294" t="s">
        <v>613</v>
      </c>
      <c r="B91" s="2"/>
      <c r="C91" s="2"/>
    </row>
  </sheetData>
  <mergeCells count="5">
    <mergeCell ref="B10:O11"/>
    <mergeCell ref="B13:O16"/>
    <mergeCell ref="A1:O1"/>
    <mergeCell ref="A3:O3"/>
    <mergeCell ref="A9:O9"/>
  </mergeCells>
  <hyperlinks>
    <hyperlink ref="E4" r:id="rId1" xr:uid="{5FF44FE8-A4A4-2B48-8621-3BA994AFDF57}"/>
    <hyperlink ref="E6" r:id="rId2" xr:uid="{5243DFC8-5BC4-6F4B-B0F4-2CEBB34A42E7}"/>
    <hyperlink ref="E5" r:id="rId3" xr:uid="{212D3E35-BC72-0B4B-8261-0D6D7AFED0D3}"/>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3B227-C556-F34F-8EE2-5DEBC01D9FA6}">
  <sheetPr>
    <outlinePr summaryBelow="0" summaryRight="0"/>
  </sheetPr>
  <dimension ref="A1:T32"/>
  <sheetViews>
    <sheetView topLeftCell="F50" workbookViewId="0">
      <selection activeCell="O40" sqref="O40"/>
    </sheetView>
  </sheetViews>
  <sheetFormatPr baseColWidth="10" defaultColWidth="11.1640625" defaultRowHeight="15" customHeight="1"/>
  <cols>
    <col min="1" max="16384" width="11.1640625" style="135"/>
  </cols>
  <sheetData>
    <row r="1" spans="1:20" ht="25">
      <c r="A1" s="663" t="s">
        <v>283</v>
      </c>
      <c r="B1" s="663"/>
      <c r="C1" s="663"/>
      <c r="D1" s="663"/>
      <c r="E1" s="663"/>
      <c r="F1" s="663"/>
      <c r="G1" s="663"/>
      <c r="H1" s="663"/>
      <c r="I1" s="663"/>
    </row>
    <row r="3" spans="1:20" ht="16" customHeight="1">
      <c r="A3" s="664" t="s">
        <v>298</v>
      </c>
      <c r="B3" s="664"/>
      <c r="C3" s="664"/>
      <c r="D3" s="664"/>
      <c r="E3" s="664"/>
      <c r="F3" s="664"/>
      <c r="G3" s="664"/>
      <c r="H3" s="664"/>
      <c r="I3" s="664"/>
    </row>
    <row r="4" spans="1:20" ht="15" customHeight="1">
      <c r="A4" s="664"/>
      <c r="B4" s="664"/>
      <c r="C4" s="664"/>
      <c r="D4" s="664"/>
      <c r="E4" s="664"/>
      <c r="F4" s="664"/>
      <c r="G4" s="664"/>
      <c r="H4" s="664"/>
      <c r="I4" s="664"/>
      <c r="L4" s="665" t="s">
        <v>427</v>
      </c>
      <c r="M4" s="665"/>
      <c r="N4" s="665"/>
      <c r="O4" s="665"/>
      <c r="P4" s="665"/>
      <c r="Q4" s="665"/>
      <c r="R4" s="665"/>
      <c r="S4" s="665"/>
      <c r="T4" s="665"/>
    </row>
    <row r="5" spans="1:20" ht="15" customHeight="1">
      <c r="A5" s="664"/>
      <c r="B5" s="664"/>
      <c r="C5" s="664"/>
      <c r="D5" s="664"/>
      <c r="E5" s="664"/>
      <c r="F5" s="664"/>
      <c r="G5" s="664"/>
      <c r="H5" s="664"/>
      <c r="I5" s="664"/>
      <c r="L5" s="665"/>
      <c r="M5" s="665"/>
      <c r="N5" s="665"/>
      <c r="O5" s="665"/>
      <c r="P5" s="665"/>
      <c r="Q5" s="665"/>
      <c r="R5" s="665"/>
      <c r="S5" s="665"/>
      <c r="T5" s="665"/>
    </row>
    <row r="6" spans="1:20" ht="15" customHeight="1">
      <c r="A6" s="664"/>
      <c r="B6" s="664"/>
      <c r="C6" s="664"/>
      <c r="D6" s="664"/>
      <c r="E6" s="664"/>
      <c r="F6" s="664"/>
      <c r="G6" s="664"/>
      <c r="H6" s="664"/>
      <c r="I6" s="664"/>
      <c r="L6" s="665"/>
      <c r="M6" s="665"/>
      <c r="N6" s="665"/>
      <c r="O6" s="665"/>
      <c r="P6" s="665"/>
      <c r="Q6" s="665"/>
      <c r="R6" s="665"/>
      <c r="S6" s="665"/>
      <c r="T6" s="665"/>
    </row>
    <row r="7" spans="1:20" ht="15" customHeight="1">
      <c r="A7" s="664"/>
      <c r="B7" s="664"/>
      <c r="C7" s="664"/>
      <c r="D7" s="664"/>
      <c r="E7" s="664"/>
      <c r="F7" s="664"/>
      <c r="G7" s="664"/>
      <c r="H7" s="664"/>
      <c r="I7" s="664"/>
      <c r="L7" s="665"/>
      <c r="M7" s="665"/>
      <c r="N7" s="665"/>
      <c r="O7" s="665"/>
      <c r="P7" s="665"/>
      <c r="Q7" s="665"/>
      <c r="R7" s="665"/>
      <c r="S7" s="665"/>
      <c r="T7" s="665"/>
    </row>
    <row r="8" spans="1:20" ht="15" customHeight="1">
      <c r="A8" s="664"/>
      <c r="B8" s="664"/>
      <c r="C8" s="664"/>
      <c r="D8" s="664"/>
      <c r="E8" s="664"/>
      <c r="F8" s="664"/>
      <c r="G8" s="664"/>
      <c r="H8" s="664"/>
      <c r="I8" s="664"/>
      <c r="L8" s="665"/>
      <c r="M8" s="665"/>
      <c r="N8" s="665"/>
      <c r="O8" s="665"/>
      <c r="P8" s="665"/>
      <c r="Q8" s="665"/>
      <c r="R8" s="665"/>
      <c r="S8" s="665"/>
      <c r="T8" s="665"/>
    </row>
    <row r="9" spans="1:20" ht="15" customHeight="1">
      <c r="A9" s="664"/>
      <c r="B9" s="664"/>
      <c r="C9" s="664"/>
      <c r="D9" s="664"/>
      <c r="E9" s="664"/>
      <c r="F9" s="664"/>
      <c r="G9" s="664"/>
      <c r="H9" s="664"/>
      <c r="I9" s="664"/>
      <c r="L9" s="665"/>
      <c r="M9" s="665"/>
      <c r="N9" s="665"/>
      <c r="O9" s="665"/>
      <c r="P9" s="665"/>
      <c r="Q9" s="665"/>
      <c r="R9" s="665"/>
      <c r="S9" s="665"/>
      <c r="T9" s="665"/>
    </row>
    <row r="10" spans="1:20" ht="15" customHeight="1">
      <c r="A10" s="664"/>
      <c r="B10" s="664"/>
      <c r="C10" s="664"/>
      <c r="D10" s="664"/>
      <c r="E10" s="664"/>
      <c r="F10" s="664"/>
      <c r="G10" s="664"/>
      <c r="H10" s="664"/>
      <c r="I10" s="664"/>
      <c r="L10" s="665"/>
      <c r="M10" s="665"/>
      <c r="N10" s="665"/>
      <c r="O10" s="665"/>
      <c r="P10" s="665"/>
      <c r="Q10" s="665"/>
      <c r="R10" s="665"/>
      <c r="S10" s="665"/>
      <c r="T10" s="665"/>
    </row>
    <row r="11" spans="1:20" ht="15" customHeight="1">
      <c r="A11" s="664"/>
      <c r="B11" s="664"/>
      <c r="C11" s="664"/>
      <c r="D11" s="664"/>
      <c r="E11" s="664"/>
      <c r="F11" s="664"/>
      <c r="G11" s="664"/>
      <c r="H11" s="664"/>
      <c r="I11" s="664"/>
      <c r="L11" s="665"/>
      <c r="M11" s="665"/>
      <c r="N11" s="665"/>
      <c r="O11" s="665"/>
      <c r="P11" s="665"/>
      <c r="Q11" s="665"/>
      <c r="R11" s="665"/>
      <c r="S11" s="665"/>
      <c r="T11" s="665"/>
    </row>
    <row r="12" spans="1:20" ht="15" customHeight="1">
      <c r="A12" s="664"/>
      <c r="B12" s="664"/>
      <c r="C12" s="664"/>
      <c r="D12" s="664"/>
      <c r="E12" s="664"/>
      <c r="F12" s="664"/>
      <c r="G12" s="664"/>
      <c r="H12" s="664"/>
      <c r="I12" s="664"/>
      <c r="L12" s="665"/>
      <c r="M12" s="665"/>
      <c r="N12" s="665"/>
      <c r="O12" s="665"/>
      <c r="P12" s="665"/>
      <c r="Q12" s="665"/>
      <c r="R12" s="665"/>
      <c r="S12" s="665"/>
      <c r="T12" s="665"/>
    </row>
    <row r="13" spans="1:20" ht="15" customHeight="1">
      <c r="A13" s="664"/>
      <c r="B13" s="664"/>
      <c r="C13" s="664"/>
      <c r="D13" s="664"/>
      <c r="E13" s="664"/>
      <c r="F13" s="664"/>
      <c r="G13" s="664"/>
      <c r="H13" s="664"/>
      <c r="I13" s="664"/>
      <c r="L13" s="665"/>
      <c r="M13" s="665"/>
      <c r="N13" s="665"/>
      <c r="O13" s="665"/>
      <c r="P13" s="665"/>
      <c r="Q13" s="665"/>
      <c r="R13" s="665"/>
      <c r="S13" s="665"/>
      <c r="T13" s="665"/>
    </row>
    <row r="14" spans="1:20" ht="15" customHeight="1">
      <c r="A14" s="664"/>
      <c r="B14" s="664"/>
      <c r="C14" s="664"/>
      <c r="D14" s="664"/>
      <c r="E14" s="664"/>
      <c r="F14" s="664"/>
      <c r="G14" s="664"/>
      <c r="H14" s="664"/>
      <c r="I14" s="664"/>
      <c r="L14" s="665"/>
      <c r="M14" s="665"/>
      <c r="N14" s="665"/>
      <c r="O14" s="665"/>
      <c r="P14" s="665"/>
      <c r="Q14" s="665"/>
      <c r="R14" s="665"/>
      <c r="S14" s="665"/>
      <c r="T14" s="665"/>
    </row>
    <row r="15" spans="1:20" ht="15" customHeight="1">
      <c r="A15" s="664"/>
      <c r="B15" s="664"/>
      <c r="C15" s="664"/>
      <c r="D15" s="664"/>
      <c r="E15" s="664"/>
      <c r="F15" s="664"/>
      <c r="G15" s="664"/>
      <c r="H15" s="664"/>
      <c r="I15" s="664"/>
      <c r="L15" s="665"/>
      <c r="M15" s="665"/>
      <c r="N15" s="665"/>
      <c r="O15" s="665"/>
      <c r="P15" s="665"/>
      <c r="Q15" s="665"/>
      <c r="R15" s="665"/>
      <c r="S15" s="665"/>
      <c r="T15" s="665"/>
    </row>
    <row r="16" spans="1:20" ht="15" customHeight="1">
      <c r="A16" s="664"/>
      <c r="B16" s="664"/>
      <c r="C16" s="664"/>
      <c r="D16" s="664"/>
      <c r="E16" s="664"/>
      <c r="F16" s="664"/>
      <c r="G16" s="664"/>
      <c r="H16" s="664"/>
      <c r="I16" s="664"/>
      <c r="L16" s="665"/>
      <c r="M16" s="665"/>
      <c r="N16" s="665"/>
      <c r="O16" s="665"/>
      <c r="P16" s="665"/>
      <c r="Q16" s="665"/>
      <c r="R16" s="665"/>
      <c r="S16" s="665"/>
      <c r="T16" s="665"/>
    </row>
    <row r="17" spans="1:20" ht="15" customHeight="1">
      <c r="A17" s="664"/>
      <c r="B17" s="664"/>
      <c r="C17" s="664"/>
      <c r="D17" s="664"/>
      <c r="E17" s="664"/>
      <c r="F17" s="664"/>
      <c r="G17" s="664"/>
      <c r="H17" s="664"/>
      <c r="I17" s="664"/>
      <c r="L17" s="665"/>
      <c r="M17" s="665"/>
      <c r="N17" s="665"/>
      <c r="O17" s="665"/>
      <c r="P17" s="665"/>
      <c r="Q17" s="665"/>
      <c r="R17" s="665"/>
      <c r="S17" s="665"/>
      <c r="T17" s="665"/>
    </row>
    <row r="18" spans="1:20" ht="15" customHeight="1">
      <c r="A18" s="664"/>
      <c r="B18" s="664"/>
      <c r="C18" s="664"/>
      <c r="D18" s="664"/>
      <c r="E18" s="664"/>
      <c r="F18" s="664"/>
      <c r="G18" s="664"/>
      <c r="H18" s="664"/>
      <c r="I18" s="664"/>
      <c r="L18" s="665"/>
      <c r="M18" s="665"/>
      <c r="N18" s="665"/>
      <c r="O18" s="665"/>
      <c r="P18" s="665"/>
      <c r="Q18" s="665"/>
      <c r="R18" s="665"/>
      <c r="S18" s="665"/>
      <c r="T18" s="665"/>
    </row>
    <row r="19" spans="1:20" ht="15" customHeight="1">
      <c r="A19" s="664"/>
      <c r="B19" s="664"/>
      <c r="C19" s="664"/>
      <c r="D19" s="664"/>
      <c r="E19" s="664"/>
      <c r="F19" s="664"/>
      <c r="G19" s="664"/>
      <c r="H19" s="664"/>
      <c r="I19" s="664"/>
      <c r="L19" s="665"/>
      <c r="M19" s="665"/>
      <c r="N19" s="665"/>
      <c r="O19" s="665"/>
      <c r="P19" s="665"/>
      <c r="Q19" s="665"/>
      <c r="R19" s="665"/>
      <c r="S19" s="665"/>
      <c r="T19" s="665"/>
    </row>
    <row r="20" spans="1:20" ht="15" customHeight="1">
      <c r="A20" s="664"/>
      <c r="B20" s="664"/>
      <c r="C20" s="664"/>
      <c r="D20" s="664"/>
      <c r="E20" s="664"/>
      <c r="F20" s="664"/>
      <c r="G20" s="664"/>
      <c r="H20" s="664"/>
      <c r="I20" s="664"/>
      <c r="L20" s="665"/>
      <c r="M20" s="665"/>
      <c r="N20" s="665"/>
      <c r="O20" s="665"/>
      <c r="P20" s="665"/>
      <c r="Q20" s="665"/>
      <c r="R20" s="665"/>
      <c r="S20" s="665"/>
      <c r="T20" s="665"/>
    </row>
    <row r="21" spans="1:20" ht="15" customHeight="1">
      <c r="A21" s="664"/>
      <c r="B21" s="664"/>
      <c r="C21" s="664"/>
      <c r="D21" s="664"/>
      <c r="E21" s="664"/>
      <c r="F21" s="664"/>
      <c r="G21" s="664"/>
      <c r="H21" s="664"/>
      <c r="I21" s="664"/>
      <c r="L21" s="665"/>
      <c r="M21" s="665"/>
      <c r="N21" s="665"/>
      <c r="O21" s="665"/>
      <c r="P21" s="665"/>
      <c r="Q21" s="665"/>
      <c r="R21" s="665"/>
      <c r="S21" s="665"/>
      <c r="T21" s="665"/>
    </row>
    <row r="22" spans="1:20" ht="15" customHeight="1">
      <c r="A22" s="664"/>
      <c r="B22" s="664"/>
      <c r="C22" s="664"/>
      <c r="D22" s="664"/>
      <c r="E22" s="664"/>
      <c r="F22" s="664"/>
      <c r="G22" s="664"/>
      <c r="H22" s="664"/>
      <c r="I22" s="664"/>
      <c r="L22" s="665"/>
      <c r="M22" s="665"/>
      <c r="N22" s="665"/>
      <c r="O22" s="665"/>
      <c r="P22" s="665"/>
      <c r="Q22" s="665"/>
      <c r="R22" s="665"/>
      <c r="S22" s="665"/>
      <c r="T22" s="665"/>
    </row>
    <row r="23" spans="1:20" ht="15" customHeight="1">
      <c r="A23" s="664"/>
      <c r="B23" s="664"/>
      <c r="C23" s="664"/>
      <c r="D23" s="664"/>
      <c r="E23" s="664"/>
      <c r="F23" s="664"/>
      <c r="G23" s="664"/>
      <c r="H23" s="664"/>
      <c r="I23" s="664"/>
      <c r="L23" s="665"/>
      <c r="M23" s="665"/>
      <c r="N23" s="665"/>
      <c r="O23" s="665"/>
      <c r="P23" s="665"/>
      <c r="Q23" s="665"/>
      <c r="R23" s="665"/>
      <c r="S23" s="665"/>
      <c r="T23" s="665"/>
    </row>
    <row r="24" spans="1:20" ht="15" customHeight="1">
      <c r="A24" s="664"/>
      <c r="B24" s="664"/>
      <c r="C24" s="664"/>
      <c r="D24" s="664"/>
      <c r="E24" s="664"/>
      <c r="F24" s="664"/>
      <c r="G24" s="664"/>
      <c r="H24" s="664"/>
      <c r="I24" s="664"/>
      <c r="L24" s="665"/>
      <c r="M24" s="665"/>
      <c r="N24" s="665"/>
      <c r="O24" s="665"/>
      <c r="P24" s="665"/>
      <c r="Q24" s="665"/>
      <c r="R24" s="665"/>
      <c r="S24" s="665"/>
      <c r="T24" s="665"/>
    </row>
    <row r="25" spans="1:20" ht="15" customHeight="1">
      <c r="A25" s="664"/>
      <c r="B25" s="664"/>
      <c r="C25" s="664"/>
      <c r="D25" s="664"/>
      <c r="E25" s="664"/>
      <c r="F25" s="664"/>
      <c r="G25" s="664"/>
      <c r="H25" s="664"/>
      <c r="I25" s="664"/>
      <c r="L25" s="665"/>
      <c r="M25" s="665"/>
      <c r="N25" s="665"/>
      <c r="O25" s="665"/>
      <c r="P25" s="665"/>
      <c r="Q25" s="665"/>
      <c r="R25" s="665"/>
      <c r="S25" s="665"/>
      <c r="T25" s="665"/>
    </row>
    <row r="26" spans="1:20" ht="15" customHeight="1">
      <c r="A26" s="664"/>
      <c r="B26" s="664"/>
      <c r="C26" s="664"/>
      <c r="D26" s="664"/>
      <c r="E26" s="664"/>
      <c r="F26" s="664"/>
      <c r="G26" s="664"/>
      <c r="H26" s="664"/>
      <c r="I26" s="664"/>
      <c r="L26" s="665"/>
      <c r="M26" s="665"/>
      <c r="N26" s="665"/>
      <c r="O26" s="665"/>
      <c r="P26" s="665"/>
      <c r="Q26" s="665"/>
      <c r="R26" s="665"/>
      <c r="S26" s="665"/>
      <c r="T26" s="665"/>
    </row>
    <row r="27" spans="1:20" ht="15" customHeight="1">
      <c r="A27" s="664"/>
      <c r="B27" s="664"/>
      <c r="C27" s="664"/>
      <c r="D27" s="664"/>
      <c r="E27" s="664"/>
      <c r="F27" s="664"/>
      <c r="G27" s="664"/>
      <c r="H27" s="664"/>
      <c r="I27" s="664"/>
      <c r="L27" s="665"/>
      <c r="M27" s="665"/>
      <c r="N27" s="665"/>
      <c r="O27" s="665"/>
      <c r="P27" s="665"/>
      <c r="Q27" s="665"/>
      <c r="R27" s="665"/>
      <c r="S27" s="665"/>
      <c r="T27" s="665"/>
    </row>
    <row r="28" spans="1:20" ht="15" customHeight="1">
      <c r="A28" s="664"/>
      <c r="B28" s="664"/>
      <c r="C28" s="664"/>
      <c r="D28" s="664"/>
      <c r="E28" s="664"/>
      <c r="F28" s="664"/>
      <c r="G28" s="664"/>
      <c r="H28" s="664"/>
      <c r="I28" s="664"/>
      <c r="L28" s="665"/>
      <c r="M28" s="665"/>
      <c r="N28" s="665"/>
      <c r="O28" s="665"/>
      <c r="P28" s="665"/>
      <c r="Q28" s="665"/>
      <c r="R28" s="665"/>
      <c r="S28" s="665"/>
      <c r="T28" s="665"/>
    </row>
    <row r="29" spans="1:20" ht="15" customHeight="1">
      <c r="A29" s="664"/>
      <c r="B29" s="664"/>
      <c r="C29" s="664"/>
      <c r="D29" s="664"/>
      <c r="E29" s="664"/>
      <c r="F29" s="664"/>
      <c r="G29" s="664"/>
      <c r="H29" s="664"/>
      <c r="I29" s="664"/>
      <c r="L29" s="665"/>
      <c r="M29" s="665"/>
      <c r="N29" s="665"/>
      <c r="O29" s="665"/>
      <c r="P29" s="665"/>
      <c r="Q29" s="665"/>
      <c r="R29" s="665"/>
      <c r="S29" s="665"/>
      <c r="T29" s="665"/>
    </row>
    <row r="30" spans="1:20" ht="15" customHeight="1">
      <c r="A30" s="664"/>
      <c r="B30" s="664"/>
      <c r="C30" s="664"/>
      <c r="D30" s="664"/>
      <c r="E30" s="664"/>
      <c r="F30" s="664"/>
      <c r="G30" s="664"/>
      <c r="H30" s="664"/>
      <c r="I30" s="664"/>
      <c r="L30" s="665"/>
      <c r="M30" s="665"/>
      <c r="N30" s="665"/>
      <c r="O30" s="665"/>
      <c r="P30" s="665"/>
      <c r="Q30" s="665"/>
      <c r="R30" s="665"/>
      <c r="S30" s="665"/>
      <c r="T30" s="665"/>
    </row>
    <row r="31" spans="1:20" ht="15" customHeight="1">
      <c r="L31" s="665"/>
      <c r="M31" s="665"/>
      <c r="N31" s="665"/>
      <c r="O31" s="665"/>
      <c r="P31" s="665"/>
      <c r="Q31" s="665"/>
      <c r="R31" s="665"/>
      <c r="S31" s="665"/>
      <c r="T31" s="665"/>
    </row>
    <row r="32" spans="1:20" ht="15" customHeight="1">
      <c r="L32" s="665"/>
      <c r="M32" s="665"/>
      <c r="N32" s="665"/>
      <c r="O32" s="665"/>
      <c r="P32" s="665"/>
      <c r="Q32" s="665"/>
      <c r="R32" s="665"/>
      <c r="S32" s="665"/>
      <c r="T32" s="665"/>
    </row>
  </sheetData>
  <mergeCells count="3">
    <mergeCell ref="A1:I1"/>
    <mergeCell ref="A3:I30"/>
    <mergeCell ref="L4:T3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9AD73-3441-174F-879A-D95EC6C581FE}">
  <sheetPr>
    <outlinePr summaryBelow="0" summaryRight="0"/>
  </sheetPr>
  <dimension ref="A1:AQ434"/>
  <sheetViews>
    <sheetView zoomScale="125" workbookViewId="0">
      <selection activeCell="AF264" sqref="AF264:AF284"/>
    </sheetView>
  </sheetViews>
  <sheetFormatPr baseColWidth="10" defaultColWidth="11.1640625" defaultRowHeight="15" customHeight="1"/>
  <cols>
    <col min="1" max="1" width="12.83203125" style="135" customWidth="1"/>
    <col min="2" max="3" width="11.1640625" style="135"/>
    <col min="4" max="4" width="14.33203125" style="135" customWidth="1"/>
    <col min="5" max="8" width="11.1640625" style="135"/>
    <col min="9" max="9" width="25.5" style="135" customWidth="1"/>
    <col min="10" max="12" width="11.1640625" style="135"/>
    <col min="13" max="13" width="16.1640625" style="135" customWidth="1"/>
    <col min="14" max="14" width="7.83203125" style="135" customWidth="1"/>
    <col min="15" max="15" width="6.5" style="135" customWidth="1"/>
    <col min="16" max="16" width="12.6640625" style="135" customWidth="1"/>
    <col min="17" max="17" width="25.83203125" style="135" customWidth="1"/>
    <col min="18" max="18" width="14" style="569" bestFit="1" customWidth="1"/>
    <col min="19" max="19" width="10.83203125" style="159" bestFit="1" customWidth="1"/>
    <col min="20" max="20" width="26.33203125" style="159" bestFit="1" customWidth="1"/>
    <col min="21" max="21" width="20.5" style="159" bestFit="1" customWidth="1"/>
    <col min="22" max="22" width="14.1640625" style="569" bestFit="1" customWidth="1"/>
    <col min="23" max="31" width="3.6640625" style="135" bestFit="1" customWidth="1"/>
    <col min="32" max="32" width="11.1640625" style="135"/>
    <col min="33" max="33" width="101.1640625" style="599" customWidth="1"/>
    <col min="34" max="37" width="5.83203125" style="159" customWidth="1"/>
    <col min="38" max="38" width="14.5" style="159" bestFit="1" customWidth="1"/>
    <col min="39" max="39" width="18.33203125" style="159" customWidth="1"/>
    <col min="40" max="43" width="5.83203125" style="135" customWidth="1"/>
    <col min="44" max="16384" width="11.1640625" style="135"/>
  </cols>
  <sheetData>
    <row r="1" spans="1:39" s="552" customFormat="1" ht="25">
      <c r="A1" s="666" t="s">
        <v>284</v>
      </c>
      <c r="B1" s="666"/>
      <c r="C1" s="666"/>
      <c r="D1" s="666"/>
      <c r="E1" s="666"/>
      <c r="F1" s="666"/>
      <c r="G1" s="666"/>
      <c r="H1" s="666"/>
      <c r="I1" s="666"/>
      <c r="R1" s="568"/>
      <c r="S1" s="161"/>
      <c r="T1" s="161"/>
      <c r="U1" s="161"/>
      <c r="V1" s="568"/>
      <c r="AG1" s="608"/>
      <c r="AH1" s="161"/>
      <c r="AI1" s="161"/>
      <c r="AJ1" s="161"/>
      <c r="AK1" s="161"/>
      <c r="AL1" s="161"/>
      <c r="AM1" s="161"/>
    </row>
    <row r="3" spans="1:39" ht="16">
      <c r="A3" s="667" t="s">
        <v>285</v>
      </c>
      <c r="B3" s="667"/>
      <c r="C3" s="667"/>
      <c r="D3" s="667"/>
      <c r="E3" s="667"/>
      <c r="F3" s="667"/>
      <c r="G3" s="667"/>
      <c r="H3" s="667"/>
      <c r="I3" s="667"/>
    </row>
    <row r="4" spans="1:39" ht="16">
      <c r="A4" s="668" t="s">
        <v>286</v>
      </c>
      <c r="B4" s="668"/>
      <c r="C4" s="668"/>
      <c r="D4" s="668"/>
      <c r="E4" s="668"/>
      <c r="F4" s="668"/>
      <c r="G4" s="668"/>
      <c r="H4" s="668"/>
      <c r="I4" s="668"/>
    </row>
    <row r="5" spans="1:39" ht="15" customHeight="1">
      <c r="A5" s="668"/>
      <c r="B5" s="668"/>
      <c r="C5" s="668"/>
      <c r="D5" s="668"/>
      <c r="E5" s="668"/>
      <c r="F5" s="668"/>
      <c r="G5" s="668"/>
      <c r="H5" s="668"/>
      <c r="I5" s="668"/>
    </row>
    <row r="6" spans="1:39" ht="15" customHeight="1">
      <c r="A6" s="668"/>
      <c r="B6" s="668"/>
      <c r="C6" s="668"/>
      <c r="D6" s="668"/>
      <c r="E6" s="668"/>
      <c r="F6" s="668"/>
      <c r="G6" s="668"/>
      <c r="H6" s="668"/>
      <c r="I6" s="668"/>
    </row>
    <row r="7" spans="1:39" ht="15" customHeight="1">
      <c r="A7" s="668"/>
      <c r="B7" s="668"/>
      <c r="C7" s="668"/>
      <c r="D7" s="668"/>
      <c r="E7" s="668"/>
      <c r="F7" s="668"/>
      <c r="G7" s="668"/>
      <c r="H7" s="668"/>
      <c r="I7" s="668"/>
    </row>
    <row r="8" spans="1:39" ht="15" customHeight="1">
      <c r="A8" s="668"/>
      <c r="B8" s="668"/>
      <c r="C8" s="668"/>
      <c r="D8" s="668"/>
      <c r="E8" s="668"/>
      <c r="F8" s="668"/>
      <c r="G8" s="668"/>
      <c r="H8" s="668"/>
      <c r="I8" s="668"/>
    </row>
    <row r="9" spans="1:39" ht="15" customHeight="1">
      <c r="A9" s="668"/>
      <c r="B9" s="668"/>
      <c r="C9" s="668"/>
      <c r="D9" s="668"/>
      <c r="E9" s="668"/>
      <c r="F9" s="668"/>
      <c r="G9" s="668"/>
      <c r="H9" s="668"/>
      <c r="I9" s="668"/>
    </row>
    <row r="10" spans="1:39" ht="15" customHeight="1">
      <c r="A10" s="668"/>
      <c r="B10" s="668"/>
      <c r="C10" s="668"/>
      <c r="D10" s="668"/>
      <c r="E10" s="668"/>
      <c r="F10" s="668"/>
      <c r="G10" s="668"/>
      <c r="H10" s="668"/>
      <c r="I10" s="668"/>
    </row>
    <row r="11" spans="1:39" ht="15" customHeight="1">
      <c r="A11" s="668"/>
      <c r="B11" s="668"/>
      <c r="C11" s="668"/>
      <c r="D11" s="668"/>
      <c r="E11" s="668"/>
      <c r="F11" s="668"/>
      <c r="G11" s="668"/>
      <c r="H11" s="668"/>
      <c r="I11" s="668"/>
    </row>
    <row r="13" spans="1:39" ht="16">
      <c r="A13" s="667" t="s">
        <v>287</v>
      </c>
      <c r="B13" s="667"/>
      <c r="C13" s="667"/>
      <c r="D13" s="667"/>
      <c r="E13" s="667"/>
      <c r="F13" s="667"/>
      <c r="G13" s="667"/>
      <c r="H13" s="667"/>
      <c r="I13" s="667"/>
    </row>
    <row r="14" spans="1:39" ht="16">
      <c r="A14" s="553" t="s">
        <v>299</v>
      </c>
      <c r="B14" s="667" t="s">
        <v>300</v>
      </c>
      <c r="C14" s="667"/>
      <c r="D14" s="667"/>
      <c r="E14" s="667"/>
      <c r="F14" s="667"/>
      <c r="G14" s="667"/>
      <c r="H14" s="667"/>
      <c r="I14" s="667"/>
    </row>
    <row r="15" spans="1:39" ht="16">
      <c r="A15" s="669" t="s">
        <v>288</v>
      </c>
      <c r="B15" s="668" t="s">
        <v>289</v>
      </c>
      <c r="C15" s="668"/>
      <c r="D15" s="668"/>
      <c r="E15" s="668"/>
      <c r="F15" s="668"/>
      <c r="G15" s="668"/>
      <c r="H15" s="668"/>
      <c r="I15" s="668"/>
    </row>
    <row r="16" spans="1:39" ht="15" customHeight="1">
      <c r="A16" s="669"/>
      <c r="B16" s="668"/>
      <c r="C16" s="668"/>
      <c r="D16" s="668"/>
      <c r="E16" s="668"/>
      <c r="F16" s="668"/>
      <c r="G16" s="668"/>
      <c r="H16" s="668"/>
      <c r="I16" s="668"/>
    </row>
    <row r="17" spans="1:9" ht="15" customHeight="1">
      <c r="A17" s="669"/>
      <c r="B17" s="668"/>
      <c r="C17" s="668"/>
      <c r="D17" s="668"/>
      <c r="E17" s="668"/>
      <c r="F17" s="668"/>
      <c r="G17" s="668"/>
      <c r="H17" s="668"/>
      <c r="I17" s="668"/>
    </row>
    <row r="18" spans="1:9" ht="15" customHeight="1">
      <c r="A18" s="669"/>
      <c r="B18" s="668"/>
      <c r="C18" s="668"/>
      <c r="D18" s="668"/>
      <c r="E18" s="668"/>
      <c r="F18" s="668"/>
      <c r="G18" s="668"/>
      <c r="H18" s="668"/>
      <c r="I18" s="668"/>
    </row>
    <row r="19" spans="1:9" ht="15" customHeight="1">
      <c r="A19" s="669"/>
      <c r="B19" s="668"/>
      <c r="C19" s="668"/>
      <c r="D19" s="668"/>
      <c r="E19" s="668"/>
      <c r="F19" s="668"/>
      <c r="G19" s="668"/>
      <c r="H19" s="668"/>
      <c r="I19" s="668"/>
    </row>
    <row r="20" spans="1:9" ht="15" customHeight="1">
      <c r="A20" s="669"/>
      <c r="B20" s="668"/>
      <c r="C20" s="668"/>
      <c r="D20" s="668"/>
      <c r="E20" s="668"/>
      <c r="F20" s="668"/>
      <c r="G20" s="668"/>
      <c r="H20" s="668"/>
      <c r="I20" s="668"/>
    </row>
    <row r="21" spans="1:9" ht="15" customHeight="1">
      <c r="A21" s="136"/>
      <c r="B21" s="668"/>
      <c r="C21" s="668"/>
      <c r="D21" s="668"/>
      <c r="E21" s="668"/>
      <c r="F21" s="668"/>
      <c r="G21" s="668"/>
      <c r="H21" s="668"/>
      <c r="I21" s="668"/>
    </row>
    <row r="22" spans="1:9" ht="16">
      <c r="A22" s="669" t="s">
        <v>290</v>
      </c>
      <c r="B22" s="668" t="s">
        <v>291</v>
      </c>
      <c r="C22" s="668"/>
      <c r="D22" s="668"/>
      <c r="E22" s="668"/>
      <c r="F22" s="668"/>
      <c r="G22" s="668"/>
      <c r="H22" s="668"/>
      <c r="I22" s="668"/>
    </row>
    <row r="23" spans="1:9" ht="15" customHeight="1">
      <c r="A23" s="669"/>
      <c r="B23" s="668"/>
      <c r="C23" s="668"/>
      <c r="D23" s="668"/>
      <c r="E23" s="668"/>
      <c r="F23" s="668"/>
      <c r="G23" s="668"/>
      <c r="H23" s="668"/>
      <c r="I23" s="668"/>
    </row>
    <row r="24" spans="1:9" ht="15" customHeight="1">
      <c r="A24" s="669"/>
      <c r="B24" s="668"/>
      <c r="C24" s="668"/>
      <c r="D24" s="668"/>
      <c r="E24" s="668"/>
      <c r="F24" s="668"/>
      <c r="G24" s="668"/>
      <c r="H24" s="668"/>
      <c r="I24" s="668"/>
    </row>
    <row r="25" spans="1:9" ht="15" customHeight="1">
      <c r="A25" s="669"/>
      <c r="B25" s="668"/>
      <c r="C25" s="668"/>
      <c r="D25" s="668"/>
      <c r="E25" s="668"/>
      <c r="F25" s="668"/>
      <c r="G25" s="668"/>
      <c r="H25" s="668"/>
      <c r="I25" s="668"/>
    </row>
    <row r="26" spans="1:9" ht="15" customHeight="1">
      <c r="A26" s="669"/>
      <c r="B26" s="668"/>
      <c r="C26" s="668"/>
      <c r="D26" s="668"/>
      <c r="E26" s="668"/>
      <c r="F26" s="668"/>
      <c r="G26" s="668"/>
      <c r="H26" s="668"/>
      <c r="I26" s="668"/>
    </row>
    <row r="27" spans="1:9" ht="15" customHeight="1">
      <c r="A27" s="669"/>
      <c r="B27" s="668"/>
      <c r="C27" s="668"/>
      <c r="D27" s="668"/>
      <c r="E27" s="668"/>
      <c r="F27" s="668"/>
      <c r="G27" s="668"/>
      <c r="H27" s="668"/>
      <c r="I27" s="668"/>
    </row>
    <row r="28" spans="1:9" ht="15" customHeight="1">
      <c r="A28" s="669"/>
      <c r="B28" s="668"/>
      <c r="C28" s="668"/>
      <c r="D28" s="668"/>
      <c r="E28" s="668"/>
      <c r="F28" s="668"/>
      <c r="G28" s="668"/>
      <c r="H28" s="668"/>
      <c r="I28" s="668"/>
    </row>
    <row r="29" spans="1:9" ht="15" customHeight="1">
      <c r="A29" s="669"/>
      <c r="B29" s="668"/>
      <c r="C29" s="668"/>
      <c r="D29" s="668"/>
      <c r="E29" s="668"/>
      <c r="F29" s="668"/>
      <c r="G29" s="668"/>
      <c r="H29" s="668"/>
      <c r="I29" s="668"/>
    </row>
    <row r="30" spans="1:9" ht="15" customHeight="1">
      <c r="A30" s="669"/>
      <c r="B30" s="668"/>
      <c r="C30" s="668"/>
      <c r="D30" s="668"/>
      <c r="E30" s="668"/>
      <c r="F30" s="668"/>
      <c r="G30" s="668"/>
      <c r="H30" s="668"/>
      <c r="I30" s="668"/>
    </row>
    <row r="31" spans="1:9" ht="16">
      <c r="A31" s="669" t="s">
        <v>292</v>
      </c>
      <c r="B31" s="668" t="s">
        <v>293</v>
      </c>
      <c r="C31" s="668"/>
      <c r="D31" s="668"/>
      <c r="E31" s="668"/>
      <c r="F31" s="668"/>
      <c r="G31" s="668"/>
      <c r="H31" s="668"/>
      <c r="I31" s="668"/>
    </row>
    <row r="32" spans="1:9" ht="16">
      <c r="A32" s="669"/>
      <c r="B32" s="668"/>
      <c r="C32" s="668"/>
      <c r="D32" s="668"/>
      <c r="E32" s="668"/>
      <c r="F32" s="668"/>
      <c r="G32" s="668"/>
      <c r="H32" s="668"/>
      <c r="I32" s="668"/>
    </row>
    <row r="33" spans="1:23" ht="16">
      <c r="A33" s="669"/>
      <c r="B33" s="668"/>
      <c r="C33" s="668"/>
      <c r="D33" s="668"/>
      <c r="E33" s="668"/>
      <c r="F33" s="668"/>
      <c r="G33" s="668"/>
      <c r="H33" s="668"/>
      <c r="I33" s="668"/>
    </row>
    <row r="34" spans="1:23" ht="16">
      <c r="A34" s="669"/>
      <c r="B34" s="668"/>
      <c r="C34" s="668"/>
      <c r="D34" s="668"/>
      <c r="E34" s="668"/>
      <c r="F34" s="668"/>
      <c r="G34" s="668"/>
      <c r="H34" s="668"/>
      <c r="I34" s="668"/>
    </row>
    <row r="35" spans="1:23" ht="16">
      <c r="A35" s="669"/>
      <c r="B35" s="668"/>
      <c r="C35" s="668"/>
      <c r="D35" s="668"/>
      <c r="E35" s="668"/>
      <c r="F35" s="668"/>
      <c r="G35" s="668"/>
      <c r="H35" s="668"/>
      <c r="I35" s="668"/>
    </row>
    <row r="36" spans="1:23" ht="16">
      <c r="A36" s="669"/>
      <c r="B36" s="668"/>
      <c r="C36" s="668"/>
      <c r="D36" s="668"/>
      <c r="E36" s="668"/>
      <c r="F36" s="668"/>
      <c r="G36" s="668"/>
      <c r="H36" s="668"/>
      <c r="I36" s="668"/>
    </row>
    <row r="37" spans="1:23" ht="16">
      <c r="A37" s="669"/>
      <c r="B37" s="668"/>
      <c r="C37" s="668"/>
      <c r="D37" s="668"/>
      <c r="E37" s="668"/>
      <c r="F37" s="668"/>
      <c r="G37" s="668"/>
      <c r="H37" s="668"/>
      <c r="I37" s="668"/>
    </row>
    <row r="38" spans="1:23" ht="15" customHeight="1">
      <c r="A38" s="669"/>
      <c r="B38" s="668"/>
      <c r="C38" s="668"/>
      <c r="D38" s="668"/>
      <c r="E38" s="668"/>
      <c r="F38" s="668"/>
      <c r="G38" s="668"/>
      <c r="H38" s="668"/>
      <c r="I38" s="668"/>
    </row>
    <row r="39" spans="1:23" ht="15" customHeight="1">
      <c r="A39" s="669"/>
      <c r="B39" s="668"/>
      <c r="C39" s="668"/>
      <c r="D39" s="668"/>
      <c r="E39" s="668"/>
      <c r="F39" s="668"/>
      <c r="G39" s="668"/>
      <c r="H39" s="668"/>
      <c r="I39" s="668"/>
    </row>
    <row r="40" spans="1:23" ht="16">
      <c r="A40" s="669" t="s">
        <v>294</v>
      </c>
      <c r="B40" s="668" t="s">
        <v>295</v>
      </c>
      <c r="C40" s="668"/>
      <c r="D40" s="668"/>
      <c r="E40" s="668"/>
      <c r="F40" s="668"/>
      <c r="G40" s="668"/>
      <c r="H40" s="668"/>
      <c r="I40" s="668"/>
    </row>
    <row r="41" spans="1:23" ht="15" customHeight="1">
      <c r="A41" s="669"/>
      <c r="B41" s="668"/>
      <c r="C41" s="668"/>
      <c r="D41" s="668"/>
      <c r="E41" s="668"/>
      <c r="F41" s="668"/>
      <c r="G41" s="668"/>
      <c r="H41" s="668"/>
      <c r="I41" s="668"/>
    </row>
    <row r="42" spans="1:23" ht="15" customHeight="1">
      <c r="A42" s="669"/>
      <c r="B42" s="668"/>
      <c r="C42" s="668"/>
      <c r="D42" s="668"/>
      <c r="E42" s="668"/>
      <c r="F42" s="668"/>
      <c r="G42" s="668"/>
      <c r="H42" s="668"/>
      <c r="I42" s="668"/>
      <c r="U42"/>
      <c r="V42"/>
      <c r="W42"/>
    </row>
    <row r="43" spans="1:23" ht="15" customHeight="1">
      <c r="A43" s="669"/>
      <c r="B43" s="668"/>
      <c r="C43" s="668"/>
      <c r="D43" s="668"/>
      <c r="E43" s="668"/>
      <c r="F43" s="668"/>
      <c r="G43" s="668"/>
      <c r="H43" s="668"/>
      <c r="I43" s="668"/>
      <c r="U43"/>
      <c r="V43"/>
      <c r="W43"/>
    </row>
    <row r="44" spans="1:23" ht="15" customHeight="1">
      <c r="A44" s="669"/>
      <c r="B44" s="668"/>
      <c r="C44" s="668"/>
      <c r="D44" s="668"/>
      <c r="E44" s="668"/>
      <c r="F44" s="668"/>
      <c r="G44" s="668"/>
      <c r="H44" s="668"/>
      <c r="I44" s="668"/>
      <c r="U44"/>
      <c r="V44"/>
      <c r="W44"/>
    </row>
    <row r="45" spans="1:23" ht="15" customHeight="1">
      <c r="A45" s="669"/>
      <c r="B45" s="668"/>
      <c r="C45" s="668"/>
      <c r="D45" s="668"/>
      <c r="E45" s="668"/>
      <c r="F45" s="668"/>
      <c r="G45" s="668"/>
      <c r="H45" s="668"/>
      <c r="I45" s="668"/>
      <c r="U45"/>
      <c r="V45"/>
      <c r="W45"/>
    </row>
    <row r="46" spans="1:23" ht="15" customHeight="1">
      <c r="A46" s="669"/>
      <c r="B46" s="668"/>
      <c r="C46" s="668"/>
      <c r="D46" s="668"/>
      <c r="E46" s="668"/>
      <c r="F46" s="668"/>
      <c r="G46" s="668"/>
      <c r="H46" s="668"/>
      <c r="I46" s="668"/>
      <c r="U46"/>
      <c r="V46"/>
      <c r="W46"/>
    </row>
    <row r="47" spans="1:23" ht="15" customHeight="1">
      <c r="A47" s="669"/>
      <c r="B47" s="668"/>
      <c r="C47" s="668"/>
      <c r="D47" s="668"/>
      <c r="E47" s="668"/>
      <c r="F47" s="668"/>
      <c r="G47" s="668"/>
      <c r="H47" s="668"/>
      <c r="I47" s="668"/>
      <c r="U47"/>
      <c r="V47"/>
      <c r="W47"/>
    </row>
    <row r="48" spans="1:23" ht="15" customHeight="1">
      <c r="A48" s="669"/>
      <c r="B48" s="668"/>
      <c r="C48" s="668"/>
      <c r="D48" s="668"/>
      <c r="E48" s="668"/>
      <c r="F48" s="668"/>
      <c r="G48" s="668"/>
      <c r="H48" s="668"/>
      <c r="I48" s="668"/>
      <c r="U48"/>
      <c r="V48"/>
      <c r="W48"/>
    </row>
    <row r="49" spans="1:23" ht="16">
      <c r="A49" s="669" t="s">
        <v>296</v>
      </c>
      <c r="B49" s="668" t="s">
        <v>297</v>
      </c>
      <c r="C49" s="668"/>
      <c r="D49" s="668"/>
      <c r="E49" s="668"/>
      <c r="F49" s="668"/>
      <c r="G49" s="668"/>
      <c r="H49" s="668"/>
      <c r="I49" s="668"/>
      <c r="U49"/>
      <c r="V49"/>
      <c r="W49"/>
    </row>
    <row r="50" spans="1:23" ht="15" customHeight="1">
      <c r="A50" s="669"/>
      <c r="B50" s="668"/>
      <c r="C50" s="668"/>
      <c r="D50" s="668"/>
      <c r="E50" s="668"/>
      <c r="F50" s="668"/>
      <c r="G50" s="668"/>
      <c r="H50" s="668"/>
      <c r="I50" s="668"/>
      <c r="U50"/>
      <c r="V50"/>
      <c r="W50"/>
    </row>
    <row r="51" spans="1:23" ht="15" customHeight="1">
      <c r="A51" s="669"/>
      <c r="B51" s="668"/>
      <c r="C51" s="668"/>
      <c r="D51" s="668"/>
      <c r="E51" s="668"/>
      <c r="F51" s="668"/>
      <c r="G51" s="668"/>
      <c r="H51" s="668"/>
      <c r="I51" s="668"/>
      <c r="U51"/>
      <c r="V51"/>
      <c r="W51"/>
    </row>
    <row r="52" spans="1:23" ht="15" customHeight="1">
      <c r="A52" s="669"/>
      <c r="B52" s="668"/>
      <c r="C52" s="668"/>
      <c r="D52" s="668"/>
      <c r="E52" s="668"/>
      <c r="F52" s="668"/>
      <c r="G52" s="668"/>
      <c r="H52" s="668"/>
      <c r="I52" s="668"/>
      <c r="U52"/>
      <c r="V52"/>
      <c r="W52"/>
    </row>
    <row r="53" spans="1:23" ht="15" customHeight="1">
      <c r="A53" s="669"/>
      <c r="B53" s="668"/>
      <c r="C53" s="668"/>
      <c r="D53" s="668"/>
      <c r="E53" s="668"/>
      <c r="F53" s="668"/>
      <c r="G53" s="668"/>
      <c r="H53" s="668"/>
      <c r="I53" s="668"/>
      <c r="U53"/>
      <c r="V53"/>
      <c r="W53"/>
    </row>
    <row r="54" spans="1:23" ht="15" customHeight="1">
      <c r="A54" s="669"/>
      <c r="B54" s="668"/>
      <c r="C54" s="668"/>
      <c r="D54" s="668"/>
      <c r="E54" s="668"/>
      <c r="F54" s="668"/>
      <c r="G54" s="668"/>
      <c r="H54" s="668"/>
      <c r="I54" s="668"/>
      <c r="U54"/>
      <c r="V54"/>
      <c r="W54"/>
    </row>
    <row r="55" spans="1:23" ht="15" customHeight="1">
      <c r="A55" s="669"/>
      <c r="B55" s="668"/>
      <c r="C55" s="668"/>
      <c r="D55" s="668"/>
      <c r="E55" s="668"/>
      <c r="F55" s="668"/>
      <c r="G55" s="668"/>
      <c r="H55" s="668"/>
      <c r="I55" s="668"/>
      <c r="U55"/>
      <c r="V55"/>
      <c r="W55"/>
    </row>
    <row r="56" spans="1:23" ht="15" customHeight="1">
      <c r="A56" s="669"/>
      <c r="B56" s="668"/>
      <c r="C56" s="668"/>
      <c r="D56" s="668"/>
      <c r="E56" s="668"/>
      <c r="F56" s="668"/>
      <c r="G56" s="668"/>
      <c r="H56" s="668"/>
      <c r="I56" s="668"/>
      <c r="U56"/>
      <c r="V56"/>
      <c r="W56"/>
    </row>
    <row r="57" spans="1:23" ht="15" customHeight="1">
      <c r="U57"/>
      <c r="V57"/>
      <c r="W57"/>
    </row>
    <row r="58" spans="1:23" ht="15" customHeight="1">
      <c r="U58"/>
      <c r="V58"/>
      <c r="W58"/>
    </row>
    <row r="59" spans="1:23" ht="15" customHeight="1">
      <c r="U59"/>
      <c r="V59"/>
      <c r="W59"/>
    </row>
    <row r="60" spans="1:23" ht="16">
      <c r="U60"/>
      <c r="V60"/>
      <c r="W60"/>
    </row>
    <row r="61" spans="1:23" ht="16">
      <c r="N61"/>
      <c r="Q61" s="566" t="s">
        <v>75</v>
      </c>
      <c r="R61" s="570" t="s">
        <v>186</v>
      </c>
      <c r="S61" s="567" t="s">
        <v>185</v>
      </c>
      <c r="T61" s="567">
        <v>2020</v>
      </c>
      <c r="U61"/>
      <c r="V61"/>
      <c r="W61"/>
    </row>
    <row r="62" spans="1:23" ht="16">
      <c r="N62"/>
      <c r="Q62" s="564" t="s">
        <v>187</v>
      </c>
      <c r="R62" s="571">
        <v>21</v>
      </c>
      <c r="S62" s="565">
        <v>21</v>
      </c>
      <c r="T62" s="565">
        <v>21</v>
      </c>
      <c r="U62"/>
      <c r="V62"/>
      <c r="W62"/>
    </row>
    <row r="63" spans="1:23" ht="16">
      <c r="N63"/>
      <c r="Q63" s="564" t="s">
        <v>188</v>
      </c>
      <c r="R63" s="571">
        <v>2.5</v>
      </c>
      <c r="S63" s="565">
        <v>1.6</v>
      </c>
      <c r="T63" s="565">
        <v>3.8</v>
      </c>
      <c r="U63"/>
      <c r="V63"/>
      <c r="W63"/>
    </row>
    <row r="64" spans="1:23" ht="16">
      <c r="N64"/>
      <c r="Q64" s="564" t="s">
        <v>189</v>
      </c>
      <c r="R64" s="571">
        <v>-1</v>
      </c>
      <c r="S64" s="565">
        <v>-3.3</v>
      </c>
      <c r="T64" s="565">
        <v>12.5</v>
      </c>
      <c r="U64"/>
      <c r="V64"/>
      <c r="W64"/>
    </row>
    <row r="65" spans="13:23" ht="16">
      <c r="N65"/>
      <c r="Q65" s="564" t="s">
        <v>190</v>
      </c>
      <c r="R65" s="571">
        <v>2.6</v>
      </c>
      <c r="S65" s="565">
        <v>3.4</v>
      </c>
      <c r="T65" s="565">
        <v>-20</v>
      </c>
      <c r="U65"/>
      <c r="V65"/>
      <c r="W65"/>
    </row>
    <row r="66" spans="13:23" ht="16">
      <c r="N66"/>
      <c r="Q66" s="564" t="s">
        <v>1328</v>
      </c>
      <c r="R66" s="571">
        <v>1</v>
      </c>
      <c r="S66" s="565">
        <v>1.9</v>
      </c>
      <c r="T66" s="565">
        <v>12.2</v>
      </c>
      <c r="U66"/>
      <c r="V66"/>
      <c r="W66"/>
    </row>
    <row r="67" spans="13:23" ht="16">
      <c r="N67"/>
      <c r="Q67" s="564" t="s">
        <v>197</v>
      </c>
      <c r="R67" s="571">
        <v>-1.7000000000000002</v>
      </c>
      <c r="S67" s="565">
        <v>0</v>
      </c>
      <c r="T67" s="565">
        <v>0</v>
      </c>
      <c r="U67"/>
      <c r="V67"/>
      <c r="W67"/>
    </row>
    <row r="68" spans="13:23" ht="16">
      <c r="N68"/>
      <c r="Q68" s="564" t="s">
        <v>191</v>
      </c>
      <c r="R68" s="571">
        <v>0</v>
      </c>
      <c r="S68" s="565">
        <v>1.3</v>
      </c>
      <c r="T68" s="565">
        <v>9.4</v>
      </c>
      <c r="U68"/>
      <c r="V68"/>
      <c r="W68"/>
    </row>
    <row r="69" spans="13:23" ht="16">
      <c r="N69"/>
      <c r="Q69" s="564" t="s">
        <v>192</v>
      </c>
      <c r="R69" s="571">
        <v>-2.9</v>
      </c>
      <c r="S69" s="565">
        <v>-0.7</v>
      </c>
      <c r="T69" s="565">
        <v>0</v>
      </c>
      <c r="U69"/>
      <c r="V69"/>
      <c r="W69"/>
    </row>
    <row r="70" spans="13:23" ht="16">
      <c r="N70"/>
      <c r="Q70" s="564" t="s">
        <v>193</v>
      </c>
      <c r="R70" s="571">
        <v>-1.8</v>
      </c>
      <c r="S70" s="565">
        <v>-3.2</v>
      </c>
      <c r="T70" s="565">
        <v>6.4</v>
      </c>
      <c r="U70"/>
      <c r="V70"/>
      <c r="W70"/>
    </row>
    <row r="71" spans="13:23" ht="16">
      <c r="N71"/>
      <c r="Q71" s="564" t="s">
        <v>194</v>
      </c>
      <c r="R71" s="571">
        <v>0</v>
      </c>
      <c r="S71" s="565">
        <v>0.1</v>
      </c>
      <c r="T71" s="565">
        <v>-3</v>
      </c>
      <c r="U71"/>
      <c r="V71"/>
      <c r="W71"/>
    </row>
    <row r="72" spans="13:23" ht="16">
      <c r="N72"/>
      <c r="Q72" s="564" t="s">
        <v>195</v>
      </c>
      <c r="R72" s="571">
        <v>-1</v>
      </c>
      <c r="S72" s="565">
        <v>-1.7000000000000002</v>
      </c>
      <c r="T72" s="565">
        <v>0.60000000000000009</v>
      </c>
      <c r="U72"/>
      <c r="V72"/>
      <c r="W72"/>
    </row>
    <row r="73" spans="13:23" ht="16">
      <c r="N73"/>
      <c r="Q73" s="566" t="s">
        <v>196</v>
      </c>
      <c r="R73" s="570">
        <v>18.700000000000003</v>
      </c>
      <c r="S73" s="567">
        <v>20.400000000000002</v>
      </c>
      <c r="T73" s="567">
        <v>42.9</v>
      </c>
      <c r="U73"/>
      <c r="V73"/>
      <c r="W73"/>
    </row>
    <row r="74" spans="13:23" ht="15" customHeight="1">
      <c r="N74"/>
      <c r="U74"/>
      <c r="V74"/>
      <c r="W74"/>
    </row>
    <row r="75" spans="13:23" ht="15" customHeight="1">
      <c r="N75"/>
      <c r="U75"/>
      <c r="V75"/>
      <c r="W75"/>
    </row>
    <row r="76" spans="13:23" ht="15" customHeight="1">
      <c r="U76"/>
      <c r="V76"/>
      <c r="W76"/>
    </row>
    <row r="77" spans="13:23" ht="15" customHeight="1">
      <c r="R77" s="572"/>
      <c r="U77"/>
      <c r="V77"/>
      <c r="W77"/>
    </row>
    <row r="78" spans="13:23" ht="15" customHeight="1">
      <c r="R78" s="573"/>
      <c r="S78" s="574" t="s">
        <v>1213</v>
      </c>
      <c r="T78" s="574" t="s">
        <v>1092</v>
      </c>
      <c r="U78"/>
      <c r="V78"/>
      <c r="W78"/>
    </row>
    <row r="79" spans="13:23" ht="15" customHeight="1">
      <c r="R79" s="673" t="s">
        <v>1112</v>
      </c>
      <c r="S79" s="673"/>
      <c r="T79" s="673"/>
      <c r="U79"/>
      <c r="V79"/>
      <c r="W79"/>
    </row>
    <row r="80" spans="13:23" ht="15" customHeight="1">
      <c r="M80" s="166"/>
      <c r="N80" s="533" t="s">
        <v>366</v>
      </c>
      <c r="R80" s="573" t="s">
        <v>1075</v>
      </c>
      <c r="S80" s="576">
        <v>3.7399654138471239E-2</v>
      </c>
      <c r="T80" s="575">
        <v>0.1</v>
      </c>
      <c r="U80"/>
      <c r="V80"/>
      <c r="W80"/>
    </row>
    <row r="81" spans="13:23" ht="15" customHeight="1">
      <c r="M81" s="168" t="s">
        <v>347</v>
      </c>
      <c r="N81" s="151" t="s">
        <v>310</v>
      </c>
      <c r="R81" s="573" t="s">
        <v>1090</v>
      </c>
      <c r="S81" s="576">
        <v>4.9948162101235365E-2</v>
      </c>
      <c r="T81" s="575">
        <v>0.8</v>
      </c>
      <c r="U81"/>
      <c r="V81"/>
      <c r="W81"/>
    </row>
    <row r="82" spans="13:23" ht="15" customHeight="1">
      <c r="M82" s="670" t="s">
        <v>313</v>
      </c>
      <c r="N82" s="670"/>
      <c r="R82" s="573" t="s">
        <v>1208</v>
      </c>
      <c r="S82" s="576">
        <v>4.0419240448409971E-2</v>
      </c>
      <c r="T82" s="575">
        <v>0.1</v>
      </c>
      <c r="U82"/>
      <c r="V82"/>
      <c r="W82"/>
    </row>
    <row r="83" spans="13:23" ht="15" customHeight="1">
      <c r="M83" s="168" t="s">
        <v>314</v>
      </c>
      <c r="N83" s="151" t="e">
        <f>'FULL Proforma_Revised &amp; DCF'!T118/Finratios!T118</f>
        <v>#DIV/0!</v>
      </c>
      <c r="R83" s="673" t="s">
        <v>1113</v>
      </c>
      <c r="S83" s="673"/>
      <c r="T83" s="673"/>
      <c r="U83"/>
      <c r="V83"/>
      <c r="W83"/>
    </row>
    <row r="84" spans="13:23" ht="15" customHeight="1">
      <c r="M84" s="168" t="s">
        <v>349</v>
      </c>
      <c r="N84" s="151" t="e">
        <f>-'FULL Proforma_Revised &amp; DCF'!T174/Finratios!T118</f>
        <v>#DIV/0!</v>
      </c>
      <c r="R84" s="573" t="s">
        <v>1210</v>
      </c>
      <c r="S84" s="576">
        <v>5.4223809963488696E-2</v>
      </c>
      <c r="T84" s="575">
        <v>0.15</v>
      </c>
      <c r="U84"/>
      <c r="V84"/>
      <c r="W84"/>
    </row>
    <row r="85" spans="13:23" ht="15" customHeight="1">
      <c r="M85" s="168" t="s">
        <v>315</v>
      </c>
      <c r="N85" s="551" t="e">
        <f>N117/N83</f>
        <v>#DIV/0!</v>
      </c>
      <c r="R85" s="573" t="s">
        <v>1116</v>
      </c>
      <c r="S85" s="576">
        <v>0.13805200000000001</v>
      </c>
      <c r="T85" s="575">
        <v>0.6</v>
      </c>
      <c r="U85"/>
      <c r="V85"/>
      <c r="W85"/>
    </row>
    <row r="86" spans="13:23" ht="15" customHeight="1">
      <c r="M86" s="168" t="s">
        <v>316</v>
      </c>
      <c r="N86" s="551" t="e">
        <f>N117/(N111/N115)</f>
        <v>#DIV/0!</v>
      </c>
      <c r="R86" s="573" t="s">
        <v>1211</v>
      </c>
      <c r="S86" s="576">
        <v>4.1141746824811538E-2</v>
      </c>
      <c r="T86" s="575">
        <v>0.05</v>
      </c>
      <c r="U86"/>
      <c r="V86"/>
      <c r="W86"/>
    </row>
    <row r="87" spans="13:23" ht="15" customHeight="1">
      <c r="M87" s="168" t="s">
        <v>350</v>
      </c>
      <c r="N87" s="158" t="e">
        <f t="shared" ref="N87" si="0">N84/N83</f>
        <v>#DIV/0!</v>
      </c>
      <c r="R87" s="573" t="s">
        <v>1123</v>
      </c>
      <c r="S87" s="576">
        <v>0.12007623261066283</v>
      </c>
      <c r="T87" s="575">
        <v>0.2</v>
      </c>
      <c r="U87"/>
      <c r="V87"/>
      <c r="W87"/>
    </row>
    <row r="88" spans="13:23" ht="15" customHeight="1">
      <c r="M88" s="670" t="s">
        <v>367</v>
      </c>
      <c r="N88" s="670"/>
      <c r="U88"/>
      <c r="V88"/>
      <c r="W88"/>
    </row>
    <row r="89" spans="13:23" ht="15" customHeight="1">
      <c r="M89" s="168" t="s">
        <v>317</v>
      </c>
      <c r="N89" s="421" t="e">
        <f>'FULL Proforma_Revised &amp; DCF'!T118/'FULL Proforma_Revised &amp; DCF'!T101</f>
        <v>#VALUE!</v>
      </c>
      <c r="U89"/>
      <c r="V89"/>
      <c r="W89"/>
    </row>
    <row r="90" spans="13:23" ht="15" customHeight="1">
      <c r="M90" s="168" t="s">
        <v>318</v>
      </c>
      <c r="N90" s="151" t="e">
        <f>'FULL Proforma_Revised &amp; DCF'!T118/N111</f>
        <v>#DIV/0!</v>
      </c>
      <c r="R90" s="674" t="s">
        <v>1209</v>
      </c>
      <c r="S90" s="674"/>
      <c r="U90"/>
      <c r="V90"/>
      <c r="W90"/>
    </row>
    <row r="91" spans="13:23" ht="15" customHeight="1">
      <c r="M91" s="168" t="s">
        <v>319</v>
      </c>
      <c r="N91" s="152" t="e">
        <f>N114/'FULL Proforma_Revised &amp; DCF'!T101</f>
        <v>#VALUE!</v>
      </c>
      <c r="R91" s="84" t="s">
        <v>1114</v>
      </c>
      <c r="S91" s="447">
        <f>Finratios!Y22</f>
        <v>0</v>
      </c>
      <c r="U91"/>
      <c r="V91"/>
      <c r="W91"/>
    </row>
    <row r="92" spans="13:23" ht="15" customHeight="1">
      <c r="M92" s="168" t="s">
        <v>351</v>
      </c>
      <c r="N92" s="152" t="e">
        <f>(N114*(1-'Tax Rate'!$G$18/100))/(Finratios!T114+Finratios!T116)</f>
        <v>#DIV/0!</v>
      </c>
      <c r="R92" s="84" t="s">
        <v>1115</v>
      </c>
      <c r="S92" s="447">
        <f>Finratios!W58</f>
        <v>0</v>
      </c>
      <c r="U92"/>
      <c r="V92"/>
      <c r="W92"/>
    </row>
    <row r="93" spans="13:23" ht="15" customHeight="1">
      <c r="M93" s="670" t="s">
        <v>368</v>
      </c>
      <c r="N93" s="670"/>
      <c r="R93" s="84" t="s">
        <v>1172</v>
      </c>
      <c r="S93" s="80">
        <f>V135</f>
        <v>0</v>
      </c>
      <c r="U93"/>
      <c r="V93"/>
      <c r="W93"/>
    </row>
    <row r="94" spans="13:23" ht="15" customHeight="1">
      <c r="M94" s="168" t="s">
        <v>320</v>
      </c>
      <c r="N94" s="153" t="e">
        <f>(N83-#REF!)/#REF!</f>
        <v>#DIV/0!</v>
      </c>
      <c r="R94" s="480" t="s">
        <v>1113</v>
      </c>
      <c r="S94" s="481" t="e">
        <f>S91/S92+S93</f>
        <v>#DIV/0!</v>
      </c>
      <c r="U94"/>
      <c r="V94"/>
      <c r="W94"/>
    </row>
    <row r="95" spans="13:23" ht="15" customHeight="1">
      <c r="M95" s="168" t="s">
        <v>352</v>
      </c>
      <c r="N95" s="153" t="e">
        <f>(N84-#REF!)/#REF!</f>
        <v>#DIV/0!</v>
      </c>
      <c r="R95" s="3"/>
      <c r="S95" s="3"/>
      <c r="U95"/>
      <c r="V95"/>
      <c r="W95"/>
    </row>
    <row r="96" spans="13:23" ht="15" customHeight="1">
      <c r="M96" s="168" t="s">
        <v>321</v>
      </c>
      <c r="N96" s="153" t="e">
        <f>('FULL Proforma_Revised &amp; DCF'!T101-'FULL Proforma_Revised &amp; DCF'!R101)/'FULL Proforma_Revised &amp; DCF'!R101</f>
        <v>#VALUE!</v>
      </c>
      <c r="R96" s="675" t="s">
        <v>1116</v>
      </c>
      <c r="S96" s="675"/>
      <c r="U96"/>
      <c r="V96"/>
      <c r="W96"/>
    </row>
    <row r="97" spans="13:23" ht="15" customHeight="1">
      <c r="M97" s="168" t="s">
        <v>323</v>
      </c>
      <c r="N97" s="153" t="e">
        <f>('FULL Proforma_Revised &amp; DCF'!T118-'FULL Proforma_Revised &amp; DCF'!R118)/'FULL Proforma_Revised &amp; DCF'!R118</f>
        <v>#DIV/0!</v>
      </c>
      <c r="R97" s="84" t="s">
        <v>1117</v>
      </c>
      <c r="S97" s="502">
        <v>1.58</v>
      </c>
      <c r="U97"/>
      <c r="V97"/>
      <c r="W97"/>
    </row>
    <row r="98" spans="13:23" ht="15" customHeight="1">
      <c r="M98" s="670" t="s">
        <v>324</v>
      </c>
      <c r="N98" s="670"/>
      <c r="R98" s="84" t="s">
        <v>1197</v>
      </c>
      <c r="S98" s="501">
        <v>5.9400000000000001E-2</v>
      </c>
      <c r="U98"/>
      <c r="V98"/>
      <c r="W98"/>
    </row>
    <row r="99" spans="13:23" ht="15" customHeight="1">
      <c r="M99" s="168" t="s">
        <v>325</v>
      </c>
      <c r="N99" s="151" t="e">
        <f>'FULL Proforma_Revised &amp; DCF'!T126/'FULL Proforma_Revised &amp; DCF'!T159</f>
        <v>#DIV/0!</v>
      </c>
      <c r="R99" s="480" t="s">
        <v>1113</v>
      </c>
      <c r="S99" s="503" t="e">
        <f>#REF!+S97*S98</f>
        <v>#REF!</v>
      </c>
      <c r="U99"/>
      <c r="V99"/>
      <c r="W99"/>
    </row>
    <row r="100" spans="13:23" ht="15" customHeight="1">
      <c r="M100" s="168" t="s">
        <v>326</v>
      </c>
      <c r="N100" s="151" t="e">
        <f>('FULL Proforma_Revised &amp; DCF'!T122+'FULL Proforma_Revised &amp; DCF'!T123)/'FULL Proforma_Revised &amp; DCF'!T159</f>
        <v>#DIV/0!</v>
      </c>
      <c r="R100" s="3"/>
      <c r="S100" s="3"/>
      <c r="U100"/>
      <c r="V100"/>
      <c r="W100"/>
    </row>
    <row r="101" spans="13:23" ht="15" customHeight="1">
      <c r="M101" s="670" t="s">
        <v>327</v>
      </c>
      <c r="N101" s="670"/>
      <c r="R101" s="674" t="s">
        <v>1121</v>
      </c>
      <c r="S101" s="674"/>
      <c r="U101"/>
      <c r="V101"/>
      <c r="W101"/>
    </row>
    <row r="102" spans="13:23" ht="15" customHeight="1">
      <c r="M102" s="191" t="s">
        <v>328</v>
      </c>
      <c r="N102" s="151" t="e">
        <f>'FULL Proforma_Revised &amp; DCF'!T101/(('FULL Proforma_Revised &amp; DCF'!T149+'FULL Proforma_Revised &amp; DCF'!R149)/2)</f>
        <v>#VALUE!</v>
      </c>
      <c r="R102" s="84" t="s">
        <v>1115</v>
      </c>
      <c r="S102" s="447">
        <f>S92</f>
        <v>0</v>
      </c>
      <c r="U102"/>
      <c r="V102"/>
      <c r="W102"/>
    </row>
    <row r="103" spans="13:23" ht="15" customHeight="1">
      <c r="M103" s="670" t="s">
        <v>329</v>
      </c>
      <c r="N103" s="670"/>
      <c r="R103" s="480" t="s">
        <v>1113</v>
      </c>
      <c r="S103" s="500" t="e">
        <f>#REF!/S102</f>
        <v>#REF!</v>
      </c>
      <c r="U103"/>
      <c r="V103"/>
      <c r="W103"/>
    </row>
    <row r="104" spans="13:23" ht="15" customHeight="1">
      <c r="M104" s="168" t="s">
        <v>330</v>
      </c>
      <c r="N104" s="151" t="e">
        <f>N112/('FULL Proforma_Revised &amp; DCF'!T153+'FULL Proforma_Revised &amp; DCF'!T161+'FULL Proforma_Revised &amp; DCF'!T177)</f>
        <v>#VALUE!</v>
      </c>
      <c r="R104" s="3"/>
      <c r="S104" s="3"/>
      <c r="U104"/>
      <c r="V104"/>
      <c r="W104"/>
    </row>
    <row r="105" spans="13:23" ht="15" customHeight="1">
      <c r="M105" s="168" t="s">
        <v>331</v>
      </c>
      <c r="N105" s="151" t="e">
        <f>('FULL Proforma_Revised &amp; DCF'!T153+'FULL Proforma_Revised &amp; DCF'!T161)/('FULL Proforma_Revised &amp; DCF'!T177+'FULL Proforma_Revised &amp; DCF'!T161+'FULL Proforma_Revised &amp; DCF'!T153)</f>
        <v>#DIV/0!</v>
      </c>
      <c r="R105" s="674" t="s">
        <v>1123</v>
      </c>
      <c r="S105" s="674"/>
      <c r="U105"/>
      <c r="V105"/>
      <c r="W105"/>
    </row>
    <row r="106" spans="13:23" ht="15" customHeight="1">
      <c r="M106" s="670" t="s">
        <v>333</v>
      </c>
      <c r="N106" s="670"/>
      <c r="R106" s="11" t="s">
        <v>1124</v>
      </c>
      <c r="S106" s="80">
        <f>AA101</f>
        <v>0</v>
      </c>
      <c r="U106"/>
      <c r="V106"/>
      <c r="W106"/>
    </row>
    <row r="107" spans="13:23" ht="15" customHeight="1">
      <c r="M107" s="168" t="s">
        <v>334</v>
      </c>
      <c r="N107" s="151" t="e">
        <f>-N114/'FULL Proforma_Revised &amp; DCF'!T113</f>
        <v>#DIV/0!</v>
      </c>
      <c r="R107" s="11" t="s">
        <v>1125</v>
      </c>
      <c r="S107" s="80">
        <f>Z115</f>
        <v>0</v>
      </c>
      <c r="U107"/>
      <c r="V107"/>
      <c r="W107"/>
    </row>
    <row r="108" spans="13:23" ht="15" customHeight="1">
      <c r="M108" s="168" t="s">
        <v>335</v>
      </c>
      <c r="N108" s="151" t="e">
        <f>-N116/'FULL Proforma_Revised &amp; DCF'!T113</f>
        <v>#DIV/0!</v>
      </c>
      <c r="R108" s="480" t="s">
        <v>1113</v>
      </c>
      <c r="S108" s="481" t="e">
        <f>#REF!+S106-S107</f>
        <v>#REF!</v>
      </c>
      <c r="U108"/>
      <c r="V108"/>
      <c r="W108"/>
    </row>
    <row r="109" spans="13:23" ht="15" customHeight="1">
      <c r="U109"/>
      <c r="V109"/>
      <c r="W109"/>
    </row>
    <row r="110" spans="13:23" ht="15" customHeight="1">
      <c r="U110"/>
      <c r="V110"/>
      <c r="W110"/>
    </row>
    <row r="112" spans="13:23" ht="15" customHeight="1">
      <c r="M112" s="166"/>
      <c r="N112" s="533" t="s">
        <v>366</v>
      </c>
    </row>
    <row r="113" spans="13:43" ht="15" customHeight="1">
      <c r="M113" s="168" t="s">
        <v>347</v>
      </c>
      <c r="N113" s="151" t="s">
        <v>310</v>
      </c>
    </row>
    <row r="114" spans="13:43" ht="15" customHeight="1">
      <c r="M114" s="670" t="s">
        <v>313</v>
      </c>
      <c r="N114" s="670"/>
    </row>
    <row r="115" spans="13:43" ht="15" customHeight="1">
      <c r="M115" s="168" t="s">
        <v>314</v>
      </c>
      <c r="N115" s="151" t="e">
        <f>'FULL Proforma_Revised &amp; DCF'!T153/Finratios!T153</f>
        <v>#DIV/0!</v>
      </c>
      <c r="T115" s="564" t="s">
        <v>681</v>
      </c>
      <c r="U115" s="564"/>
      <c r="V115" s="564"/>
      <c r="W115" s="564"/>
      <c r="X115" s="564"/>
      <c r="Y115" s="564"/>
      <c r="Z115" s="564"/>
      <c r="AA115" s="564"/>
      <c r="AB115" s="564"/>
      <c r="AC115" s="564"/>
      <c r="AD115" s="564"/>
      <c r="AE115" s="564"/>
    </row>
    <row r="116" spans="13:43" ht="15" customHeight="1">
      <c r="M116" s="168" t="s">
        <v>349</v>
      </c>
      <c r="N116" s="151" t="e">
        <f>-'FULL Proforma_Revised &amp; DCF'!T209/Finratios!T153</f>
        <v>#DIV/0!</v>
      </c>
      <c r="T116" s="578">
        <v>274.24647981850893</v>
      </c>
      <c r="U116" s="579">
        <v>1.7500000000000002E-2</v>
      </c>
      <c r="V116" s="579">
        <v>0.02</v>
      </c>
      <c r="W116" s="579">
        <v>2.2499999999999999E-2</v>
      </c>
      <c r="X116" s="579">
        <v>2.5000000000000001E-2</v>
      </c>
      <c r="Y116" s="579">
        <v>2.75E-2</v>
      </c>
      <c r="Z116" s="579">
        <v>0.03</v>
      </c>
      <c r="AA116" s="579">
        <v>3.2500000000000001E-2</v>
      </c>
      <c r="AB116" s="579">
        <v>3.5000000000000003E-2</v>
      </c>
      <c r="AC116" s="579">
        <v>3.7499999999999999E-2</v>
      </c>
      <c r="AD116" s="579">
        <v>0.04</v>
      </c>
      <c r="AE116" s="579">
        <v>4.2500000000000003E-2</v>
      </c>
    </row>
    <row r="117" spans="13:43" ht="15" customHeight="1">
      <c r="M117" s="168" t="s">
        <v>315</v>
      </c>
      <c r="N117" s="551" t="e">
        <f>N152/N115</f>
        <v>#DIV/0!</v>
      </c>
      <c r="T117" s="579">
        <v>0.08</v>
      </c>
      <c r="U117" s="580">
        <v>278.33402290299216</v>
      </c>
      <c r="V117" s="580">
        <v>289.22988905436625</v>
      </c>
      <c r="W117" s="580">
        <v>301.07322182759907</v>
      </c>
      <c r="X117" s="580">
        <v>313.99322121658031</v>
      </c>
      <c r="Y117" s="580">
        <v>328.14369673784552</v>
      </c>
      <c r="Z117" s="580">
        <v>343.70921981123706</v>
      </c>
      <c r="AA117" s="580">
        <v>360.91321899761738</v>
      </c>
      <c r="AB117" s="580">
        <v>380.02877364915099</v>
      </c>
      <c r="AC117" s="580">
        <v>401.39321708321785</v>
      </c>
      <c r="AD117" s="580">
        <v>425.42821594654333</v>
      </c>
      <c r="AE117" s="580">
        <v>452.66788132497868</v>
      </c>
    </row>
    <row r="118" spans="13:43" ht="15" customHeight="1">
      <c r="M118" s="168" t="s">
        <v>316</v>
      </c>
      <c r="N118" s="551" t="e">
        <f>N152/(N146/N150)</f>
        <v>#DIV/0!</v>
      </c>
      <c r="T118" s="579">
        <v>8.2500000000000004E-2</v>
      </c>
      <c r="U118" s="580">
        <v>268.85145063425904</v>
      </c>
      <c r="V118" s="580">
        <v>278.93219956633482</v>
      </c>
      <c r="W118" s="580">
        <v>289.85301090941687</v>
      </c>
      <c r="X118" s="580">
        <v>301.72345802146253</v>
      </c>
      <c r="Y118" s="580">
        <v>314.67303668914883</v>
      </c>
      <c r="Z118" s="580">
        <v>328.85590856328139</v>
      </c>
      <c r="AA118" s="580">
        <v>344.45706762482723</v>
      </c>
      <c r="AB118" s="580">
        <v>361.70045395600943</v>
      </c>
      <c r="AC118" s="580">
        <v>380.85977210176742</v>
      </c>
      <c r="AD118" s="580">
        <v>402.27312767643815</v>
      </c>
      <c r="AE118" s="580">
        <v>426.36315269794272</v>
      </c>
    </row>
    <row r="119" spans="13:43" ht="15" customHeight="1">
      <c r="M119" s="168" t="s">
        <v>350</v>
      </c>
      <c r="N119" s="158" t="e">
        <f t="shared" ref="N119" si="1">N116/N115</f>
        <v>#DIV/0!</v>
      </c>
      <c r="T119" s="579">
        <v>8.5000000000000006E-2</v>
      </c>
      <c r="U119" s="580">
        <v>260.07124065078779</v>
      </c>
      <c r="V119" s="580">
        <v>269.42658757681625</v>
      </c>
      <c r="W119" s="580">
        <v>279.53036225692711</v>
      </c>
      <c r="X119" s="580">
        <v>290.47611816038039</v>
      </c>
      <c r="Y119" s="580">
        <v>302.37367892500367</v>
      </c>
      <c r="Z119" s="580">
        <v>315.35283612277448</v>
      </c>
      <c r="AA119" s="580">
        <v>329.56810352985678</v>
      </c>
      <c r="AB119" s="580">
        <v>345.2048976776473</v>
      </c>
      <c r="AC119" s="580">
        <v>362.48767015678425</v>
      </c>
      <c r="AD119" s="580">
        <v>381.69075068915856</v>
      </c>
      <c r="AE119" s="580">
        <v>403.15301716651811</v>
      </c>
      <c r="AO119" s="559"/>
      <c r="AP119" s="559" t="s">
        <v>1348</v>
      </c>
      <c r="AQ119" s="559" t="s">
        <v>789</v>
      </c>
    </row>
    <row r="120" spans="13:43" ht="15" customHeight="1">
      <c r="M120" s="670" t="s">
        <v>367</v>
      </c>
      <c r="N120" s="670"/>
      <c r="T120" s="579">
        <v>8.7499999999999994E-2</v>
      </c>
      <c r="U120" s="580">
        <v>251.91814000300963</v>
      </c>
      <c r="V120" s="580">
        <v>260.62504463313553</v>
      </c>
      <c r="W120" s="580">
        <v>270.00171115788652</v>
      </c>
      <c r="X120" s="580">
        <v>280.12851100461762</v>
      </c>
      <c r="Y120" s="580">
        <v>291.09921083857637</v>
      </c>
      <c r="Z120" s="580">
        <v>303.02388457114017</v>
      </c>
      <c r="AA120" s="580">
        <v>316.03261955211889</v>
      </c>
      <c r="AB120" s="580">
        <v>330.28028167414317</v>
      </c>
      <c r="AC120" s="580">
        <v>345.95271000836988</v>
      </c>
      <c r="AD120" s="580">
        <v>363.27486764093629</v>
      </c>
      <c r="AE120" s="580">
        <v>382.52170945489894</v>
      </c>
      <c r="AO120" s="559" t="s">
        <v>478</v>
      </c>
      <c r="AP120" s="614">
        <v>0.50680314043918995</v>
      </c>
      <c r="AQ120" s="615">
        <v>0.70270408874816404</v>
      </c>
    </row>
    <row r="121" spans="13:43" ht="15" customHeight="1">
      <c r="M121" s="168" t="s">
        <v>317</v>
      </c>
      <c r="N121" s="421" t="e">
        <f>'FULL Proforma_Revised &amp; DCF'!T153/'FULL Proforma_Revised &amp; DCF'!T136</f>
        <v>#DIV/0!</v>
      </c>
      <c r="T121" s="579">
        <v>0.09</v>
      </c>
      <c r="U121" s="580">
        <v>244.32727545768356</v>
      </c>
      <c r="V121" s="580">
        <v>252.45213491782781</v>
      </c>
      <c r="W121" s="580">
        <v>261.17883581946415</v>
      </c>
      <c r="X121" s="580">
        <v>270.57682140584171</v>
      </c>
      <c r="Y121" s="580">
        <v>280.72664583912967</v>
      </c>
      <c r="Z121" s="580">
        <v>291.72228897519153</v>
      </c>
      <c r="AA121" s="580">
        <v>303.67407499265011</v>
      </c>
      <c r="AB121" s="580">
        <v>316.71238701169574</v>
      </c>
      <c r="AC121" s="580">
        <v>330.99244303255529</v>
      </c>
      <c r="AD121" s="580">
        <v>346.70050465550088</v>
      </c>
      <c r="AE121" s="580">
        <v>364.06204644928272</v>
      </c>
      <c r="AO121" s="559" t="s">
        <v>1060</v>
      </c>
      <c r="AP121" s="614">
        <v>0.23126761177560601</v>
      </c>
      <c r="AQ121" s="615">
        <v>0.47469017143560699</v>
      </c>
    </row>
    <row r="122" spans="13:43" ht="15" customHeight="1">
      <c r="M122" s="168" t="s">
        <v>318</v>
      </c>
      <c r="N122" s="151" t="e">
        <f>'FULL Proforma_Revised &amp; DCF'!T153/N146</f>
        <v>#DIV/0!</v>
      </c>
      <c r="T122" s="579">
        <v>9.2499999999999999E-2</v>
      </c>
      <c r="U122" s="580">
        <v>237.24242354518196</v>
      </c>
      <c r="V122" s="580">
        <v>244.84282755291983</v>
      </c>
      <c r="W122" s="580">
        <v>252.98611756121039</v>
      </c>
      <c r="X122" s="580">
        <v>261.73261423678173</v>
      </c>
      <c r="Y122" s="580">
        <v>271.15191834893557</v>
      </c>
      <c r="Z122" s="580">
        <v>281.32476679006163</v>
      </c>
      <c r="AA122" s="580">
        <v>292.3453526012816</v>
      </c>
      <c r="AB122" s="580">
        <v>304.32425022217279</v>
      </c>
      <c r="AC122" s="580">
        <v>317.39213853587228</v>
      </c>
      <c r="AD122" s="580">
        <v>331.70458764135276</v>
      </c>
      <c r="AE122" s="580">
        <v>347.44828165738113</v>
      </c>
      <c r="AO122" s="559" t="s">
        <v>476</v>
      </c>
      <c r="AP122" s="614">
        <v>0.121470681708087</v>
      </c>
      <c r="AQ122" s="615">
        <v>0.344023861472954</v>
      </c>
    </row>
    <row r="123" spans="13:43" ht="15" customHeight="1">
      <c r="M123" s="168" t="s">
        <v>319</v>
      </c>
      <c r="N123" s="152" t="e">
        <f>N149/'FULL Proforma_Revised &amp; DCF'!T136</f>
        <v>#DIV/0!</v>
      </c>
      <c r="T123" s="579">
        <v>9.5000000000000001E-2</v>
      </c>
      <c r="U123" s="580">
        <v>230.61461543633348</v>
      </c>
      <c r="V123" s="580">
        <v>237.74076244335495</v>
      </c>
      <c r="W123" s="580">
        <v>245.35836786465376</v>
      </c>
      <c r="X123" s="580">
        <v>253.52008795890239</v>
      </c>
      <c r="Y123" s="580">
        <v>262.2863799119844</v>
      </c>
      <c r="Z123" s="580">
        <v>271.72700201530341</v>
      </c>
      <c r="AA123" s="580">
        <v>281.922873886888</v>
      </c>
      <c r="AB123" s="580">
        <v>292.96840174777122</v>
      </c>
      <c r="AC123" s="580">
        <v>304.97441029220954</v>
      </c>
      <c r="AD123" s="580">
        <v>318.07187415886955</v>
      </c>
      <c r="AE123" s="580">
        <v>332.41671553663997</v>
      </c>
      <c r="AO123" s="559" t="s">
        <v>474</v>
      </c>
      <c r="AP123" s="614">
        <v>6.0165399196290201E-2</v>
      </c>
      <c r="AQ123" s="615">
        <v>0.24211752910870099</v>
      </c>
    </row>
    <row r="124" spans="13:43" ht="15" customHeight="1">
      <c r="M124" s="168" t="s">
        <v>351</v>
      </c>
      <c r="N124" s="152" t="e">
        <f>(N149*(1-'Tax Rate'!$G$18/100))/(Finratios!T149+Finratios!T151)</f>
        <v>#DIV/0!</v>
      </c>
      <c r="T124" s="579">
        <v>9.7500000000000003E-2</v>
      </c>
      <c r="U124" s="580">
        <v>224.40100340485816</v>
      </c>
      <c r="V124" s="580">
        <v>231.09685176362561</v>
      </c>
      <c r="W124" s="580">
        <v>238.23909001297753</v>
      </c>
      <c r="X124" s="580">
        <v>245.87389641745722</v>
      </c>
      <c r="Y124" s="580">
        <v>254.05404613654267</v>
      </c>
      <c r="Z124" s="580">
        <v>262.84013287185661</v>
      </c>
      <c r="AA124" s="580">
        <v>272.30207243296388</v>
      </c>
      <c r="AB124" s="580">
        <v>282.52096715895976</v>
      </c>
      <c r="AC124" s="580">
        <v>293.59143644545532</v>
      </c>
      <c r="AD124" s="580">
        <v>305.62455523512449</v>
      </c>
      <c r="AE124" s="580">
        <v>318.75159391476342</v>
      </c>
      <c r="AO124" s="559" t="s">
        <v>477</v>
      </c>
      <c r="AP124" s="614">
        <v>4.1182103982495701E-2</v>
      </c>
      <c r="AQ124" s="615">
        <v>0.200312060012482</v>
      </c>
    </row>
    <row r="125" spans="13:43" ht="15" customHeight="1">
      <c r="M125" s="670" t="s">
        <v>368</v>
      </c>
      <c r="N125" s="670"/>
      <c r="T125" s="579">
        <v>0.1</v>
      </c>
      <c r="U125" s="580">
        <v>218.56393338754125</v>
      </c>
      <c r="V125" s="580">
        <v>224.86814366566279</v>
      </c>
      <c r="W125" s="580">
        <v>231.57907718753404</v>
      </c>
      <c r="X125" s="580">
        <v>238.73740627753014</v>
      </c>
      <c r="Y125" s="580">
        <v>246.38941323580187</v>
      </c>
      <c r="Z125" s="580">
        <v>254.58799211966436</v>
      </c>
      <c r="AA125" s="580">
        <v>263.3938731430722</v>
      </c>
      <c r="AB125" s="580">
        <v>272.87712962981914</v>
      </c>
      <c r="AC125" s="580">
        <v>283.11904663550592</v>
      </c>
      <c r="AD125" s="580">
        <v>294.21445672499982</v>
      </c>
      <c r="AE125" s="580">
        <v>306.27468508314536</v>
      </c>
      <c r="AO125" s="559" t="s">
        <v>479</v>
      </c>
      <c r="AP125" s="614">
        <v>1.05896224527652E-2</v>
      </c>
      <c r="AQ125" s="615">
        <v>0.101576459263058</v>
      </c>
    </row>
    <row r="126" spans="13:43" ht="15" customHeight="1">
      <c r="M126" s="168" t="s">
        <v>320</v>
      </c>
      <c r="N126" s="153" t="e">
        <f>(N115-#REF!)/#REF!</f>
        <v>#DIV/0!</v>
      </c>
      <c r="T126" s="579">
        <v>0.10249854928626491</v>
      </c>
      <c r="U126" s="580">
        <v>218.56393338754125</v>
      </c>
      <c r="V126" s="580">
        <v>224.86814366566279</v>
      </c>
      <c r="W126" s="580">
        <v>231.57907718753404</v>
      </c>
      <c r="X126" s="580">
        <v>238.73740627753014</v>
      </c>
      <c r="Y126" s="580">
        <v>246.38941323580187</v>
      </c>
      <c r="Z126" s="580">
        <v>254.58799211966436</v>
      </c>
      <c r="AA126" s="580">
        <v>263.3938731430722</v>
      </c>
      <c r="AB126" s="580">
        <v>272.87712962981914</v>
      </c>
      <c r="AC126" s="580">
        <v>283.11904663550592</v>
      </c>
      <c r="AD126" s="580">
        <v>294.21445672499982</v>
      </c>
      <c r="AE126" s="580">
        <v>306.27468508314536</v>
      </c>
      <c r="AO126" s="559" t="s">
        <v>1061</v>
      </c>
      <c r="AP126" s="614">
        <v>1.0564171321027299E-2</v>
      </c>
      <c r="AQ126" s="615">
        <v>0.101454321242173</v>
      </c>
    </row>
    <row r="127" spans="13:43" ht="15" customHeight="1">
      <c r="M127" s="168" t="s">
        <v>352</v>
      </c>
      <c r="N127" s="153" t="e">
        <f>(N116-#REF!)/#REF!</f>
        <v>#DIV/0!</v>
      </c>
      <c r="T127" s="579">
        <v>0.105</v>
      </c>
      <c r="U127" s="580">
        <v>207.89031974668572</v>
      </c>
      <c r="V127" s="580">
        <v>213.50979361224762</v>
      </c>
      <c r="W127" s="580">
        <v>219.46984165147995</v>
      </c>
      <c r="X127" s="580">
        <v>225.80239269316428</v>
      </c>
      <c r="Y127" s="580">
        <v>232.54349541495731</v>
      </c>
      <c r="Z127" s="580">
        <v>239.73400498486984</v>
      </c>
      <c r="AA127" s="580">
        <v>247.42041176650054</v>
      </c>
      <c r="AB127" s="580">
        <v>255.65584760396192</v>
      </c>
      <c r="AC127" s="580">
        <v>264.50131572567966</v>
      </c>
      <c r="AD127" s="580">
        <v>274.027204472145</v>
      </c>
      <c r="AE127" s="580">
        <v>284.31516431832762</v>
      </c>
      <c r="AO127" s="559" t="s">
        <v>1062</v>
      </c>
      <c r="AP127" s="614">
        <v>1.5896561366097999E-3</v>
      </c>
      <c r="AQ127" s="615">
        <v>3.9355408742216401E-2</v>
      </c>
    </row>
    <row r="128" spans="13:43" ht="15" customHeight="1">
      <c r="M128" s="168" t="s">
        <v>321</v>
      </c>
      <c r="N128" s="153" t="e">
        <f>('FULL Proforma_Revised &amp; DCF'!T136-'FULL Proforma_Revised &amp; DCF'!R136)/'FULL Proforma_Revised &amp; DCF'!R136</f>
        <v>#DIV/0!</v>
      </c>
      <c r="T128" s="579">
        <v>0.1075</v>
      </c>
      <c r="U128" s="580">
        <v>202.99819155054902</v>
      </c>
      <c r="V128" s="580">
        <v>208.31734811106239</v>
      </c>
      <c r="W128" s="580">
        <v>213.94939623395894</v>
      </c>
      <c r="X128" s="580">
        <v>219.92278060672797</v>
      </c>
      <c r="Y128" s="580">
        <v>226.26950150279507</v>
      </c>
      <c r="Z128" s="580">
        <v>233.02568826312452</v>
      </c>
      <c r="AA128" s="580">
        <v>240.23228747414268</v>
      </c>
      <c r="AB128" s="580">
        <v>247.93589352729992</v>
      </c>
      <c r="AC128" s="580">
        <v>256.18975715568274</v>
      </c>
      <c r="AD128" s="580">
        <v>265.05501808987174</v>
      </c>
      <c r="AE128" s="580">
        <v>274.60222217284445</v>
      </c>
      <c r="AO128" s="559" t="s">
        <v>1063</v>
      </c>
      <c r="AP128" s="614">
        <v>1.0314830615218199E-3</v>
      </c>
      <c r="AQ128" s="615">
        <v>3.1701797108071902E-2</v>
      </c>
    </row>
    <row r="129" spans="13:39" ht="15" customHeight="1">
      <c r="M129" s="168" t="s">
        <v>322</v>
      </c>
      <c r="N129" s="153" t="e">
        <f>(N149-#REF!)/#REF!</f>
        <v>#REF!</v>
      </c>
      <c r="T129" s="579">
        <v>0.11</v>
      </c>
      <c r="U129" s="580">
        <v>198.37046700697925</v>
      </c>
      <c r="V129" s="580">
        <v>203.41333507178146</v>
      </c>
      <c r="W129" s="580">
        <v>208.74436702600096</v>
      </c>
      <c r="X129" s="580">
        <v>214.38898909517454</v>
      </c>
      <c r="Y129" s="580">
        <v>220.37570947157079</v>
      </c>
      <c r="Z129" s="580">
        <v>226.73659987149179</v>
      </c>
      <c r="AA129" s="580">
        <v>233.50787029721411</v>
      </c>
      <c r="AB129" s="580">
        <v>240.73055875131791</v>
      </c>
      <c r="AC129" s="580">
        <v>248.45136365053236</v>
      </c>
      <c r="AD129" s="580">
        <v>256.72365461397646</v>
      </c>
      <c r="AE129" s="580">
        <v>265.6087078710089</v>
      </c>
    </row>
    <row r="130" spans="13:39" ht="15" customHeight="1">
      <c r="M130" s="168" t="s">
        <v>323</v>
      </c>
      <c r="N130" s="153" t="e">
        <f>('FULL Proforma_Revised &amp; DCF'!T153-'FULL Proforma_Revised &amp; DCF'!R153)/'FULL Proforma_Revised &amp; DCF'!R153</f>
        <v>#DIV/0!</v>
      </c>
      <c r="T130" s="579">
        <v>0.1125</v>
      </c>
      <c r="U130" s="580">
        <v>193.98627224943533</v>
      </c>
      <c r="V130" s="580">
        <v>198.77436818760788</v>
      </c>
      <c r="W130" s="580">
        <v>203.82846945567888</v>
      </c>
      <c r="X130" s="580">
        <v>209.17137651049683</v>
      </c>
      <c r="Y130" s="580">
        <v>214.8285722155982</v>
      </c>
      <c r="Z130" s="580">
        <v>220.82862826646323</v>
      </c>
      <c r="AA130" s="580">
        <v>227.20368782050738</v>
      </c>
      <c r="AB130" s="580">
        <v>233.99004153932859</v>
      </c>
      <c r="AC130" s="580">
        <v>241.22881883940451</v>
      </c>
      <c r="AD130" s="580">
        <v>248.9668221601753</v>
      </c>
      <c r="AE130" s="580">
        <v>257.25754000385831</v>
      </c>
    </row>
    <row r="131" spans="13:39" ht="15" customHeight="1">
      <c r="M131" s="670" t="s">
        <v>324</v>
      </c>
      <c r="N131" s="670"/>
      <c r="T131" s="579">
        <v>0.115</v>
      </c>
      <c r="U131" s="580">
        <v>189.82687432017994</v>
      </c>
      <c r="V131" s="580">
        <v>194.37952286764823</v>
      </c>
      <c r="W131" s="580">
        <v>199.17826052579051</v>
      </c>
      <c r="X131" s="580">
        <v>204.24359472049622</v>
      </c>
      <c r="Y131" s="580">
        <v>209.59837658347084</v>
      </c>
      <c r="Z131" s="580">
        <v>215.26814561485565</v>
      </c>
      <c r="AA131" s="580">
        <v>221.28153701177905</v>
      </c>
      <c r="AB131" s="580">
        <v>227.67076537101008</v>
      </c>
      <c r="AC131" s="580">
        <v>234.47220201148181</v>
      </c>
      <c r="AD131" s="580">
        <v>241.72706776131841</v>
      </c>
      <c r="AE131" s="580">
        <v>249.48226908010923</v>
      </c>
    </row>
    <row r="132" spans="13:39" ht="15" customHeight="1">
      <c r="M132" s="168" t="s">
        <v>325</v>
      </c>
      <c r="N132" s="151" t="e">
        <f>'FULL Proforma_Revised &amp; DCF'!T161/'FULL Proforma_Revised &amp; DCF'!T194</f>
        <v>#DIV/0!</v>
      </c>
      <c r="T132" s="579">
        <v>0.11749999999999999</v>
      </c>
      <c r="U132" s="580">
        <v>185.87541355668401</v>
      </c>
      <c r="V132" s="580">
        <v>190.21002063231475</v>
      </c>
      <c r="W132" s="580">
        <v>194.77276492245238</v>
      </c>
      <c r="X132" s="580">
        <v>199.58214403908391</v>
      </c>
      <c r="Y132" s="580">
        <v>204.65871088441727</v>
      </c>
      <c r="Z132" s="580">
        <v>210.0253672637696</v>
      </c>
      <c r="AA132" s="580">
        <v>215.70770931249567</v>
      </c>
      <c r="AB132" s="580">
        <v>221.7344357278111</v>
      </c>
      <c r="AC132" s="580">
        <v>228.13783254408384</v>
      </c>
      <c r="AD132" s="580">
        <v>234.95435173559994</v>
      </c>
      <c r="AE132" s="580">
        <v>242.22530553988375</v>
      </c>
    </row>
    <row r="133" spans="13:39" ht="15" customHeight="1">
      <c r="M133" s="168" t="s">
        <v>326</v>
      </c>
      <c r="N133" s="151" t="e">
        <f>('FULL Proforma_Revised &amp; DCF'!T157+'FULL Proforma_Revised &amp; DCF'!T158)/'FULL Proforma_Revised &amp; DCF'!T194</f>
        <v>#DIV/0!</v>
      </c>
      <c r="T133" s="579">
        <v>0.12</v>
      </c>
      <c r="U133" s="580">
        <v>182.11667514099585</v>
      </c>
      <c r="V133" s="580">
        <v>186.24896084941651</v>
      </c>
      <c r="W133" s="580">
        <v>190.59315864544851</v>
      </c>
      <c r="X133" s="580">
        <v>195.16599843074542</v>
      </c>
      <c r="Y133" s="580">
        <v>199.98601874497729</v>
      </c>
      <c r="Z133" s="580">
        <v>205.07381796555535</v>
      </c>
      <c r="AA133" s="580">
        <v>210.45234857016641</v>
      </c>
      <c r="AB133" s="580">
        <v>216.14726332798995</v>
      </c>
      <c r="AC133" s="580">
        <v>222.18732443477242</v>
      </c>
      <c r="AD133" s="580">
        <v>228.60488936072886</v>
      </c>
      <c r="AE133" s="580">
        <v>235.4364907335212</v>
      </c>
    </row>
    <row r="134" spans="13:39" ht="15" customHeight="1">
      <c r="M134" s="670" t="s">
        <v>327</v>
      </c>
      <c r="N134" s="670"/>
    </row>
    <row r="135" spans="13:39" ht="15" customHeight="1">
      <c r="M135" s="190" t="s">
        <v>353</v>
      </c>
      <c r="N135" s="172" t="s">
        <v>359</v>
      </c>
    </row>
    <row r="136" spans="13:39" ht="15" customHeight="1">
      <c r="M136" s="191" t="s">
        <v>328</v>
      </c>
      <c r="N136" s="151" t="e">
        <f>'FULL Proforma_Revised &amp; DCF'!T136/(('FULL Proforma_Revised &amp; DCF'!T184+'FULL Proforma_Revised &amp; DCF'!R184)/2)</f>
        <v>#DIV/0!</v>
      </c>
    </row>
    <row r="137" spans="13:39" ht="15" customHeight="1">
      <c r="M137" s="670" t="s">
        <v>329</v>
      </c>
      <c r="N137" s="670"/>
    </row>
    <row r="138" spans="13:39" ht="15" customHeight="1">
      <c r="M138" s="168" t="s">
        <v>330</v>
      </c>
      <c r="N138" s="151" t="e">
        <f>N147/('FULL Proforma_Revised &amp; DCF'!T188+'FULL Proforma_Revised &amp; DCF'!T196+'FULL Proforma_Revised &amp; DCF'!T212)</f>
        <v>#DIV/0!</v>
      </c>
      <c r="T138" s="671" t="s">
        <v>1336</v>
      </c>
      <c r="U138" s="671"/>
      <c r="V138" s="671"/>
    </row>
    <row r="139" spans="13:39" ht="15" customHeight="1">
      <c r="M139" s="168" t="s">
        <v>331</v>
      </c>
      <c r="N139" s="151" t="e">
        <f>('FULL Proforma_Revised &amp; DCF'!T188+'FULL Proforma_Revised &amp; DCF'!T196)/('FULL Proforma_Revised &amp; DCF'!T212+'FULL Proforma_Revised &amp; DCF'!T196+'FULL Proforma_Revised &amp; DCF'!T188)</f>
        <v>#DIV/0!</v>
      </c>
      <c r="T139" s="582" t="s">
        <v>787</v>
      </c>
      <c r="U139" s="582" t="s">
        <v>788</v>
      </c>
      <c r="V139" s="582" t="s">
        <v>789</v>
      </c>
    </row>
    <row r="140" spans="13:39" ht="15" customHeight="1">
      <c r="M140" s="168" t="s">
        <v>332</v>
      </c>
      <c r="N140" s="151" t="e">
        <f>N147/'FULL Proforma_Revised &amp; DCF'!T212</f>
        <v>#DIV/0!</v>
      </c>
      <c r="T140" s="585" t="s">
        <v>573</v>
      </c>
      <c r="U140" s="586">
        <v>0.86865823466895098</v>
      </c>
      <c r="V140" s="587">
        <v>-0.94318191929548001</v>
      </c>
    </row>
    <row r="141" spans="13:39" ht="15" customHeight="1">
      <c r="M141" s="670" t="s">
        <v>333</v>
      </c>
      <c r="N141" s="670"/>
      <c r="T141" s="582" t="s">
        <v>798</v>
      </c>
      <c r="U141" s="584">
        <v>8.3317677993574299E-2</v>
      </c>
      <c r="V141" s="583">
        <v>0.29210539302634803</v>
      </c>
      <c r="AG141" s="671"/>
      <c r="AH141" s="671"/>
      <c r="AI141" s="671"/>
      <c r="AJ141" s="671"/>
      <c r="AK141" s="671"/>
      <c r="AL141" s="671"/>
      <c r="AM141" s="671"/>
    </row>
    <row r="142" spans="13:39" s="599" customFormat="1" ht="34">
      <c r="M142" s="597" t="s">
        <v>334</v>
      </c>
      <c r="N142" s="598" t="e">
        <f>-N149/'FULL Proforma_Revised &amp; DCF'!T148</f>
        <v>#DIV/0!</v>
      </c>
      <c r="R142" s="600"/>
      <c r="S142" s="542"/>
      <c r="T142" s="601" t="s">
        <v>799</v>
      </c>
      <c r="U142" s="602">
        <v>1.34455009741571E-2</v>
      </c>
      <c r="V142" s="603">
        <v>0.11734362233590601</v>
      </c>
      <c r="AG142" s="604" t="s">
        <v>480</v>
      </c>
      <c r="AH142" s="605" t="s">
        <v>474</v>
      </c>
      <c r="AI142" s="605" t="s">
        <v>475</v>
      </c>
      <c r="AJ142" s="605" t="s">
        <v>476</v>
      </c>
      <c r="AK142" s="605" t="s">
        <v>477</v>
      </c>
      <c r="AL142" s="605" t="s">
        <v>478</v>
      </c>
      <c r="AM142" s="605" t="s">
        <v>479</v>
      </c>
    </row>
    <row r="143" spans="13:39" ht="16">
      <c r="M143" s="168" t="s">
        <v>335</v>
      </c>
      <c r="N143" s="151" t="e">
        <f>-N151/'FULL Proforma_Revised &amp; DCF'!T148</f>
        <v>#VALUE!</v>
      </c>
      <c r="AG143" s="609" t="s">
        <v>1337</v>
      </c>
      <c r="AH143" s="588">
        <v>27.70600252942894</v>
      </c>
      <c r="AI143" s="588">
        <v>11.351391862955033</v>
      </c>
      <c r="AJ143" s="588">
        <v>18.932500000000001</v>
      </c>
      <c r="AK143" s="588">
        <v>18.657633084029918</v>
      </c>
      <c r="AL143" s="588">
        <v>9.1474304068522496</v>
      </c>
      <c r="AM143" s="589">
        <v>26.1</v>
      </c>
    </row>
    <row r="144" spans="13:39" ht="16">
      <c r="AG144" s="609" t="s">
        <v>1338</v>
      </c>
      <c r="AH144" s="588">
        <v>21.694465156166384</v>
      </c>
      <c r="AI144" s="588">
        <v>3.8064506267196574</v>
      </c>
      <c r="AJ144" s="588">
        <v>29.858273381294964</v>
      </c>
      <c r="AK144" s="588">
        <v>14.769750889679715</v>
      </c>
      <c r="AL144" s="588">
        <v>2.9620605319474165</v>
      </c>
      <c r="AM144" s="589">
        <v>20</v>
      </c>
    </row>
    <row r="145" spans="13:39" ht="16">
      <c r="AG145" s="609" t="s">
        <v>1339</v>
      </c>
      <c r="AH145" s="588">
        <v>12.928063720488169</v>
      </c>
      <c r="AI145" s="588">
        <v>2.2205483323911817</v>
      </c>
      <c r="AJ145" s="588">
        <v>10.602294197031039</v>
      </c>
      <c r="AK145" s="588">
        <v>8.2351153039832283</v>
      </c>
      <c r="AL145" s="588">
        <v>1.2533352176370833</v>
      </c>
      <c r="AM145" s="589">
        <v>13.1</v>
      </c>
    </row>
    <row r="146" spans="13:39" ht="16">
      <c r="AG146" s="609" t="s">
        <v>1340</v>
      </c>
      <c r="AH146" s="588">
        <v>8.5007020855393396</v>
      </c>
      <c r="AI146" s="588">
        <v>2.3020185029436497</v>
      </c>
      <c r="AJ146" s="588">
        <v>11.866040462427744</v>
      </c>
      <c r="AK146" s="588">
        <v>10.28984962406015</v>
      </c>
      <c r="AL146" s="588">
        <v>0.82823100644799563</v>
      </c>
      <c r="AM146" s="589">
        <v>1.9</v>
      </c>
    </row>
    <row r="147" spans="13:39" ht="16">
      <c r="AG147" s="609" t="s">
        <v>1341</v>
      </c>
      <c r="AH147" s="588">
        <v>-2.2624611036006201</v>
      </c>
      <c r="AI147" s="588">
        <v>3.8430364589784882</v>
      </c>
      <c r="AJ147" s="588">
        <v>-11.993363829650153</v>
      </c>
      <c r="AK147" s="588">
        <v>-25.084085702735482</v>
      </c>
      <c r="AL147" s="588">
        <v>1.0648457822370865</v>
      </c>
      <c r="AM147" s="589">
        <v>-40</v>
      </c>
    </row>
    <row r="148" spans="13:39" ht="16">
      <c r="AG148" s="609" t="s">
        <v>1342</v>
      </c>
      <c r="AH148" s="588">
        <v>20.030264363303235</v>
      </c>
      <c r="AI148" s="588">
        <v>11.209318734793188</v>
      </c>
      <c r="AJ148" s="588">
        <v>-484.95052631578949</v>
      </c>
      <c r="AK148" s="588">
        <v>182.09604743083005</v>
      </c>
      <c r="AL148" s="588">
        <v>8.9372992700729945</v>
      </c>
      <c r="AM148" s="589">
        <v>-832.5</v>
      </c>
    </row>
    <row r="149" spans="13:39" ht="16">
      <c r="AG149" s="609" t="s">
        <v>1343</v>
      </c>
      <c r="AH149" s="588">
        <v>18.618944210970334</v>
      </c>
      <c r="AI149" s="588">
        <v>5.0895213638633283</v>
      </c>
      <c r="AJ149" s="588">
        <v>14.241516966067865</v>
      </c>
      <c r="AK149" s="588">
        <v>13.254690692922164</v>
      </c>
      <c r="AL149" s="588">
        <v>4.2505884870532844</v>
      </c>
      <c r="AM149" s="589">
        <v>21.2</v>
      </c>
    </row>
    <row r="150" spans="13:39" ht="16">
      <c r="AG150" s="609" t="s">
        <v>1344</v>
      </c>
      <c r="AH150" s="588">
        <v>13.911216364931057</v>
      </c>
      <c r="AI150" s="588">
        <v>2.9019458802067497</v>
      </c>
      <c r="AJ150" s="588">
        <v>11.975533249686324</v>
      </c>
      <c r="AK150" s="588">
        <v>10.273950484391818</v>
      </c>
      <c r="AL150" s="588">
        <v>1.5681058072362419</v>
      </c>
      <c r="AM150" s="589">
        <v>12.7</v>
      </c>
    </row>
    <row r="151" spans="13:39" ht="16">
      <c r="M151" s="554" t="s">
        <v>347</v>
      </c>
      <c r="N151" s="555" t="s">
        <v>1320</v>
      </c>
      <c r="AG151" s="609" t="s">
        <v>1345</v>
      </c>
      <c r="AH151" s="588">
        <v>16.731887863303104</v>
      </c>
      <c r="AI151" s="588">
        <v>1.9824956560911255</v>
      </c>
      <c r="AJ151" s="588">
        <v>18.734644232718423</v>
      </c>
      <c r="AK151" s="588">
        <v>14.049559136515658</v>
      </c>
      <c r="AL151" s="588">
        <v>1.4216487547461227</v>
      </c>
      <c r="AM151" s="589">
        <v>28.6</v>
      </c>
    </row>
    <row r="152" spans="13:39" ht="16">
      <c r="M152" s="558" t="s">
        <v>313</v>
      </c>
      <c r="N152" s="558"/>
      <c r="AG152" s="609" t="s">
        <v>1346</v>
      </c>
      <c r="AH152" s="588">
        <v>18.150014840685955</v>
      </c>
      <c r="AI152" s="588">
        <v>5.9751846381093054</v>
      </c>
      <c r="AJ152" s="588">
        <v>15.709514563106795</v>
      </c>
      <c r="AK152" s="588">
        <v>13.461564059900166</v>
      </c>
      <c r="AL152" s="588">
        <v>4.6516986706056125</v>
      </c>
      <c r="AM152" s="589">
        <v>16.399999999999999</v>
      </c>
    </row>
    <row r="153" spans="13:39" ht="16">
      <c r="M153" s="554" t="s">
        <v>1316</v>
      </c>
      <c r="N153" s="556">
        <v>51.548090787868631</v>
      </c>
      <c r="AG153" s="610" t="s">
        <v>1347</v>
      </c>
      <c r="AH153" s="606">
        <v>20.485996031123918</v>
      </c>
      <c r="AI153" s="606">
        <v>2.7786357290713908</v>
      </c>
      <c r="AJ153" s="606">
        <v>16.411885129371623</v>
      </c>
      <c r="AK153" s="606">
        <v>15.558113207547169</v>
      </c>
      <c r="AL153" s="606">
        <v>2.2687912193712991</v>
      </c>
      <c r="AM153" s="607">
        <v>17.584227814321785</v>
      </c>
    </row>
    <row r="154" spans="13:39" ht="16">
      <c r="M154" s="554" t="s">
        <v>317</v>
      </c>
      <c r="N154" s="556">
        <v>7.2793006906001767E-2</v>
      </c>
      <c r="AG154" s="609" t="s">
        <v>431</v>
      </c>
      <c r="AH154" s="588">
        <v>27.70600252942894</v>
      </c>
      <c r="AI154" s="588">
        <v>11.351391862955033</v>
      </c>
      <c r="AJ154" s="588">
        <v>29.858273381294964</v>
      </c>
      <c r="AK154" s="588">
        <v>182.09604743083005</v>
      </c>
      <c r="AL154" s="588">
        <v>9.1474304068522496</v>
      </c>
      <c r="AM154" s="588">
        <v>28.6</v>
      </c>
    </row>
    <row r="155" spans="13:39" ht="17" thickBot="1">
      <c r="M155" s="554" t="s">
        <v>1191</v>
      </c>
      <c r="N155" s="556">
        <v>1.7286787596869078</v>
      </c>
      <c r="AG155" s="609" t="s">
        <v>430</v>
      </c>
      <c r="AH155" s="590">
        <v>-2.2624611036006201</v>
      </c>
      <c r="AI155" s="590">
        <v>1.9824956560911255</v>
      </c>
      <c r="AJ155" s="590">
        <v>-484.95052631578949</v>
      </c>
      <c r="AK155" s="590">
        <v>-25.084085702735482</v>
      </c>
      <c r="AL155" s="590">
        <v>0.82823100644799563</v>
      </c>
      <c r="AM155" s="590">
        <v>-832.5</v>
      </c>
    </row>
    <row r="156" spans="13:39" ht="17" thickBot="1">
      <c r="M156" s="554" t="s">
        <v>1315</v>
      </c>
      <c r="N156" s="556">
        <v>0.10736811644160978</v>
      </c>
      <c r="AG156" s="609" t="s">
        <v>429</v>
      </c>
      <c r="AH156" s="590">
        <v>15.600910003121589</v>
      </c>
      <c r="AI156" s="590">
        <v>5.0681912057051708</v>
      </c>
      <c r="AJ156" s="590">
        <v>-36.502357309310646</v>
      </c>
      <c r="AK156" s="590">
        <v>26.000407500357738</v>
      </c>
      <c r="AL156" s="591">
        <v>3.6085243934836093</v>
      </c>
      <c r="AM156" s="590">
        <v>-73.249999999999986</v>
      </c>
    </row>
    <row r="157" spans="13:39" ht="17" thickBot="1">
      <c r="M157" s="554" t="s">
        <v>1314</v>
      </c>
      <c r="N157" s="556">
        <v>0.19597103587490142</v>
      </c>
      <c r="AG157" s="609" t="s">
        <v>428</v>
      </c>
      <c r="AH157" s="590">
        <v>17.440951351994528</v>
      </c>
      <c r="AI157" s="591">
        <v>3.824743542849073</v>
      </c>
      <c r="AJ157" s="590">
        <v>13.108525107877094</v>
      </c>
      <c r="AK157" s="591">
        <v>13.358127376411165</v>
      </c>
      <c r="AL157" s="590">
        <v>2.2650831695918292</v>
      </c>
      <c r="AM157" s="590">
        <v>14.75</v>
      </c>
    </row>
    <row r="158" spans="13:39" ht="16">
      <c r="M158" s="558" t="s">
        <v>368</v>
      </c>
      <c r="N158" s="558"/>
      <c r="AG158" s="609" t="s">
        <v>522</v>
      </c>
      <c r="AH158" s="590">
        <v>13.173851881598891</v>
      </c>
      <c r="AI158" s="590">
        <v>2.4520003472594247</v>
      </c>
      <c r="AJ158" s="590">
        <v>10.918230763380215</v>
      </c>
      <c r="AK158" s="590">
        <v>10.277925269308902</v>
      </c>
      <c r="AL158" s="590">
        <v>1.2954136019143432</v>
      </c>
      <c r="AM158" s="590">
        <v>4.5999999999999996</v>
      </c>
    </row>
    <row r="159" spans="13:39" ht="16">
      <c r="M159" s="554" t="s">
        <v>320</v>
      </c>
      <c r="N159" s="557">
        <v>-0.15717033783340584</v>
      </c>
      <c r="AG159" s="609" t="s">
        <v>523</v>
      </c>
      <c r="AH159" s="590">
        <v>19.677434325220009</v>
      </c>
      <c r="AI159" s="590">
        <v>5.7537688195478109</v>
      </c>
      <c r="AJ159" s="590">
        <v>17.978361815315516</v>
      </c>
      <c r="AK159" s="590">
        <v>14.5897029513887</v>
      </c>
      <c r="AL159" s="590">
        <v>4.55142112471753</v>
      </c>
      <c r="AM159" s="590">
        <v>20.9</v>
      </c>
    </row>
    <row r="160" spans="13:39" ht="16">
      <c r="M160" s="554" t="s">
        <v>352</v>
      </c>
      <c r="N160" s="557">
        <v>0.8607334759102363</v>
      </c>
      <c r="AG160" s="609" t="s">
        <v>524</v>
      </c>
      <c r="AH160" s="590">
        <v>6.5035824436211183</v>
      </c>
      <c r="AI160" s="590">
        <v>3.3017684722883862</v>
      </c>
      <c r="AJ160" s="590">
        <v>7.0601310519353007</v>
      </c>
      <c r="AK160" s="590">
        <v>4.3117776820797982</v>
      </c>
      <c r="AL160" s="590">
        <v>3.2560075228031868</v>
      </c>
      <c r="AM160" s="590">
        <v>16.299999999999997</v>
      </c>
    </row>
    <row r="161" spans="13:39" ht="16">
      <c r="M161" s="554" t="s">
        <v>321</v>
      </c>
      <c r="N161" s="557">
        <v>0.24834725047022102</v>
      </c>
      <c r="AG161" s="609" t="s">
        <v>525</v>
      </c>
      <c r="AH161" s="590">
        <v>3.4184782161672143</v>
      </c>
      <c r="AI161" s="590">
        <v>-2.5006523611731541</v>
      </c>
      <c r="AJ161" s="590">
        <v>0.32803418547726437</v>
      </c>
      <c r="AK161" s="590">
        <v>3.8102587461892048</v>
      </c>
      <c r="AL161" s="590">
        <v>-3.5885976822904366</v>
      </c>
      <c r="AM161" s="590">
        <v>-19.849999999999994</v>
      </c>
    </row>
    <row r="162" spans="13:39" ht="17" thickBot="1">
      <c r="M162" s="554" t="s">
        <v>322</v>
      </c>
      <c r="N162" s="557">
        <v>-0.20834201574926223</v>
      </c>
      <c r="AG162" s="609" t="s">
        <v>526</v>
      </c>
      <c r="AH162" s="590">
        <v>29.432807990651686</v>
      </c>
      <c r="AI162" s="590">
        <v>10.706421527980389</v>
      </c>
      <c r="AJ162" s="590">
        <v>28.568558393218467</v>
      </c>
      <c r="AK162" s="590">
        <v>21.057369474508398</v>
      </c>
      <c r="AL162" s="590">
        <v>9.4354324089223098</v>
      </c>
      <c r="AM162" s="590">
        <v>45.349999999999994</v>
      </c>
    </row>
    <row r="163" spans="13:39" ht="17" thickBot="1">
      <c r="M163" s="554" t="s">
        <v>323</v>
      </c>
      <c r="N163" s="557">
        <v>-0.19946469683616083</v>
      </c>
      <c r="AG163" s="609" t="s">
        <v>527</v>
      </c>
      <c r="AH163" s="591">
        <v>17.585729014979613</v>
      </c>
      <c r="AI163" s="590">
        <v>3.5151501824129356</v>
      </c>
      <c r="AJ163" s="591">
        <v>14.580291953005455</v>
      </c>
      <c r="AK163" s="590">
        <v>12.874014159435353</v>
      </c>
      <c r="AL163" s="590">
        <v>3.6085243934836093</v>
      </c>
      <c r="AM163" s="591">
        <v>17.5</v>
      </c>
    </row>
    <row r="164" spans="13:39" ht="15" customHeight="1">
      <c r="M164" s="558" t="s">
        <v>324</v>
      </c>
      <c r="N164" s="558"/>
    </row>
    <row r="165" spans="13:39" ht="15" customHeight="1">
      <c r="M165" s="554" t="s">
        <v>325</v>
      </c>
      <c r="N165" s="556">
        <v>0.47727929156262094</v>
      </c>
    </row>
    <row r="166" spans="13:39" ht="15" customHeight="1">
      <c r="M166" s="554" t="s">
        <v>326</v>
      </c>
      <c r="N166" s="556">
        <v>0.44138766356882514</v>
      </c>
    </row>
    <row r="167" spans="13:39" ht="15" customHeight="1">
      <c r="M167" s="558" t="s">
        <v>1313</v>
      </c>
      <c r="N167" s="558"/>
    </row>
    <row r="168" spans="13:39" ht="15" customHeight="1">
      <c r="M168" s="554" t="s">
        <v>1319</v>
      </c>
      <c r="N168" s="556">
        <v>0.98479718946121853</v>
      </c>
    </row>
    <row r="169" spans="13:39" ht="15" customHeight="1">
      <c r="M169" s="558" t="s">
        <v>329</v>
      </c>
      <c r="N169" s="558"/>
    </row>
    <row r="170" spans="13:39" ht="15" customHeight="1">
      <c r="M170" s="554" t="s">
        <v>1318</v>
      </c>
      <c r="N170" s="556">
        <v>0.97353341701636065</v>
      </c>
      <c r="AG170" s="672" t="s">
        <v>473</v>
      </c>
      <c r="AH170" s="672"/>
      <c r="AI170" s="672"/>
      <c r="AJ170" s="672"/>
      <c r="AK170" s="672"/>
      <c r="AL170" s="672"/>
      <c r="AM170" s="672"/>
    </row>
    <row r="171" spans="13:39" ht="15" customHeight="1">
      <c r="M171" s="554" t="s">
        <v>1317</v>
      </c>
      <c r="N171" s="556">
        <v>0.90307415409566538</v>
      </c>
      <c r="AG171" s="611" t="s">
        <v>480</v>
      </c>
      <c r="AH171" s="370" t="s">
        <v>474</v>
      </c>
      <c r="AI171" s="370" t="s">
        <v>475</v>
      </c>
      <c r="AJ171" s="370" t="s">
        <v>476</v>
      </c>
      <c r="AK171" s="370" t="s">
        <v>477</v>
      </c>
      <c r="AL171" s="371" t="s">
        <v>478</v>
      </c>
      <c r="AM171" s="370" t="s">
        <v>479</v>
      </c>
    </row>
    <row r="172" spans="13:39" ht="15" customHeight="1">
      <c r="M172" s="554" t="s">
        <v>332</v>
      </c>
      <c r="N172" s="556">
        <v>10.044105449203233</v>
      </c>
      <c r="AG172" s="360" t="s">
        <v>465</v>
      </c>
      <c r="AH172" s="592" t="e">
        <f>AH153/AQ153</f>
        <v>#DIV/0!</v>
      </c>
      <c r="AI172" s="592" t="e">
        <f>AM153/AN153</f>
        <v>#DIV/0!</v>
      </c>
      <c r="AJ172" s="592" t="e">
        <f>AM153/AP153</f>
        <v>#DIV/0!</v>
      </c>
      <c r="AK172" s="592" t="e">
        <f>AM153/AO153</f>
        <v>#DIV/0!</v>
      </c>
      <c r="AL172" s="592" t="e">
        <f>AH153/(AN153/AI153)</f>
        <v>#DIV/0!</v>
      </c>
      <c r="AM172" s="593">
        <v>26.1</v>
      </c>
    </row>
    <row r="173" spans="13:39" ht="15" customHeight="1">
      <c r="M173" s="558" t="s">
        <v>333</v>
      </c>
      <c r="N173" s="558"/>
      <c r="AG173" s="360" t="s">
        <v>463</v>
      </c>
      <c r="AH173" s="592" t="e">
        <f>#REF!/#REF!</f>
        <v>#REF!</v>
      </c>
      <c r="AI173" s="592" t="e">
        <f>#REF!/#REF!</f>
        <v>#REF!</v>
      </c>
      <c r="AJ173" s="592" t="e">
        <f>#REF!/#REF!</f>
        <v>#REF!</v>
      </c>
      <c r="AK173" s="592" t="e">
        <f>#REF!/#REF!</f>
        <v>#REF!</v>
      </c>
      <c r="AL173" s="592" t="e">
        <f>#REF!/(#REF!/#REF!)</f>
        <v>#REF!</v>
      </c>
      <c r="AM173" s="593">
        <v>20</v>
      </c>
    </row>
    <row r="174" spans="13:39" ht="15" customHeight="1">
      <c r="M174" s="554" t="s">
        <v>334</v>
      </c>
      <c r="N174" s="556">
        <v>6.9546103139923421</v>
      </c>
      <c r="AG174" s="360" t="s">
        <v>461</v>
      </c>
      <c r="AH174" s="592" t="e">
        <f>#REF!/#REF!</f>
        <v>#REF!</v>
      </c>
      <c r="AI174" s="592" t="e">
        <f>#REF!/#REF!</f>
        <v>#REF!</v>
      </c>
      <c r="AJ174" s="592" t="e">
        <f>#REF!/#REF!</f>
        <v>#REF!</v>
      </c>
      <c r="AK174" s="592" t="e">
        <f>#REF!/#REF!</f>
        <v>#REF!</v>
      </c>
      <c r="AL174" s="592" t="e">
        <f>#REF!/(#REF!/#REF!)</f>
        <v>#REF!</v>
      </c>
      <c r="AM174" s="593">
        <v>13.1</v>
      </c>
    </row>
    <row r="175" spans="13:39" ht="15" customHeight="1">
      <c r="M175" s="554" t="s">
        <v>335</v>
      </c>
      <c r="N175" s="556">
        <v>7.8239193498464399</v>
      </c>
      <c r="AG175" s="360" t="s">
        <v>459</v>
      </c>
      <c r="AH175" s="592" t="e">
        <f t="shared" ref="AH175:AH183" si="2">AH154/AQ154</f>
        <v>#DIV/0!</v>
      </c>
      <c r="AI175" s="592" t="e">
        <f t="shared" ref="AI175:AI183" si="3">AM154/AN154</f>
        <v>#DIV/0!</v>
      </c>
      <c r="AJ175" s="592" t="e">
        <f t="shared" ref="AJ175:AJ183" si="4">AM154/AP154</f>
        <v>#DIV/0!</v>
      </c>
      <c r="AK175" s="592" t="e">
        <f t="shared" ref="AK175:AK183" si="5">AM154/AO154</f>
        <v>#DIV/0!</v>
      </c>
      <c r="AL175" s="592" t="e">
        <f t="shared" ref="AL175:AL183" si="6">AH154/(AN154/AI154)</f>
        <v>#DIV/0!</v>
      </c>
      <c r="AM175" s="593">
        <v>1.9</v>
      </c>
    </row>
    <row r="176" spans="13:39" ht="15" customHeight="1">
      <c r="AG176" s="360" t="s">
        <v>457</v>
      </c>
      <c r="AH176" s="592" t="e">
        <f t="shared" si="2"/>
        <v>#DIV/0!</v>
      </c>
      <c r="AI176" s="592" t="e">
        <f t="shared" si="3"/>
        <v>#DIV/0!</v>
      </c>
      <c r="AJ176" s="592" t="e">
        <f t="shared" si="4"/>
        <v>#DIV/0!</v>
      </c>
      <c r="AK176" s="592" t="e">
        <f t="shared" si="5"/>
        <v>#DIV/0!</v>
      </c>
      <c r="AL176" s="592" t="e">
        <f t="shared" si="6"/>
        <v>#DIV/0!</v>
      </c>
      <c r="AM176" s="593">
        <v>-40</v>
      </c>
    </row>
    <row r="177" spans="13:39" ht="15" customHeight="1">
      <c r="AG177" s="360" t="s">
        <v>455</v>
      </c>
      <c r="AH177" s="592" t="e">
        <f t="shared" si="2"/>
        <v>#DIV/0!</v>
      </c>
      <c r="AI177" s="592" t="e">
        <f t="shared" si="3"/>
        <v>#DIV/0!</v>
      </c>
      <c r="AJ177" s="592" t="e">
        <f t="shared" si="4"/>
        <v>#DIV/0!</v>
      </c>
      <c r="AK177" s="592" t="e">
        <f t="shared" si="5"/>
        <v>#DIV/0!</v>
      </c>
      <c r="AL177" s="592" t="e">
        <f t="shared" si="6"/>
        <v>#DIV/0!</v>
      </c>
      <c r="AM177" s="593">
        <v>-832.5</v>
      </c>
    </row>
    <row r="178" spans="13:39" ht="15" customHeight="1">
      <c r="AG178" s="360" t="s">
        <v>453</v>
      </c>
      <c r="AH178" s="592" t="e">
        <f t="shared" si="2"/>
        <v>#DIV/0!</v>
      </c>
      <c r="AI178" s="592" t="e">
        <f t="shared" si="3"/>
        <v>#DIV/0!</v>
      </c>
      <c r="AJ178" s="592" t="e">
        <f t="shared" si="4"/>
        <v>#DIV/0!</v>
      </c>
      <c r="AK178" s="592" t="e">
        <f t="shared" si="5"/>
        <v>#DIV/0!</v>
      </c>
      <c r="AL178" s="592" t="e">
        <f t="shared" si="6"/>
        <v>#DIV/0!</v>
      </c>
      <c r="AM178" s="593">
        <v>21.2</v>
      </c>
    </row>
    <row r="179" spans="13:39" ht="15" customHeight="1">
      <c r="AG179" s="360" t="s">
        <v>451</v>
      </c>
      <c r="AH179" s="592" t="e">
        <f t="shared" si="2"/>
        <v>#DIV/0!</v>
      </c>
      <c r="AI179" s="592" t="e">
        <f t="shared" si="3"/>
        <v>#DIV/0!</v>
      </c>
      <c r="AJ179" s="592" t="e">
        <f t="shared" si="4"/>
        <v>#DIV/0!</v>
      </c>
      <c r="AK179" s="592" t="e">
        <f t="shared" si="5"/>
        <v>#DIV/0!</v>
      </c>
      <c r="AL179" s="592" t="e">
        <f t="shared" si="6"/>
        <v>#DIV/0!</v>
      </c>
      <c r="AM179" s="593">
        <v>12.7</v>
      </c>
    </row>
    <row r="180" spans="13:39" ht="15" customHeight="1">
      <c r="AG180" s="360" t="s">
        <v>449</v>
      </c>
      <c r="AH180" s="592" t="e">
        <f t="shared" si="2"/>
        <v>#DIV/0!</v>
      </c>
      <c r="AI180" s="592" t="e">
        <f t="shared" si="3"/>
        <v>#DIV/0!</v>
      </c>
      <c r="AJ180" s="592" t="e">
        <f t="shared" si="4"/>
        <v>#DIV/0!</v>
      </c>
      <c r="AK180" s="592" t="e">
        <f t="shared" si="5"/>
        <v>#DIV/0!</v>
      </c>
      <c r="AL180" s="592" t="e">
        <f t="shared" si="6"/>
        <v>#DIV/0!</v>
      </c>
      <c r="AM180" s="593">
        <v>28.6</v>
      </c>
    </row>
    <row r="181" spans="13:39" ht="15" customHeight="1">
      <c r="M181" s="559"/>
      <c r="N181" s="559" t="s">
        <v>1322</v>
      </c>
      <c r="O181" s="559" t="s">
        <v>1323</v>
      </c>
      <c r="P181" s="559" t="s">
        <v>1324</v>
      </c>
      <c r="AG181" s="360" t="s">
        <v>447</v>
      </c>
      <c r="AH181" s="592" t="e">
        <f t="shared" si="2"/>
        <v>#DIV/0!</v>
      </c>
      <c r="AI181" s="592" t="e">
        <f t="shared" si="3"/>
        <v>#DIV/0!</v>
      </c>
      <c r="AJ181" s="592" t="e">
        <f t="shared" si="4"/>
        <v>#DIV/0!</v>
      </c>
      <c r="AK181" s="592" t="e">
        <f t="shared" si="5"/>
        <v>#DIV/0!</v>
      </c>
      <c r="AL181" s="592" t="e">
        <f t="shared" si="6"/>
        <v>#DIV/0!</v>
      </c>
      <c r="AM181" s="593">
        <v>16.399999999999999</v>
      </c>
    </row>
    <row r="182" spans="13:39" ht="51">
      <c r="M182" s="559"/>
      <c r="N182" s="561" t="s">
        <v>1321</v>
      </c>
      <c r="O182" s="561" t="s">
        <v>1325</v>
      </c>
      <c r="P182" s="561" t="s">
        <v>1326</v>
      </c>
      <c r="AG182" s="611"/>
      <c r="AH182" s="592"/>
      <c r="AI182" s="592"/>
      <c r="AJ182" s="592"/>
      <c r="AK182" s="592"/>
      <c r="AL182" s="592"/>
      <c r="AM182" s="593"/>
    </row>
    <row r="183" spans="13:39" ht="15" customHeight="1">
      <c r="M183" s="562" t="s">
        <v>170</v>
      </c>
      <c r="N183" s="562"/>
      <c r="O183" s="562"/>
      <c r="P183" s="562"/>
      <c r="AG183" s="430" t="s">
        <v>445</v>
      </c>
      <c r="AH183" s="594" t="e">
        <f t="shared" si="2"/>
        <v>#DIV/0!</v>
      </c>
      <c r="AI183" s="594" t="e">
        <f t="shared" si="3"/>
        <v>#DIV/0!</v>
      </c>
      <c r="AJ183" s="594" t="e">
        <f t="shared" si="4"/>
        <v>#DIV/0!</v>
      </c>
      <c r="AK183" s="594" t="e">
        <f t="shared" si="5"/>
        <v>#DIV/0!</v>
      </c>
      <c r="AL183" s="594" t="e">
        <f t="shared" si="6"/>
        <v>#DIV/0!</v>
      </c>
      <c r="AM183" s="595" t="e">
        <f>AM162/'FULL Proforma_Revised &amp; DCF'!AL264</f>
        <v>#DIV/0!</v>
      </c>
    </row>
    <row r="184" spans="13:39" ht="15" customHeight="1">
      <c r="M184" s="559" t="s">
        <v>134</v>
      </c>
      <c r="N184" s="560">
        <v>5.2445557726182201E-2</v>
      </c>
      <c r="O184" s="560">
        <v>0.75</v>
      </c>
      <c r="P184" s="560">
        <v>0.05</v>
      </c>
      <c r="AG184" s="611"/>
      <c r="AH184" s="593"/>
      <c r="AI184" s="593"/>
      <c r="AJ184" s="593"/>
      <c r="AK184" s="593"/>
      <c r="AL184" s="593"/>
      <c r="AM184" s="593"/>
    </row>
    <row r="185" spans="13:39" ht="15" customHeight="1">
      <c r="M185" s="559" t="s">
        <v>173</v>
      </c>
      <c r="N185" s="560">
        <v>2.2594956741417427E-4</v>
      </c>
      <c r="O185" s="560">
        <v>0.71</v>
      </c>
      <c r="P185" s="560">
        <v>0.05</v>
      </c>
      <c r="AG185" s="373" t="s">
        <v>443</v>
      </c>
      <c r="AH185" s="593"/>
      <c r="AI185" s="593"/>
      <c r="AJ185" s="593"/>
      <c r="AK185" s="593"/>
      <c r="AL185" s="593"/>
      <c r="AM185" s="593"/>
    </row>
    <row r="186" spans="13:39" ht="15" customHeight="1">
      <c r="M186" s="562" t="s">
        <v>171</v>
      </c>
      <c r="N186" s="563"/>
      <c r="O186" s="562"/>
      <c r="P186" s="562"/>
      <c r="AG186" s="373" t="s">
        <v>431</v>
      </c>
      <c r="AH186" s="592" t="e">
        <f t="shared" ref="AH186:AM186" si="7">MAX(AH172:AH181)</f>
        <v>#DIV/0!</v>
      </c>
      <c r="AI186" s="592" t="e">
        <f t="shared" si="7"/>
        <v>#DIV/0!</v>
      </c>
      <c r="AJ186" s="592" t="e">
        <f t="shared" si="7"/>
        <v>#DIV/0!</v>
      </c>
      <c r="AK186" s="592" t="e">
        <f t="shared" si="7"/>
        <v>#DIV/0!</v>
      </c>
      <c r="AL186" s="592" t="e">
        <f t="shared" si="7"/>
        <v>#DIV/0!</v>
      </c>
      <c r="AM186" s="592">
        <f t="shared" si="7"/>
        <v>28.6</v>
      </c>
    </row>
    <row r="187" spans="13:39" ht="15" customHeight="1" thickBot="1">
      <c r="M187" s="559" t="s">
        <v>134</v>
      </c>
      <c r="N187" s="560">
        <v>2.6341676057762164E-2</v>
      </c>
      <c r="O187" s="560">
        <v>0.74</v>
      </c>
      <c r="P187" s="560">
        <v>0.05</v>
      </c>
      <c r="AG187" s="373" t="s">
        <v>430</v>
      </c>
      <c r="AH187" s="592" t="e">
        <f t="shared" ref="AH187:AM187" si="8">MIN(AH172:AH181)</f>
        <v>#DIV/0!</v>
      </c>
      <c r="AI187" s="592" t="e">
        <f t="shared" si="8"/>
        <v>#DIV/0!</v>
      </c>
      <c r="AJ187" s="592" t="e">
        <f t="shared" si="8"/>
        <v>#DIV/0!</v>
      </c>
      <c r="AK187" s="592" t="e">
        <f t="shared" si="8"/>
        <v>#DIV/0!</v>
      </c>
      <c r="AL187" s="592" t="e">
        <f t="shared" si="8"/>
        <v>#DIV/0!</v>
      </c>
      <c r="AM187" s="592">
        <f t="shared" si="8"/>
        <v>-832.5</v>
      </c>
    </row>
    <row r="188" spans="13:39" ht="15" customHeight="1" thickBot="1">
      <c r="M188" s="559" t="s">
        <v>173</v>
      </c>
      <c r="N188" s="560">
        <v>-1.9720133531307971E-3</v>
      </c>
      <c r="O188" s="560">
        <v>0.71</v>
      </c>
      <c r="P188" s="560">
        <v>0.05</v>
      </c>
      <c r="AG188" s="373" t="s">
        <v>429</v>
      </c>
      <c r="AH188" s="592" t="e">
        <f t="shared" ref="AH188:AM188" si="9">AVERAGE(AH172:AH181)</f>
        <v>#DIV/0!</v>
      </c>
      <c r="AI188" s="592" t="e">
        <f t="shared" si="9"/>
        <v>#DIV/0!</v>
      </c>
      <c r="AJ188" s="592" t="e">
        <f t="shared" si="9"/>
        <v>#DIV/0!</v>
      </c>
      <c r="AK188" s="592" t="e">
        <f t="shared" si="9"/>
        <v>#DIV/0!</v>
      </c>
      <c r="AL188" s="596" t="e">
        <f t="shared" si="9"/>
        <v>#DIV/0!</v>
      </c>
      <c r="AM188" s="592">
        <f t="shared" si="9"/>
        <v>-73.249999999999986</v>
      </c>
    </row>
    <row r="189" spans="13:39" ht="15" customHeight="1" thickBot="1">
      <c r="AG189" s="373" t="s">
        <v>428</v>
      </c>
      <c r="AH189" s="592" t="e">
        <f t="shared" ref="AH189:AM189" si="10">MEDIAN(AH172:AH181)</f>
        <v>#DIV/0!</v>
      </c>
      <c r="AI189" s="596" t="e">
        <f t="shared" si="10"/>
        <v>#DIV/0!</v>
      </c>
      <c r="AJ189" s="592" t="e">
        <f t="shared" si="10"/>
        <v>#DIV/0!</v>
      </c>
      <c r="AK189" s="596" t="e">
        <f t="shared" si="10"/>
        <v>#DIV/0!</v>
      </c>
      <c r="AL189" s="592" t="e">
        <f t="shared" si="10"/>
        <v>#DIV/0!</v>
      </c>
      <c r="AM189" s="592">
        <f t="shared" si="10"/>
        <v>14.75</v>
      </c>
    </row>
    <row r="190" spans="13:39" ht="15" customHeight="1">
      <c r="AG190" s="612" t="s">
        <v>522</v>
      </c>
      <c r="AH190" s="592" t="e">
        <f t="shared" ref="AH190:AM190" si="11">_xlfn.QUARTILE.INC(AH172:AH181, 1)</f>
        <v>#DIV/0!</v>
      </c>
      <c r="AI190" s="592" t="e">
        <f t="shared" si="11"/>
        <v>#DIV/0!</v>
      </c>
      <c r="AJ190" s="592" t="e">
        <f t="shared" si="11"/>
        <v>#DIV/0!</v>
      </c>
      <c r="AK190" s="592" t="e">
        <f t="shared" si="11"/>
        <v>#DIV/0!</v>
      </c>
      <c r="AL190" s="592" t="e">
        <f t="shared" si="11"/>
        <v>#DIV/0!</v>
      </c>
      <c r="AM190" s="592">
        <f t="shared" si="11"/>
        <v>4.5999999999999996</v>
      </c>
    </row>
    <row r="191" spans="13:39" ht="15" customHeight="1">
      <c r="AG191" s="612" t="s">
        <v>523</v>
      </c>
      <c r="AH191" s="592" t="e">
        <f t="shared" ref="AH191:AM191" si="12">_xlfn.QUARTILE.INC(AH172:AH181, 3)</f>
        <v>#DIV/0!</v>
      </c>
      <c r="AI191" s="592" t="e">
        <f t="shared" si="12"/>
        <v>#DIV/0!</v>
      </c>
      <c r="AJ191" s="592" t="e">
        <f t="shared" si="12"/>
        <v>#DIV/0!</v>
      </c>
      <c r="AK191" s="592" t="e">
        <f t="shared" si="12"/>
        <v>#DIV/0!</v>
      </c>
      <c r="AL191" s="592" t="e">
        <f t="shared" si="12"/>
        <v>#DIV/0!</v>
      </c>
      <c r="AM191" s="592">
        <f t="shared" si="12"/>
        <v>20.9</v>
      </c>
    </row>
    <row r="192" spans="13:39" ht="15" customHeight="1">
      <c r="AG192" s="612" t="s">
        <v>524</v>
      </c>
      <c r="AH192" s="592" t="e">
        <f t="shared" ref="AH192:AM192" si="13">AH191-AH190</f>
        <v>#DIV/0!</v>
      </c>
      <c r="AI192" s="592" t="e">
        <f t="shared" si="13"/>
        <v>#DIV/0!</v>
      </c>
      <c r="AJ192" s="592" t="e">
        <f t="shared" si="13"/>
        <v>#DIV/0!</v>
      </c>
      <c r="AK192" s="592" t="e">
        <f t="shared" si="13"/>
        <v>#DIV/0!</v>
      </c>
      <c r="AL192" s="592" t="e">
        <f t="shared" si="13"/>
        <v>#DIV/0!</v>
      </c>
      <c r="AM192" s="592">
        <f t="shared" si="13"/>
        <v>16.299999999999997</v>
      </c>
    </row>
    <row r="193" spans="33:39" ht="15" customHeight="1">
      <c r="AG193" s="612" t="s">
        <v>525</v>
      </c>
      <c r="AH193" s="592" t="e">
        <f t="shared" ref="AH193:AM193" si="14">AH190-1.5*AH192</f>
        <v>#DIV/0!</v>
      </c>
      <c r="AI193" s="592" t="e">
        <f t="shared" si="14"/>
        <v>#DIV/0!</v>
      </c>
      <c r="AJ193" s="592" t="e">
        <f t="shared" si="14"/>
        <v>#DIV/0!</v>
      </c>
      <c r="AK193" s="592" t="e">
        <f t="shared" si="14"/>
        <v>#DIV/0!</v>
      </c>
      <c r="AL193" s="592" t="e">
        <f t="shared" si="14"/>
        <v>#DIV/0!</v>
      </c>
      <c r="AM193" s="592">
        <f t="shared" si="14"/>
        <v>-19.849999999999994</v>
      </c>
    </row>
    <row r="194" spans="33:39" ht="15" customHeight="1" thickBot="1">
      <c r="AG194" s="613" t="s">
        <v>526</v>
      </c>
      <c r="AH194" s="592" t="e">
        <f t="shared" ref="AH194:AM194" si="15">AH191+1.5*AH192</f>
        <v>#DIV/0!</v>
      </c>
      <c r="AI194" s="592" t="e">
        <f t="shared" si="15"/>
        <v>#DIV/0!</v>
      </c>
      <c r="AJ194" s="592" t="e">
        <f t="shared" si="15"/>
        <v>#DIV/0!</v>
      </c>
      <c r="AK194" s="592" t="e">
        <f t="shared" si="15"/>
        <v>#DIV/0!</v>
      </c>
      <c r="AL194" s="592" t="e">
        <f t="shared" si="15"/>
        <v>#DIV/0!</v>
      </c>
      <c r="AM194" s="592">
        <f t="shared" si="15"/>
        <v>45.349999999999994</v>
      </c>
    </row>
    <row r="195" spans="33:39" ht="15" customHeight="1" thickBot="1">
      <c r="AG195" s="613" t="s">
        <v>527</v>
      </c>
      <c r="AH195" s="596" t="e">
        <f>AVERAGEIFS(AH172:AH181,AH172:AH181,"&lt;29.433",AH172:AH181,"&gt;3.4184")</f>
        <v>#DIV/0!</v>
      </c>
      <c r="AI195" s="592" t="e">
        <f>AVERAGEIFS(AI172:AI181,AI172:AI181,"&lt;10.7064",AI172:AI181,"&gt;-2.500")</f>
        <v>#DIV/0!</v>
      </c>
      <c r="AJ195" s="596" t="e">
        <f>AVERAGEIFS(AJ172:AJ181,AJ172:AJ181,"&lt;28.5685",AJ172:AJ181,"&gt;0.3280")</f>
        <v>#DIV/0!</v>
      </c>
      <c r="AK195" s="592" t="e">
        <f>AVERAGEIFS(AK172:AK181,AK172:AK181,"&lt;21.0574",AK172:AK181,"&gt;3.81025")</f>
        <v>#DIV/0!</v>
      </c>
      <c r="AL195" s="592" t="e">
        <f>AVERAGEIFS(AL172:AL181,AL172:AL181,"&lt;9.4354",AL172:AL181,"&gt;-3.58859")</f>
        <v>#DIV/0!</v>
      </c>
      <c r="AM195" s="596">
        <f>AVERAGEIFS(AM172:AM181,AM172:AM181,"&lt;45.35",AM172:AM181,"&gt;-19.85")</f>
        <v>17.5</v>
      </c>
    </row>
    <row r="204" spans="33:39" ht="40" customHeight="1">
      <c r="AG204" s="616"/>
      <c r="AH204" s="623" t="s">
        <v>1350</v>
      </c>
      <c r="AI204" s="623" t="s">
        <v>1349</v>
      </c>
      <c r="AJ204" s="617"/>
    </row>
    <row r="205" spans="33:39" ht="15" customHeight="1">
      <c r="AG205" s="620" t="s">
        <v>478</v>
      </c>
      <c r="AH205" s="621">
        <v>0.51</v>
      </c>
      <c r="AI205" s="622">
        <v>0.7</v>
      </c>
      <c r="AJ205" s="617"/>
    </row>
    <row r="206" spans="33:39" ht="15" customHeight="1">
      <c r="AG206" s="620" t="s">
        <v>1060</v>
      </c>
      <c r="AH206" s="621">
        <v>0.23</v>
      </c>
      <c r="AI206" s="622">
        <v>0.47</v>
      </c>
      <c r="AJ206" s="617"/>
    </row>
    <row r="207" spans="33:39" ht="15" customHeight="1">
      <c r="AG207" s="620" t="s">
        <v>476</v>
      </c>
      <c r="AH207" s="621">
        <v>0.12</v>
      </c>
      <c r="AI207" s="622">
        <v>0.34</v>
      </c>
      <c r="AJ207" s="617"/>
    </row>
    <row r="208" spans="33:39" ht="15" customHeight="1">
      <c r="AG208" s="616" t="s">
        <v>474</v>
      </c>
      <c r="AH208" s="618">
        <v>0.06</v>
      </c>
      <c r="AI208" s="619">
        <v>0.24</v>
      </c>
      <c r="AJ208" s="617"/>
    </row>
    <row r="209" spans="33:43" ht="15" customHeight="1">
      <c r="AG209" s="616" t="s">
        <v>477</v>
      </c>
      <c r="AH209" s="618">
        <v>0.04</v>
      </c>
      <c r="AI209" s="619">
        <v>0.2</v>
      </c>
      <c r="AJ209" s="617"/>
    </row>
    <row r="210" spans="33:43" ht="15" customHeight="1">
      <c r="AG210" s="616" t="s">
        <v>479</v>
      </c>
      <c r="AH210" s="618">
        <v>0.01</v>
      </c>
      <c r="AI210" s="619">
        <v>0.1</v>
      </c>
      <c r="AJ210" s="617"/>
    </row>
    <row r="211" spans="33:43" ht="15" customHeight="1">
      <c r="AG211" s="616" t="s">
        <v>1061</v>
      </c>
      <c r="AH211" s="618">
        <v>0.01</v>
      </c>
      <c r="AI211" s="619">
        <v>0.1</v>
      </c>
      <c r="AJ211" s="617"/>
    </row>
    <row r="212" spans="33:43" ht="15" customHeight="1">
      <c r="AG212" s="616" t="s">
        <v>1062</v>
      </c>
      <c r="AH212" s="618">
        <v>0</v>
      </c>
      <c r="AI212" s="619">
        <v>0.04</v>
      </c>
      <c r="AJ212" s="617"/>
    </row>
    <row r="213" spans="33:43" ht="15" customHeight="1">
      <c r="AG213" s="616" t="s">
        <v>1063</v>
      </c>
      <c r="AH213" s="618">
        <v>0</v>
      </c>
      <c r="AI213" s="619">
        <v>0.03</v>
      </c>
      <c r="AJ213" s="617"/>
    </row>
    <row r="216" spans="33:43" ht="15" customHeight="1">
      <c r="AM216" s="629"/>
      <c r="AN216" s="581" t="s">
        <v>672</v>
      </c>
      <c r="AO216" s="581" t="s">
        <v>673</v>
      </c>
      <c r="AP216" s="581" t="s">
        <v>1351</v>
      </c>
      <c r="AQ216" s="581" t="s">
        <v>674</v>
      </c>
    </row>
    <row r="217" spans="33:43" ht="15" customHeight="1">
      <c r="AM217" s="577" t="s">
        <v>669</v>
      </c>
      <c r="AN217" s="625">
        <v>144.02919309308641</v>
      </c>
      <c r="AO217" s="625">
        <v>206.75354394648406</v>
      </c>
      <c r="AP217" s="625">
        <v>174.18689004199973</v>
      </c>
      <c r="AQ217" s="630">
        <v>0.42499999999999999</v>
      </c>
    </row>
    <row r="218" spans="33:43" ht="15" customHeight="1">
      <c r="AM218" s="577" t="s">
        <v>670</v>
      </c>
      <c r="AN218" s="625">
        <v>230.65101034806432</v>
      </c>
      <c r="AO218" s="625">
        <v>321.32429991956087</v>
      </c>
      <c r="AP218" s="625">
        <v>274.24647981850893</v>
      </c>
      <c r="AQ218" s="630">
        <v>0.14999999999999997</v>
      </c>
    </row>
    <row r="219" spans="33:43" ht="15" customHeight="1">
      <c r="AM219" s="577" t="s">
        <v>671</v>
      </c>
      <c r="AN219" s="625">
        <v>147.96419469365972</v>
      </c>
      <c r="AO219" s="625">
        <v>173.44233351236173</v>
      </c>
      <c r="AP219" s="625">
        <v>158.86547849097127</v>
      </c>
      <c r="AQ219" s="630">
        <v>0.42499999999999999</v>
      </c>
    </row>
    <row r="220" spans="33:43" ht="15" customHeight="1">
      <c r="AM220" s="577" t="s">
        <v>1311</v>
      </c>
      <c r="AN220" s="624">
        <v>148.91</v>
      </c>
      <c r="AO220" s="624"/>
      <c r="AP220" s="624"/>
      <c r="AQ220" s="624"/>
    </row>
    <row r="221" spans="33:43" ht="15" customHeight="1">
      <c r="AM221" s="577" t="s">
        <v>1312</v>
      </c>
      <c r="AN221" s="626">
        <v>6.5709766715309412E-2</v>
      </c>
      <c r="AO221" s="626">
        <v>0.4087831099855187</v>
      </c>
      <c r="AP221" s="626">
        <v>0.22680967429513793</v>
      </c>
      <c r="AQ221" s="624"/>
    </row>
    <row r="222" spans="33:43" ht="15" customHeight="1">
      <c r="AM222" s="627" t="s">
        <v>675</v>
      </c>
      <c r="AN222" s="628">
        <v>158.69484136157672</v>
      </c>
      <c r="AO222" s="628">
        <v>209.78189290794359</v>
      </c>
      <c r="AP222" s="628">
        <v>182.68422859928899</v>
      </c>
      <c r="AQ222" s="624"/>
    </row>
    <row r="230" spans="31:32" ht="15" customHeight="1">
      <c r="AF230" s="135" t="s">
        <v>1361</v>
      </c>
    </row>
    <row r="231" spans="31:32" ht="15" customHeight="1">
      <c r="AF231" s="135" t="s">
        <v>1362</v>
      </c>
    </row>
    <row r="233" spans="31:32" ht="15" customHeight="1">
      <c r="AF233" s="135" t="s">
        <v>1363</v>
      </c>
    </row>
    <row r="235" spans="31:32" ht="15" customHeight="1">
      <c r="AE235" s="135">
        <v>1</v>
      </c>
      <c r="AF235" s="135" t="s">
        <v>1364</v>
      </c>
    </row>
    <row r="236" spans="31:32" ht="15" customHeight="1">
      <c r="AE236" s="135">
        <v>2</v>
      </c>
      <c r="AF236" s="135" t="s">
        <v>1365</v>
      </c>
    </row>
    <row r="237" spans="31:32" ht="15" customHeight="1">
      <c r="AE237" s="135">
        <v>3</v>
      </c>
      <c r="AF237" s="135" t="s">
        <v>1366</v>
      </c>
    </row>
    <row r="238" spans="31:32" ht="15" customHeight="1">
      <c r="AE238" s="135">
        <v>4</v>
      </c>
      <c r="AF238" s="135" t="s">
        <v>1367</v>
      </c>
    </row>
    <row r="239" spans="31:32" ht="15" customHeight="1">
      <c r="AE239" s="135">
        <v>5</v>
      </c>
      <c r="AF239" s="135" t="s">
        <v>1368</v>
      </c>
    </row>
    <row r="240" spans="31:32" ht="15" customHeight="1">
      <c r="AE240" s="135">
        <v>6</v>
      </c>
      <c r="AF240" s="135" t="s">
        <v>1369</v>
      </c>
    </row>
    <row r="241" spans="31:32" ht="15" customHeight="1">
      <c r="AE241" s="135">
        <v>7</v>
      </c>
      <c r="AF241" s="135" t="s">
        <v>1370</v>
      </c>
    </row>
    <row r="242" spans="31:32" ht="15" customHeight="1">
      <c r="AE242" s="135">
        <v>8</v>
      </c>
      <c r="AF242" s="135" t="s">
        <v>1371</v>
      </c>
    </row>
    <row r="243" spans="31:32" ht="15" customHeight="1">
      <c r="AE243" s="135">
        <v>9</v>
      </c>
      <c r="AF243" s="135" t="s">
        <v>1372</v>
      </c>
    </row>
    <row r="244" spans="31:32" ht="15" customHeight="1">
      <c r="AE244" s="135">
        <v>10</v>
      </c>
      <c r="AF244" s="135" t="s">
        <v>1373</v>
      </c>
    </row>
    <row r="245" spans="31:32" ht="15" customHeight="1">
      <c r="AE245" s="135">
        <v>11</v>
      </c>
      <c r="AF245" s="135" t="s">
        <v>1374</v>
      </c>
    </row>
    <row r="246" spans="31:32" ht="15" customHeight="1">
      <c r="AE246" s="135">
        <v>12</v>
      </c>
      <c r="AF246" s="135" t="s">
        <v>1400</v>
      </c>
    </row>
    <row r="247" spans="31:32" ht="15" customHeight="1">
      <c r="AE247" s="135">
        <v>13</v>
      </c>
      <c r="AF247" s="135" t="s">
        <v>1401</v>
      </c>
    </row>
    <row r="248" spans="31:32" ht="15" customHeight="1">
      <c r="AE248" s="135">
        <v>14</v>
      </c>
      <c r="AF248" s="135" t="s">
        <v>1402</v>
      </c>
    </row>
    <row r="249" spans="31:32" ht="15" customHeight="1">
      <c r="AE249" s="135">
        <v>15</v>
      </c>
      <c r="AF249" s="135" t="s">
        <v>1403</v>
      </c>
    </row>
    <row r="250" spans="31:32" ht="15" customHeight="1">
      <c r="AE250" s="135">
        <v>16</v>
      </c>
      <c r="AF250" s="135" t="s">
        <v>1404</v>
      </c>
    </row>
    <row r="251" spans="31:32" ht="15" customHeight="1">
      <c r="AE251" s="135">
        <v>17</v>
      </c>
      <c r="AF251" s="135" t="s">
        <v>1405</v>
      </c>
    </row>
    <row r="252" spans="31:32" ht="15" customHeight="1">
      <c r="AE252" s="135">
        <v>18</v>
      </c>
      <c r="AF252" s="135" t="s">
        <v>1412</v>
      </c>
    </row>
    <row r="253" spans="31:32" ht="15" customHeight="1">
      <c r="AE253" s="135">
        <v>19</v>
      </c>
      <c r="AF253" s="135" t="s">
        <v>1413</v>
      </c>
    </row>
    <row r="254" spans="31:32" ht="15" customHeight="1">
      <c r="AE254" s="135">
        <v>20</v>
      </c>
      <c r="AF254" s="135" t="s">
        <v>1414</v>
      </c>
    </row>
    <row r="255" spans="31:32" ht="15" customHeight="1">
      <c r="AE255" s="135">
        <v>21</v>
      </c>
      <c r="AF255" s="135" t="s">
        <v>1415</v>
      </c>
    </row>
    <row r="256" spans="31:32" ht="15" customHeight="1">
      <c r="AE256" s="135">
        <v>22</v>
      </c>
      <c r="AF256" s="135" t="s">
        <v>1416</v>
      </c>
    </row>
    <row r="257" spans="31:32" ht="15" customHeight="1">
      <c r="AE257" s="135">
        <v>23</v>
      </c>
      <c r="AF257" s="135" t="s">
        <v>1417</v>
      </c>
    </row>
    <row r="258" spans="31:32" ht="15" customHeight="1">
      <c r="AE258" s="135">
        <v>24</v>
      </c>
      <c r="AF258" s="135" t="s">
        <v>1418</v>
      </c>
    </row>
    <row r="259" spans="31:32" ht="15" customHeight="1">
      <c r="AE259" s="135">
        <v>25</v>
      </c>
      <c r="AF259" s="135" t="s">
        <v>1419</v>
      </c>
    </row>
    <row r="260" spans="31:32" ht="15" customHeight="1">
      <c r="AE260" s="135">
        <v>26</v>
      </c>
      <c r="AF260" s="135" t="s">
        <v>1420</v>
      </c>
    </row>
    <row r="262" spans="31:32" ht="15" customHeight="1">
      <c r="AF262" s="135" t="s">
        <v>1375</v>
      </c>
    </row>
    <row r="264" spans="31:32" ht="15" customHeight="1">
      <c r="AF264" s="135" t="s">
        <v>1376</v>
      </c>
    </row>
    <row r="265" spans="31:32" ht="15" customHeight="1">
      <c r="AF265" s="135" t="s">
        <v>1377</v>
      </c>
    </row>
    <row r="266" spans="31:32" ht="15" customHeight="1">
      <c r="AF266" s="135" t="s">
        <v>1378</v>
      </c>
    </row>
    <row r="267" spans="31:32" ht="15" customHeight="1">
      <c r="AF267" s="135" t="s">
        <v>1379</v>
      </c>
    </row>
    <row r="268" spans="31:32" ht="15" customHeight="1">
      <c r="AF268" s="135" t="s">
        <v>1380</v>
      </c>
    </row>
    <row r="269" spans="31:32" ht="15" customHeight="1">
      <c r="AF269" s="135" t="s">
        <v>1381</v>
      </c>
    </row>
    <row r="270" spans="31:32" ht="15" customHeight="1">
      <c r="AF270" s="135" t="s">
        <v>1391</v>
      </c>
    </row>
    <row r="271" spans="31:32" ht="15" customHeight="1">
      <c r="AF271" s="135" t="s">
        <v>1392</v>
      </c>
    </row>
    <row r="272" spans="31:32" ht="15" customHeight="1">
      <c r="AF272" s="135" t="s">
        <v>1393</v>
      </c>
    </row>
    <row r="273" spans="32:32" ht="15" customHeight="1">
      <c r="AF273" s="135" t="s">
        <v>1394</v>
      </c>
    </row>
    <row r="274" spans="32:32" ht="15" customHeight="1">
      <c r="AF274" s="135" t="s">
        <v>1395</v>
      </c>
    </row>
    <row r="275" spans="32:32" ht="15" customHeight="1">
      <c r="AF275" s="135" t="s">
        <v>1396</v>
      </c>
    </row>
    <row r="276" spans="32:32" ht="15" customHeight="1">
      <c r="AF276" s="135" t="s">
        <v>1397</v>
      </c>
    </row>
    <row r="277" spans="32:32" ht="15" customHeight="1">
      <c r="AF277" s="135" t="s">
        <v>1398</v>
      </c>
    </row>
    <row r="278" spans="32:32" ht="15" customHeight="1">
      <c r="AF278" s="135" t="s">
        <v>1399</v>
      </c>
    </row>
    <row r="279" spans="32:32" ht="15" customHeight="1">
      <c r="AF279" s="135" t="s">
        <v>1406</v>
      </c>
    </row>
    <row r="280" spans="32:32" ht="15" customHeight="1">
      <c r="AF280" s="135" t="s">
        <v>1407</v>
      </c>
    </row>
    <row r="281" spans="32:32" ht="15" customHeight="1">
      <c r="AF281" s="135" t="s">
        <v>1408</v>
      </c>
    </row>
    <row r="282" spans="32:32" ht="15" customHeight="1">
      <c r="AF282" s="135" t="s">
        <v>1409</v>
      </c>
    </row>
    <row r="283" spans="32:32" ht="15" customHeight="1">
      <c r="AF283" s="135" t="s">
        <v>1410</v>
      </c>
    </row>
    <row r="284" spans="32:32" ht="15" customHeight="1">
      <c r="AF284" s="135" t="s">
        <v>1411</v>
      </c>
    </row>
    <row r="289" spans="32:32" ht="15" customHeight="1">
      <c r="AF289" s="135" t="s">
        <v>1362</v>
      </c>
    </row>
    <row r="291" spans="32:32" ht="15" customHeight="1">
      <c r="AF291" s="135" t="s">
        <v>1363</v>
      </c>
    </row>
    <row r="292" spans="32:32" ht="15" customHeight="1">
      <c r="AF292" s="135" t="s">
        <v>1382</v>
      </c>
    </row>
    <row r="293" spans="32:32" ht="15" customHeight="1">
      <c r="AF293" s="135" t="s">
        <v>1383</v>
      </c>
    </row>
    <row r="294" spans="32:32" ht="15" customHeight="1">
      <c r="AF294" s="135" t="s">
        <v>1384</v>
      </c>
    </row>
    <row r="295" spans="32:32" ht="15" customHeight="1">
      <c r="AF295" s="135" t="s">
        <v>1385</v>
      </c>
    </row>
    <row r="296" spans="32:32" ht="15" customHeight="1">
      <c r="AF296" s="135" t="s">
        <v>1386</v>
      </c>
    </row>
    <row r="297" spans="32:32" ht="15" customHeight="1">
      <c r="AF297" s="135" t="s">
        <v>1387</v>
      </c>
    </row>
    <row r="298" spans="32:32" ht="15" customHeight="1">
      <c r="AF298" s="135" t="s">
        <v>1388</v>
      </c>
    </row>
    <row r="299" spans="32:32" ht="15" customHeight="1">
      <c r="AF299" s="135" t="s">
        <v>1389</v>
      </c>
    </row>
    <row r="300" spans="32:32" ht="15" customHeight="1">
      <c r="AF300" s="135" t="s">
        <v>1390</v>
      </c>
    </row>
    <row r="302" spans="32:32" ht="15" customHeight="1">
      <c r="AF302" s="135" t="s">
        <v>1375</v>
      </c>
    </row>
    <row r="303" spans="32:32" ht="15" customHeight="1">
      <c r="AF303" s="135" t="s">
        <v>1391</v>
      </c>
    </row>
    <row r="304" spans="32:32" ht="15" customHeight="1">
      <c r="AF304" s="135" t="s">
        <v>1392</v>
      </c>
    </row>
    <row r="305" spans="32:32" ht="15" customHeight="1">
      <c r="AF305" s="135" t="s">
        <v>1393</v>
      </c>
    </row>
    <row r="306" spans="32:32" ht="15" customHeight="1">
      <c r="AF306" s="135" t="s">
        <v>1394</v>
      </c>
    </row>
    <row r="307" spans="32:32" ht="15" customHeight="1">
      <c r="AF307" s="135" t="s">
        <v>1395</v>
      </c>
    </row>
    <row r="308" spans="32:32" ht="15" customHeight="1">
      <c r="AF308" s="135" t="s">
        <v>1396</v>
      </c>
    </row>
    <row r="309" spans="32:32" ht="15" customHeight="1">
      <c r="AF309" s="135" t="s">
        <v>1397</v>
      </c>
    </row>
    <row r="310" spans="32:32" ht="15" customHeight="1">
      <c r="AF310" s="135" t="s">
        <v>1398</v>
      </c>
    </row>
    <row r="311" spans="32:32" ht="15" customHeight="1">
      <c r="AF311" s="135" t="s">
        <v>1399</v>
      </c>
    </row>
    <row r="313" spans="32:32" ht="15" customHeight="1">
      <c r="AF313" s="135" t="s">
        <v>1361</v>
      </c>
    </row>
    <row r="314" spans="32:32" ht="15" customHeight="1">
      <c r="AF314" s="135" t="s">
        <v>1363</v>
      </c>
    </row>
    <row r="316" spans="32:32" ht="15" customHeight="1">
      <c r="AF316" s="135" t="s">
        <v>1400</v>
      </c>
    </row>
    <row r="317" spans="32:32" ht="15" customHeight="1">
      <c r="AF317" s="135" t="s">
        <v>1401</v>
      </c>
    </row>
    <row r="318" spans="32:32" ht="15" customHeight="1">
      <c r="AF318" s="135" t="s">
        <v>1402</v>
      </c>
    </row>
    <row r="319" spans="32:32" ht="15" customHeight="1">
      <c r="AF319" s="135" t="s">
        <v>1403</v>
      </c>
    </row>
    <row r="320" spans="32:32" ht="15" customHeight="1">
      <c r="AF320" s="135" t="s">
        <v>1404</v>
      </c>
    </row>
    <row r="321" spans="32:32" ht="15" customHeight="1">
      <c r="AF321" s="135" t="s">
        <v>1405</v>
      </c>
    </row>
    <row r="322" spans="32:32" ht="15" customHeight="1">
      <c r="AF322" s="135" t="s">
        <v>1375</v>
      </c>
    </row>
    <row r="324" spans="32:32" ht="15" customHeight="1">
      <c r="AF324" s="135" t="s">
        <v>1406</v>
      </c>
    </row>
    <row r="325" spans="32:32" ht="15" customHeight="1">
      <c r="AF325" s="135" t="s">
        <v>1407</v>
      </c>
    </row>
    <row r="326" spans="32:32" ht="15" customHeight="1">
      <c r="AF326" s="135" t="s">
        <v>1408</v>
      </c>
    </row>
    <row r="327" spans="32:32" ht="15" customHeight="1">
      <c r="AF327" s="135" t="s">
        <v>1409</v>
      </c>
    </row>
    <row r="328" spans="32:32" ht="15" customHeight="1">
      <c r="AF328" s="135" t="s">
        <v>1410</v>
      </c>
    </row>
    <row r="329" spans="32:32" ht="15" customHeight="1">
      <c r="AF329" s="135" t="s">
        <v>1411</v>
      </c>
    </row>
    <row r="335" spans="32:32" ht="15" customHeight="1">
      <c r="AF335" s="135" t="s">
        <v>1421</v>
      </c>
    </row>
    <row r="336" spans="32:32" ht="15" customHeight="1">
      <c r="AF336" s="135" t="s">
        <v>1422</v>
      </c>
    </row>
    <row r="337" spans="32:42" ht="15" customHeight="1">
      <c r="AF337" s="135" t="s">
        <v>1423</v>
      </c>
    </row>
    <row r="339" spans="32:42" ht="15" customHeight="1">
      <c r="AG339" s="599" t="s">
        <v>1430</v>
      </c>
    </row>
    <row r="341" spans="32:42" ht="15" customHeight="1">
      <c r="AF341" s="135" t="s">
        <v>1424</v>
      </c>
      <c r="AG341" s="599" t="s">
        <v>1431</v>
      </c>
    </row>
    <row r="342" spans="32:42" ht="15" customHeight="1">
      <c r="AF342" s="135" t="s">
        <v>1425</v>
      </c>
      <c r="AG342" s="599" t="s">
        <v>1432</v>
      </c>
    </row>
    <row r="343" spans="32:42" ht="15" customHeight="1">
      <c r="AF343" s="135" t="s">
        <v>1426</v>
      </c>
      <c r="AG343" s="599" t="s">
        <v>1433</v>
      </c>
    </row>
    <row r="344" spans="32:42" ht="15" customHeight="1">
      <c r="AF344" s="135" t="s">
        <v>1427</v>
      </c>
      <c r="AG344" s="599" t="s">
        <v>1434</v>
      </c>
    </row>
    <row r="345" spans="32:42" ht="15" customHeight="1">
      <c r="AF345" s="135" t="s">
        <v>1428</v>
      </c>
      <c r="AG345" s="599" t="s">
        <v>1435</v>
      </c>
    </row>
    <row r="346" spans="32:42" ht="15" customHeight="1">
      <c r="AF346" s="135" t="s">
        <v>1429</v>
      </c>
      <c r="AG346" s="599" t="s">
        <v>1436</v>
      </c>
    </row>
    <row r="347" spans="32:42" ht="15" customHeight="1">
      <c r="AG347" s="599" t="s">
        <v>1437</v>
      </c>
    </row>
    <row r="348" spans="32:42" ht="15" customHeight="1">
      <c r="AG348" s="599" t="s">
        <v>1438</v>
      </c>
    </row>
    <row r="349" spans="32:42" ht="15" customHeight="1">
      <c r="AG349" s="599" t="s">
        <v>1439</v>
      </c>
    </row>
    <row r="350" spans="32:42" ht="15" customHeight="1">
      <c r="AG350" s="599" t="s">
        <v>1440</v>
      </c>
    </row>
    <row r="351" spans="32:42" ht="15" customHeight="1">
      <c r="AG351" s="599" t="s">
        <v>1441</v>
      </c>
      <c r="AH351" s="159" t="s">
        <v>1457</v>
      </c>
    </row>
    <row r="352" spans="32:42" ht="15" customHeight="1">
      <c r="AG352" s="599" t="s">
        <v>1442</v>
      </c>
      <c r="AH352" s="159" t="s">
        <v>1458</v>
      </c>
      <c r="AP352" s="135" t="s">
        <v>1457</v>
      </c>
    </row>
    <row r="353" spans="33:42" ht="15" customHeight="1">
      <c r="AG353" s="599" t="s">
        <v>1443</v>
      </c>
      <c r="AH353" s="159" t="s">
        <v>1459</v>
      </c>
      <c r="AP353" s="135" t="s">
        <v>1458</v>
      </c>
    </row>
    <row r="354" spans="33:42" ht="15" customHeight="1">
      <c r="AG354" s="599" t="s">
        <v>1444</v>
      </c>
      <c r="AH354" s="159" t="s">
        <v>1460</v>
      </c>
      <c r="AP354" s="135" t="s">
        <v>1459</v>
      </c>
    </row>
    <row r="355" spans="33:42" ht="15" customHeight="1">
      <c r="AG355" s="599" t="s">
        <v>1445</v>
      </c>
      <c r="AH355" s="159" t="s">
        <v>1461</v>
      </c>
      <c r="AP355" s="135" t="s">
        <v>1460</v>
      </c>
    </row>
    <row r="356" spans="33:42" ht="15" customHeight="1">
      <c r="AG356" s="599" t="s">
        <v>1446</v>
      </c>
      <c r="AH356" s="159" t="s">
        <v>1462</v>
      </c>
      <c r="AP356" s="135" t="s">
        <v>1461</v>
      </c>
    </row>
    <row r="357" spans="33:42" ht="15" customHeight="1">
      <c r="AG357" s="599" t="s">
        <v>1447</v>
      </c>
      <c r="AH357" s="159" t="s">
        <v>1463</v>
      </c>
      <c r="AP357" s="135" t="s">
        <v>1462</v>
      </c>
    </row>
    <row r="358" spans="33:42" ht="15" customHeight="1">
      <c r="AG358" s="599" t="s">
        <v>1448</v>
      </c>
      <c r="AH358" s="159" t="s">
        <v>1464</v>
      </c>
      <c r="AP358" s="135" t="s">
        <v>1463</v>
      </c>
    </row>
    <row r="359" spans="33:42" ht="15" customHeight="1">
      <c r="AG359" s="599" t="s">
        <v>1449</v>
      </c>
      <c r="AH359" s="159" t="s">
        <v>1465</v>
      </c>
      <c r="AP359" s="135" t="s">
        <v>1464</v>
      </c>
    </row>
    <row r="360" spans="33:42" ht="15" customHeight="1">
      <c r="AG360" s="599" t="s">
        <v>1450</v>
      </c>
      <c r="AH360" s="159" t="s">
        <v>1466</v>
      </c>
      <c r="AP360" s="135" t="s">
        <v>1465</v>
      </c>
    </row>
    <row r="361" spans="33:42" ht="15" customHeight="1">
      <c r="AG361" s="599" t="s">
        <v>1451</v>
      </c>
      <c r="AH361" s="159" t="s">
        <v>1467</v>
      </c>
      <c r="AP361" s="135" t="s">
        <v>1466</v>
      </c>
    </row>
    <row r="362" spans="33:42" ht="15" customHeight="1">
      <c r="AG362" s="599" t="s">
        <v>1452</v>
      </c>
      <c r="AH362" s="159" t="s">
        <v>1468</v>
      </c>
      <c r="AP362" s="135" t="s">
        <v>1467</v>
      </c>
    </row>
    <row r="363" spans="33:42" ht="15" customHeight="1">
      <c r="AG363" s="599" t="s">
        <v>1453</v>
      </c>
      <c r="AH363" s="159" t="s">
        <v>1469</v>
      </c>
      <c r="AP363" s="135" t="s">
        <v>1468</v>
      </c>
    </row>
    <row r="364" spans="33:42" ht="15" customHeight="1">
      <c r="AG364" s="599" t="s">
        <v>1454</v>
      </c>
      <c r="AP364" s="135" t="s">
        <v>1469</v>
      </c>
    </row>
    <row r="365" spans="33:42" ht="15" customHeight="1">
      <c r="AG365" s="599" t="s">
        <v>1455</v>
      </c>
    </row>
    <row r="366" spans="33:42" ht="15" customHeight="1">
      <c r="AG366" s="599" t="s">
        <v>1456</v>
      </c>
    </row>
    <row r="376" spans="33:33" ht="15" customHeight="1">
      <c r="AG376" s="599" t="s">
        <v>1470</v>
      </c>
    </row>
    <row r="377" spans="33:33" ht="15" customHeight="1">
      <c r="AG377" s="599" t="s">
        <v>1471</v>
      </c>
    </row>
    <row r="378" spans="33:33" ht="15" customHeight="1">
      <c r="AG378" s="599" t="s">
        <v>1472</v>
      </c>
    </row>
    <row r="379" spans="33:33" ht="15" customHeight="1">
      <c r="AG379" s="599" t="s">
        <v>1473</v>
      </c>
    </row>
    <row r="380" spans="33:33" ht="15" customHeight="1">
      <c r="AG380" s="599" t="s">
        <v>1474</v>
      </c>
    </row>
    <row r="381" spans="33:33" ht="15" customHeight="1">
      <c r="AG381" s="599" t="s">
        <v>1475</v>
      </c>
    </row>
    <row r="382" spans="33:33" ht="15" customHeight="1">
      <c r="AG382" s="599" t="s">
        <v>1476</v>
      </c>
    </row>
    <row r="383" spans="33:33" ht="15" customHeight="1">
      <c r="AG383" s="599" t="s">
        <v>1477</v>
      </c>
    </row>
    <row r="384" spans="33:33" ht="15" customHeight="1">
      <c r="AG384" s="599" t="s">
        <v>1478</v>
      </c>
    </row>
    <row r="385" spans="33:33" ht="15" customHeight="1">
      <c r="AG385" s="599" t="s">
        <v>1479</v>
      </c>
    </row>
    <row r="386" spans="33:33" ht="15" customHeight="1">
      <c r="AG386" s="599" t="s">
        <v>1480</v>
      </c>
    </row>
    <row r="387" spans="33:33" ht="15" customHeight="1">
      <c r="AG387" s="599" t="s">
        <v>1481</v>
      </c>
    </row>
    <row r="388" spans="33:33" ht="15" customHeight="1">
      <c r="AG388" s="599" t="s">
        <v>1482</v>
      </c>
    </row>
    <row r="389" spans="33:33" ht="15" customHeight="1">
      <c r="AG389" s="599" t="s">
        <v>1483</v>
      </c>
    </row>
    <row r="390" spans="33:33" ht="15" customHeight="1">
      <c r="AG390" s="599" t="s">
        <v>1484</v>
      </c>
    </row>
    <row r="391" spans="33:33" ht="15" customHeight="1">
      <c r="AG391" s="599" t="s">
        <v>1485</v>
      </c>
    </row>
    <row r="392" spans="33:33" ht="15" customHeight="1">
      <c r="AG392" s="599" t="s">
        <v>1486</v>
      </c>
    </row>
    <row r="393" spans="33:33" ht="15" customHeight="1">
      <c r="AG393" s="599" t="s">
        <v>1487</v>
      </c>
    </row>
    <row r="394" spans="33:33" ht="15" customHeight="1">
      <c r="AG394" s="599" t="s">
        <v>1488</v>
      </c>
    </row>
    <row r="395" spans="33:33" ht="15" customHeight="1">
      <c r="AG395" s="599" t="s">
        <v>1489</v>
      </c>
    </row>
    <row r="396" spans="33:33" ht="15" customHeight="1">
      <c r="AG396" s="599" t="s">
        <v>1490</v>
      </c>
    </row>
    <row r="397" spans="33:33" ht="15" customHeight="1">
      <c r="AG397" s="599" t="s">
        <v>1491</v>
      </c>
    </row>
    <row r="398" spans="33:33" ht="15" customHeight="1">
      <c r="AG398" s="599" t="s">
        <v>1492</v>
      </c>
    </row>
    <row r="399" spans="33:33" ht="15" customHeight="1">
      <c r="AG399" s="599" t="s">
        <v>1493</v>
      </c>
    </row>
    <row r="400" spans="33:33" ht="15" customHeight="1">
      <c r="AG400" s="599" t="s">
        <v>1494</v>
      </c>
    </row>
    <row r="401" spans="18:39" ht="15" customHeight="1">
      <c r="AG401" s="599" t="s">
        <v>1495</v>
      </c>
    </row>
    <row r="402" spans="18:39" ht="15" customHeight="1">
      <c r="AG402" s="599" t="s">
        <v>1496</v>
      </c>
    </row>
    <row r="403" spans="18:39" ht="15" customHeight="1">
      <c r="AG403" s="599" t="s">
        <v>1497</v>
      </c>
    </row>
    <row r="407" spans="18:39" ht="15" customHeight="1">
      <c r="AG407" s="599" t="s">
        <v>1536</v>
      </c>
    </row>
    <row r="409" spans="18:39" ht="15" customHeight="1">
      <c r="AG409" s="599" t="s">
        <v>1537</v>
      </c>
      <c r="AL409" s="599" t="s">
        <v>1537</v>
      </c>
    </row>
    <row r="410" spans="18:39" s="599" customFormat="1" ht="17">
      <c r="R410" s="600"/>
      <c r="S410" s="542"/>
      <c r="T410" s="542"/>
      <c r="U410" s="542"/>
      <c r="V410" s="600"/>
      <c r="AG410" s="599" t="s">
        <v>1538</v>
      </c>
      <c r="AH410" s="542"/>
      <c r="AI410" s="542"/>
      <c r="AJ410" s="542"/>
      <c r="AK410" s="542"/>
      <c r="AL410" s="159" t="s">
        <v>1550</v>
      </c>
      <c r="AM410" s="654">
        <v>0.25600000000000001</v>
      </c>
    </row>
    <row r="411" spans="18:39" s="599" customFormat="1" ht="17">
      <c r="R411" s="600"/>
      <c r="S411" s="542"/>
      <c r="T411" s="542"/>
      <c r="U411" s="542"/>
      <c r="V411" s="600"/>
      <c r="AG411" s="599" t="s">
        <v>1539</v>
      </c>
      <c r="AH411" s="542"/>
      <c r="AI411" s="542"/>
      <c r="AJ411" s="542"/>
      <c r="AK411" s="542"/>
      <c r="AL411" s="542" t="s">
        <v>1551</v>
      </c>
      <c r="AM411" s="654">
        <v>0.17199999999999999</v>
      </c>
    </row>
    <row r="412" spans="18:39" s="599" customFormat="1" ht="17">
      <c r="R412" s="600"/>
      <c r="S412" s="542"/>
      <c r="T412" s="542"/>
      <c r="U412" s="542"/>
      <c r="V412" s="600"/>
      <c r="AG412" s="599" t="s">
        <v>1540</v>
      </c>
      <c r="AH412" s="542"/>
      <c r="AI412" s="542"/>
      <c r="AJ412" s="542"/>
      <c r="AK412" s="542"/>
      <c r="AL412" s="542" t="s">
        <v>1552</v>
      </c>
      <c r="AM412" s="654">
        <v>4.7E-2</v>
      </c>
    </row>
    <row r="413" spans="18:39" s="599" customFormat="1" ht="16">
      <c r="R413" s="600"/>
      <c r="S413" s="542"/>
      <c r="T413" s="542"/>
      <c r="U413" s="542"/>
      <c r="V413" s="600"/>
      <c r="AH413" s="542"/>
      <c r="AI413" s="542"/>
      <c r="AJ413" s="542"/>
      <c r="AK413" s="542"/>
      <c r="AL413" s="542"/>
      <c r="AM413" s="542"/>
    </row>
    <row r="414" spans="18:39" s="599" customFormat="1" ht="17">
      <c r="R414" s="600"/>
      <c r="S414" s="542"/>
      <c r="T414" s="542"/>
      <c r="U414" s="542"/>
      <c r="V414" s="600"/>
      <c r="AG414" s="599" t="s">
        <v>1541</v>
      </c>
      <c r="AH414" s="542"/>
      <c r="AI414" s="542"/>
      <c r="AJ414" s="542"/>
      <c r="AK414" s="542"/>
      <c r="AL414" s="542"/>
      <c r="AM414" s="542"/>
    </row>
    <row r="415" spans="18:39" s="599" customFormat="1" ht="17">
      <c r="R415" s="600"/>
      <c r="S415" s="542"/>
      <c r="T415" s="542"/>
      <c r="U415" s="542"/>
      <c r="V415" s="600"/>
      <c r="AG415" s="599" t="s">
        <v>1542</v>
      </c>
      <c r="AH415" s="542"/>
      <c r="AI415" s="542"/>
      <c r="AJ415" s="542"/>
      <c r="AK415" s="542"/>
      <c r="AL415" s="542" t="s">
        <v>1555</v>
      </c>
      <c r="AM415" s="655">
        <v>0.22</v>
      </c>
    </row>
    <row r="416" spans="18:39" s="599" customFormat="1" ht="34">
      <c r="R416" s="600"/>
      <c r="S416" s="542"/>
      <c r="T416" s="542"/>
      <c r="U416" s="542"/>
      <c r="V416" s="600"/>
      <c r="AG416" s="599" t="s">
        <v>1543</v>
      </c>
      <c r="AH416" s="542"/>
      <c r="AI416" s="542"/>
      <c r="AJ416" s="542"/>
      <c r="AK416" s="542"/>
      <c r="AL416" s="542" t="s">
        <v>1557</v>
      </c>
      <c r="AM416" s="655">
        <v>0.4</v>
      </c>
    </row>
    <row r="417" spans="18:43" s="599" customFormat="1" ht="34">
      <c r="R417" s="600"/>
      <c r="S417" s="542"/>
      <c r="T417" s="542"/>
      <c r="U417" s="542"/>
      <c r="V417" s="600"/>
      <c r="AG417" s="599" t="s">
        <v>1544</v>
      </c>
      <c r="AH417" s="542"/>
      <c r="AI417" s="542"/>
      <c r="AJ417" s="542"/>
      <c r="AK417" s="542"/>
      <c r="AL417" s="542" t="s">
        <v>1556</v>
      </c>
      <c r="AM417" s="655">
        <v>0.48</v>
      </c>
    </row>
    <row r="418" spans="18:43" s="599" customFormat="1" ht="68">
      <c r="R418" s="600"/>
      <c r="S418" s="542"/>
      <c r="T418" s="542"/>
      <c r="U418" s="542"/>
      <c r="V418" s="600"/>
      <c r="AG418" s="599" t="s">
        <v>1545</v>
      </c>
      <c r="AH418" s="542"/>
      <c r="AI418" s="542"/>
      <c r="AJ418" s="542"/>
      <c r="AK418" s="542"/>
      <c r="AL418" s="542" t="s">
        <v>1564</v>
      </c>
      <c r="AM418" s="542"/>
      <c r="AO418" s="599" t="s">
        <v>1568</v>
      </c>
      <c r="AP418" s="599">
        <v>11.55</v>
      </c>
    </row>
    <row r="419" spans="18:43" s="599" customFormat="1" ht="68">
      <c r="R419" s="600"/>
      <c r="S419" s="542"/>
      <c r="T419" s="542"/>
      <c r="U419" s="542"/>
      <c r="V419" s="600"/>
      <c r="AG419" s="599" t="s">
        <v>1546</v>
      </c>
      <c r="AH419" s="542"/>
      <c r="AI419" s="542"/>
      <c r="AJ419" s="542"/>
      <c r="AK419" s="542"/>
      <c r="AL419" s="542" t="s">
        <v>1558</v>
      </c>
      <c r="AM419" s="654">
        <v>0.311</v>
      </c>
      <c r="AO419" s="599" t="s">
        <v>1569</v>
      </c>
      <c r="AP419" s="599">
        <v>11.57</v>
      </c>
    </row>
    <row r="420" spans="18:43" s="599" customFormat="1" ht="102">
      <c r="R420" s="600"/>
      <c r="S420" s="542"/>
      <c r="T420" s="542"/>
      <c r="U420" s="542"/>
      <c r="V420" s="600"/>
      <c r="AH420" s="542"/>
      <c r="AI420" s="542"/>
      <c r="AJ420" s="542"/>
      <c r="AK420" s="542"/>
      <c r="AL420" s="542" t="s">
        <v>1559</v>
      </c>
      <c r="AM420" s="655">
        <v>0.2</v>
      </c>
      <c r="AO420" s="599" t="s">
        <v>1570</v>
      </c>
      <c r="AP420" s="599">
        <v>66</v>
      </c>
    </row>
    <row r="421" spans="18:43" s="599" customFormat="1" ht="17">
      <c r="R421" s="600"/>
      <c r="S421" s="542"/>
      <c r="T421" s="542"/>
      <c r="U421" s="542"/>
      <c r="V421" s="600"/>
      <c r="AG421" s="599" t="s">
        <v>1547</v>
      </c>
      <c r="AH421" s="542"/>
      <c r="AI421" s="542"/>
      <c r="AJ421" s="542"/>
      <c r="AK421" s="542"/>
      <c r="AL421" s="542" t="s">
        <v>1560</v>
      </c>
      <c r="AM421" s="654">
        <v>0.32600000000000001</v>
      </c>
    </row>
    <row r="422" spans="18:43" s="599" customFormat="1" ht="51">
      <c r="R422" s="600"/>
      <c r="S422" s="542"/>
      <c r="T422" s="542"/>
      <c r="U422" s="542"/>
      <c r="V422" s="600"/>
      <c r="AG422" s="599" t="s">
        <v>1548</v>
      </c>
      <c r="AH422" s="542"/>
      <c r="AI422" s="542"/>
      <c r="AJ422" s="542"/>
      <c r="AK422" s="542"/>
      <c r="AL422" s="542" t="s">
        <v>1561</v>
      </c>
      <c r="AM422" s="654">
        <v>4.0000000000000001E-3</v>
      </c>
    </row>
    <row r="423" spans="18:43" s="599" customFormat="1" ht="102">
      <c r="R423" s="600"/>
      <c r="S423" s="542"/>
      <c r="T423" s="542"/>
      <c r="U423" s="542"/>
      <c r="V423" s="600"/>
      <c r="AG423" s="599" t="s">
        <v>1549</v>
      </c>
      <c r="AH423" s="542"/>
      <c r="AI423" s="542"/>
      <c r="AJ423" s="542"/>
      <c r="AK423" s="542"/>
      <c r="AL423" s="542" t="s">
        <v>1562</v>
      </c>
      <c r="AM423" s="654">
        <v>6.0000000000000001E-3</v>
      </c>
      <c r="AP423" s="599" t="s">
        <v>1571</v>
      </c>
      <c r="AQ423" s="599">
        <v>39000</v>
      </c>
    </row>
    <row r="424" spans="18:43" s="599" customFormat="1" ht="51">
      <c r="R424" s="600"/>
      <c r="S424" s="542"/>
      <c r="T424" s="542"/>
      <c r="U424" s="542"/>
      <c r="V424" s="600"/>
      <c r="AG424" s="653" t="s">
        <v>1554</v>
      </c>
      <c r="AH424" s="542"/>
      <c r="AI424" s="542"/>
      <c r="AJ424" s="542"/>
      <c r="AK424" s="542"/>
      <c r="AL424" s="542" t="s">
        <v>1563</v>
      </c>
      <c r="AM424" s="654">
        <v>6.0000000000000001E-3</v>
      </c>
      <c r="AP424" s="599" t="s">
        <v>1572</v>
      </c>
      <c r="AQ424" s="599">
        <v>175000</v>
      </c>
    </row>
    <row r="425" spans="18:43" s="599" customFormat="1" ht="34">
      <c r="R425" s="600"/>
      <c r="S425" s="542"/>
      <c r="T425" s="542"/>
      <c r="U425" s="542"/>
      <c r="V425" s="600"/>
      <c r="AG425" s="653" t="s">
        <v>1553</v>
      </c>
      <c r="AH425" s="542"/>
      <c r="AI425" s="542"/>
      <c r="AJ425" s="542"/>
      <c r="AK425" s="542"/>
      <c r="AL425" s="542"/>
      <c r="AM425" s="542"/>
    </row>
    <row r="426" spans="18:43" ht="15" customHeight="1">
      <c r="AL426" s="159" t="s">
        <v>1565</v>
      </c>
      <c r="AM426" s="159" t="s">
        <v>1573</v>
      </c>
    </row>
    <row r="427" spans="18:43" ht="15" customHeight="1">
      <c r="AL427" s="542" t="s">
        <v>1558</v>
      </c>
      <c r="AM427" s="165">
        <v>0.58299999999999996</v>
      </c>
    </row>
    <row r="428" spans="18:43" ht="15" customHeight="1">
      <c r="AL428" s="542" t="s">
        <v>1559</v>
      </c>
      <c r="AM428" s="165">
        <v>0.105</v>
      </c>
    </row>
    <row r="429" spans="18:43" ht="15" customHeight="1">
      <c r="AL429" s="542" t="s">
        <v>1560</v>
      </c>
      <c r="AM429" s="165">
        <v>0.17599999999999999</v>
      </c>
    </row>
    <row r="430" spans="18:43" ht="15" customHeight="1">
      <c r="AL430" s="542" t="s">
        <v>1561</v>
      </c>
      <c r="AM430" s="165">
        <v>3.0000000000000001E-3</v>
      </c>
    </row>
    <row r="431" spans="18:43" ht="15" customHeight="1">
      <c r="AL431" s="542" t="s">
        <v>1562</v>
      </c>
      <c r="AM431" s="165">
        <v>6.0000000000000001E-3</v>
      </c>
    </row>
    <row r="432" spans="18:43" ht="15" customHeight="1">
      <c r="AL432" s="542" t="s">
        <v>1563</v>
      </c>
      <c r="AM432" s="165">
        <v>7.0000000000000001E-3</v>
      </c>
    </row>
    <row r="433" spans="38:39" ht="15" customHeight="1">
      <c r="AL433" s="159" t="s">
        <v>1566</v>
      </c>
      <c r="AM433" s="165">
        <v>9.4E-2</v>
      </c>
    </row>
    <row r="434" spans="38:39" ht="15" customHeight="1">
      <c r="AL434" s="159" t="s">
        <v>1567</v>
      </c>
      <c r="AM434" s="165">
        <v>2.5999999999999999E-2</v>
      </c>
    </row>
  </sheetData>
  <mergeCells count="38">
    <mergeCell ref="AG141:AM141"/>
    <mergeCell ref="AG170:AM170"/>
    <mergeCell ref="T138:V138"/>
    <mergeCell ref="R79:T79"/>
    <mergeCell ref="R90:S90"/>
    <mergeCell ref="R96:S96"/>
    <mergeCell ref="R101:S101"/>
    <mergeCell ref="R105:S105"/>
    <mergeCell ref="R83:T83"/>
    <mergeCell ref="M137:N137"/>
    <mergeCell ref="M141:N141"/>
    <mergeCell ref="M114:N114"/>
    <mergeCell ref="M120:N120"/>
    <mergeCell ref="M125:N125"/>
    <mergeCell ref="M131:N131"/>
    <mergeCell ref="M134:N134"/>
    <mergeCell ref="M98:N98"/>
    <mergeCell ref="M101:N101"/>
    <mergeCell ref="M103:N103"/>
    <mergeCell ref="M106:N106"/>
    <mergeCell ref="M82:N82"/>
    <mergeCell ref="M88:N88"/>
    <mergeCell ref="M93:N93"/>
    <mergeCell ref="B15:I21"/>
    <mergeCell ref="B49:I56"/>
    <mergeCell ref="A15:A20"/>
    <mergeCell ref="A22:A30"/>
    <mergeCell ref="A31:A39"/>
    <mergeCell ref="A40:A48"/>
    <mergeCell ref="A49:A56"/>
    <mergeCell ref="B22:I30"/>
    <mergeCell ref="B31:I39"/>
    <mergeCell ref="B40:I48"/>
    <mergeCell ref="A1:I1"/>
    <mergeCell ref="A3:I3"/>
    <mergeCell ref="A4:I11"/>
    <mergeCell ref="A13:I13"/>
    <mergeCell ref="B14:I14"/>
  </mergeCells>
  <conditionalFormatting sqref="U117:AE133">
    <cfRule type="cellIs" dxfId="14" priority="11" operator="greaterThan">
      <formula>272.25</formula>
    </cfRule>
    <cfRule type="cellIs" dxfId="13" priority="10" operator="greaterThan">
      <formula>274.25</formula>
    </cfRule>
  </conditionalFormatting>
  <conditionalFormatting sqref="AH143:AH163">
    <cfRule type="cellIs" dxfId="12" priority="13" operator="lessThan">
      <formula>$AH$153</formula>
    </cfRule>
  </conditionalFormatting>
  <conditionalFormatting sqref="AI143:AI163">
    <cfRule type="cellIs" dxfId="11" priority="8" operator="lessThan">
      <formula>$AI$153</formula>
    </cfRule>
  </conditionalFormatting>
  <conditionalFormatting sqref="AJ143:AJ163">
    <cfRule type="cellIs" dxfId="10" priority="7" operator="lessThan">
      <formula>$AJ$153</formula>
    </cfRule>
  </conditionalFormatting>
  <conditionalFormatting sqref="AK143:AK163">
    <cfRule type="cellIs" dxfId="9" priority="6" operator="lessThan">
      <formula>$AK$153</formula>
    </cfRule>
  </conditionalFormatting>
  <conditionalFormatting sqref="AL143:AL163">
    <cfRule type="cellIs" dxfId="8" priority="5" operator="lessThan">
      <formula>$AL$153</formula>
    </cfRule>
  </conditionalFormatting>
  <conditionalFormatting sqref="AM143:AM163">
    <cfRule type="cellIs" dxfId="7" priority="4" operator="lessThan">
      <formula>$AM$153</formula>
    </cfRule>
  </conditionalFormatting>
  <conditionalFormatting sqref="AN217:AP219 AN222:AP222">
    <cfRule type="cellIs" dxfId="6" priority="3" operator="greaterThan">
      <formula>$AN$220</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A608E-393D-2748-9246-5230F5BCAC63}">
  <sheetPr codeName="Sheet2">
    <tabColor theme="9" tint="0.79998168889431442"/>
  </sheetPr>
  <dimension ref="A1:H73"/>
  <sheetViews>
    <sheetView zoomScaleNormal="100" workbookViewId="0">
      <pane xSplit="1" topLeftCell="B1" activePane="topRight" state="frozen"/>
      <selection pane="topRight" activeCell="A51" sqref="A51"/>
    </sheetView>
  </sheetViews>
  <sheetFormatPr baseColWidth="10" defaultColWidth="10.83203125" defaultRowHeight="17"/>
  <cols>
    <col min="1" max="1" width="48.83203125" style="27" bestFit="1" customWidth="1"/>
    <col min="2" max="6" width="23.33203125" style="27" customWidth="1"/>
    <col min="7" max="16384" width="10.83203125" style="27"/>
  </cols>
  <sheetData>
    <row r="1" spans="1:8" s="2" customFormat="1" ht="25">
      <c r="A1" s="661" t="s">
        <v>114</v>
      </c>
      <c r="B1" s="661"/>
      <c r="C1" s="661"/>
      <c r="D1" s="661"/>
      <c r="E1" s="661"/>
      <c r="F1" s="661"/>
    </row>
    <row r="2" spans="1:8" s="2" customFormat="1">
      <c r="A2" s="1"/>
      <c r="B2" s="17"/>
      <c r="C2" s="18"/>
      <c r="D2" s="19"/>
      <c r="E2" s="17"/>
      <c r="F2" s="18"/>
    </row>
    <row r="3" spans="1:8" s="2" customFormat="1">
      <c r="A3" s="662" t="s">
        <v>95</v>
      </c>
      <c r="B3" s="662"/>
      <c r="C3" s="662"/>
      <c r="D3" s="662"/>
      <c r="E3" s="662"/>
      <c r="F3" s="662"/>
    </row>
    <row r="4" spans="1:8" s="2" customFormat="1">
      <c r="A4" s="20" t="s">
        <v>86</v>
      </c>
      <c r="B4" s="21" t="s">
        <v>87</v>
      </c>
      <c r="C4" s="7"/>
      <c r="D4" s="20" t="s">
        <v>102</v>
      </c>
      <c r="E4" s="23" t="s">
        <v>91</v>
      </c>
      <c r="F4" s="7"/>
    </row>
    <row r="5" spans="1:8" s="2" customFormat="1">
      <c r="A5" s="20" t="s">
        <v>88</v>
      </c>
      <c r="B5" s="21" t="s">
        <v>85</v>
      </c>
      <c r="C5" s="7"/>
      <c r="D5" s="22"/>
      <c r="E5" s="20"/>
      <c r="F5" s="23"/>
      <c r="H5" s="24"/>
    </row>
    <row r="6" spans="1:8" s="2" customFormat="1">
      <c r="A6" s="20" t="s">
        <v>89</v>
      </c>
      <c r="B6" s="21" t="s">
        <v>93</v>
      </c>
      <c r="C6" s="7"/>
      <c r="D6" s="22"/>
      <c r="E6" s="20"/>
      <c r="F6" s="23"/>
      <c r="G6" s="24"/>
      <c r="H6" s="24"/>
    </row>
    <row r="7" spans="1:8" s="2" customFormat="1">
      <c r="A7" s="1"/>
      <c r="D7" s="19"/>
      <c r="E7" s="17"/>
      <c r="F7" s="25"/>
    </row>
    <row r="8" spans="1:8" s="2" customFormat="1">
      <c r="A8" s="1"/>
      <c r="B8" s="17"/>
      <c r="C8" s="18"/>
      <c r="D8" s="19"/>
      <c r="E8" s="17"/>
      <c r="F8" s="25"/>
    </row>
    <row r="9" spans="1:8" s="2" customFormat="1">
      <c r="A9" s="15" t="s">
        <v>104</v>
      </c>
      <c r="B9" s="33">
        <v>43465</v>
      </c>
      <c r="C9" s="33">
        <v>43830</v>
      </c>
      <c r="D9" s="33">
        <v>44196</v>
      </c>
      <c r="E9" s="33">
        <v>44561</v>
      </c>
      <c r="F9" s="33">
        <v>44926</v>
      </c>
    </row>
    <row r="10" spans="1:8" s="2" customFormat="1">
      <c r="A10" s="4"/>
      <c r="B10" s="5"/>
      <c r="C10" s="5"/>
      <c r="D10" s="5"/>
      <c r="E10" s="5"/>
      <c r="F10" s="5"/>
    </row>
    <row r="11" spans="1:8" s="1" customFormat="1">
      <c r="A11" s="15" t="s">
        <v>97</v>
      </c>
      <c r="B11" s="15"/>
      <c r="C11" s="15"/>
      <c r="D11" s="15"/>
      <c r="E11" s="15"/>
      <c r="F11" s="15"/>
    </row>
    <row r="12" spans="1:8" s="2" customFormat="1">
      <c r="A12" s="6" t="s">
        <v>16</v>
      </c>
      <c r="B12" s="7">
        <v>316</v>
      </c>
      <c r="C12" s="7">
        <v>225</v>
      </c>
      <c r="D12" s="7">
        <v>877</v>
      </c>
      <c r="E12" s="7">
        <v>1393</v>
      </c>
      <c r="F12" s="7">
        <v>507</v>
      </c>
    </row>
    <row r="13" spans="1:8" s="2" customFormat="1">
      <c r="A13" s="6" t="s">
        <v>76</v>
      </c>
      <c r="B13" s="7">
        <v>2133</v>
      </c>
      <c r="C13" s="7">
        <v>2395</v>
      </c>
      <c r="D13" s="7">
        <v>1768</v>
      </c>
      <c r="E13" s="7">
        <v>1982</v>
      </c>
      <c r="F13" s="7">
        <v>2571</v>
      </c>
    </row>
    <row r="14" spans="1:8" s="2" customFormat="1">
      <c r="A14" s="6" t="s">
        <v>77</v>
      </c>
      <c r="B14" s="7">
        <v>249</v>
      </c>
      <c r="C14" s="7">
        <v>252</v>
      </c>
      <c r="D14" s="7">
        <v>172</v>
      </c>
      <c r="E14" s="7">
        <v>251</v>
      </c>
      <c r="F14" s="7">
        <v>235</v>
      </c>
    </row>
    <row r="15" spans="1:8" s="2" customFormat="1">
      <c r="A15" s="6" t="s">
        <v>17</v>
      </c>
      <c r="B15" s="7">
        <v>8</v>
      </c>
      <c r="C15" s="7">
        <v>255</v>
      </c>
      <c r="D15" s="7">
        <v>8</v>
      </c>
      <c r="E15" s="8" t="s">
        <v>37</v>
      </c>
      <c r="F15" s="8" t="s">
        <v>37</v>
      </c>
    </row>
    <row r="16" spans="1:8" s="2" customFormat="1" ht="20">
      <c r="A16" s="9" t="s">
        <v>39</v>
      </c>
      <c r="B16" s="9">
        <f>SUM(B12:B15)</f>
        <v>2706</v>
      </c>
      <c r="C16" s="9">
        <f>SUM(C12:C15)</f>
        <v>3127</v>
      </c>
      <c r="D16" s="9">
        <f>SUM(D12:D15)</f>
        <v>2825</v>
      </c>
      <c r="E16" s="9">
        <f>SUM(E12:E15)</f>
        <v>3626</v>
      </c>
      <c r="F16" s="9">
        <f>SUM(F12:F15)</f>
        <v>3313</v>
      </c>
    </row>
    <row r="17" spans="1:6" s="2" customFormat="1">
      <c r="A17" s="7"/>
      <c r="B17" s="7"/>
      <c r="C17" s="7"/>
      <c r="D17" s="7"/>
      <c r="E17" s="8"/>
      <c r="F17" s="8"/>
    </row>
    <row r="18" spans="1:6" s="2" customFormat="1" ht="20">
      <c r="A18" s="10" t="s">
        <v>18</v>
      </c>
      <c r="B18" s="9">
        <v>1956</v>
      </c>
      <c r="C18" s="9">
        <v>1904</v>
      </c>
      <c r="D18" s="9">
        <v>1514</v>
      </c>
      <c r="E18" s="9">
        <v>1503</v>
      </c>
      <c r="F18" s="9">
        <v>1585</v>
      </c>
    </row>
    <row r="19" spans="1:6">
      <c r="A19" s="26"/>
      <c r="B19" s="26"/>
      <c r="C19" s="26"/>
      <c r="D19" s="26"/>
      <c r="E19" s="26"/>
      <c r="F19" s="26"/>
    </row>
    <row r="20" spans="1:6" s="2" customFormat="1">
      <c r="A20" s="6" t="s">
        <v>19</v>
      </c>
      <c r="B20" s="7">
        <v>5790</v>
      </c>
      <c r="C20" s="7">
        <v>5954</v>
      </c>
      <c r="D20" s="7">
        <v>6059</v>
      </c>
      <c r="E20" s="7">
        <v>5979</v>
      </c>
      <c r="F20" s="7">
        <v>5812</v>
      </c>
    </row>
    <row r="21" spans="1:6" s="2" customFormat="1">
      <c r="A21" s="6" t="s">
        <v>78</v>
      </c>
      <c r="B21" s="7">
        <v>2590</v>
      </c>
      <c r="C21" s="7">
        <v>2687</v>
      </c>
      <c r="D21" s="7">
        <v>2930</v>
      </c>
      <c r="E21" s="7">
        <v>2947</v>
      </c>
      <c r="F21" s="7">
        <v>2935</v>
      </c>
    </row>
    <row r="22" spans="1:6" s="2" customFormat="1">
      <c r="A22" s="6" t="s">
        <v>20</v>
      </c>
      <c r="B22" s="7">
        <v>9039</v>
      </c>
      <c r="C22" s="7">
        <v>9048</v>
      </c>
      <c r="D22" s="7">
        <v>9175</v>
      </c>
      <c r="E22" s="7">
        <v>9073</v>
      </c>
      <c r="F22" s="7">
        <v>8872</v>
      </c>
    </row>
    <row r="23" spans="1:6" s="2" customFormat="1" ht="20">
      <c r="A23" s="38" t="s">
        <v>94</v>
      </c>
      <c r="B23" s="9">
        <f>SUM(B20:B22)</f>
        <v>17419</v>
      </c>
      <c r="C23" s="9">
        <f>SUM(C20:C22)</f>
        <v>17689</v>
      </c>
      <c r="D23" s="9">
        <f>SUM(D20:D22)</f>
        <v>18164</v>
      </c>
      <c r="E23" s="9">
        <f>SUM(E20:E22)</f>
        <v>17999</v>
      </c>
      <c r="F23" s="9">
        <f>SUM(F20:F22)</f>
        <v>17619</v>
      </c>
    </row>
    <row r="24" spans="1:6" s="2" customFormat="1">
      <c r="A24" s="6"/>
      <c r="B24" s="7"/>
      <c r="C24" s="7"/>
      <c r="D24" s="7"/>
      <c r="E24" s="7"/>
      <c r="F24" s="7"/>
    </row>
    <row r="25" spans="1:6" s="2" customFormat="1">
      <c r="A25" s="6" t="s">
        <v>79</v>
      </c>
      <c r="B25" s="7">
        <v>732</v>
      </c>
      <c r="C25" s="7">
        <v>577</v>
      </c>
      <c r="D25" s="7">
        <v>422</v>
      </c>
      <c r="E25" s="7">
        <v>387</v>
      </c>
      <c r="F25" s="7">
        <v>335</v>
      </c>
    </row>
    <row r="26" spans="1:6" s="2" customFormat="1">
      <c r="A26" s="6" t="s">
        <v>21</v>
      </c>
      <c r="B26" s="7">
        <v>125</v>
      </c>
      <c r="C26" s="7">
        <v>117</v>
      </c>
      <c r="D26" s="7">
        <v>159</v>
      </c>
      <c r="E26" s="7">
        <v>144</v>
      </c>
      <c r="F26" s="7">
        <v>152</v>
      </c>
    </row>
    <row r="27" spans="1:6" s="2" customFormat="1">
      <c r="A27" s="6" t="s">
        <v>22</v>
      </c>
      <c r="B27" s="7">
        <v>171</v>
      </c>
      <c r="C27" s="7">
        <v>154</v>
      </c>
      <c r="D27" s="7">
        <v>249</v>
      </c>
      <c r="E27" s="7">
        <v>228</v>
      </c>
      <c r="F27" s="7">
        <v>240</v>
      </c>
    </row>
    <row r="28" spans="1:6" s="2" customFormat="1">
      <c r="A28" s="6" t="s">
        <v>23</v>
      </c>
      <c r="B28" s="7">
        <v>0</v>
      </c>
      <c r="C28" s="7">
        <v>888</v>
      </c>
      <c r="D28" s="7">
        <v>752</v>
      </c>
      <c r="E28" s="7">
        <v>1062</v>
      </c>
      <c r="F28" s="7">
        <v>987</v>
      </c>
    </row>
    <row r="29" spans="1:6" s="2" customFormat="1">
      <c r="A29" s="6" t="s">
        <v>24</v>
      </c>
      <c r="B29" s="7">
        <v>587</v>
      </c>
      <c r="C29" s="7">
        <v>595</v>
      </c>
      <c r="D29" s="7">
        <v>616</v>
      </c>
      <c r="E29" s="7">
        <v>604</v>
      </c>
      <c r="F29" s="7">
        <v>584</v>
      </c>
    </row>
    <row r="30" spans="1:6" s="2" customFormat="1">
      <c r="A30" s="7"/>
      <c r="B30" s="7"/>
      <c r="C30" s="7"/>
      <c r="D30" s="7"/>
      <c r="E30" s="7"/>
      <c r="F30" s="7"/>
    </row>
    <row r="31" spans="1:6" s="1" customFormat="1" ht="20">
      <c r="A31" s="16" t="s">
        <v>40</v>
      </c>
      <c r="B31" s="16">
        <f>B16+B18+B23+SUM(B25:B29)</f>
        <v>23696</v>
      </c>
      <c r="C31" s="16">
        <f>C16+C18+C23+SUM(C25:C29)</f>
        <v>25051</v>
      </c>
      <c r="D31" s="16">
        <f>D16+D18+D23+SUM(D25:D29)</f>
        <v>24701</v>
      </c>
      <c r="E31" s="16">
        <f>E16+E18+E23+SUM(E25:E29)</f>
        <v>25553</v>
      </c>
      <c r="F31" s="16">
        <f>F16+F18+F23+SUM(F25:F29)</f>
        <v>24815</v>
      </c>
    </row>
    <row r="32" spans="1:6" s="2" customFormat="1">
      <c r="A32" s="7"/>
      <c r="B32" s="7"/>
      <c r="C32" s="7"/>
      <c r="D32" s="7"/>
      <c r="E32" s="7"/>
      <c r="F32" s="7"/>
    </row>
    <row r="33" spans="1:6" s="1" customFormat="1">
      <c r="A33" s="15" t="s">
        <v>25</v>
      </c>
      <c r="B33" s="15"/>
      <c r="C33" s="15"/>
      <c r="D33" s="15"/>
      <c r="E33" s="15"/>
      <c r="F33" s="15"/>
    </row>
    <row r="34" spans="1:6" s="1" customFormat="1">
      <c r="A34" s="15" t="s">
        <v>100</v>
      </c>
      <c r="B34" s="15"/>
      <c r="C34" s="15"/>
      <c r="D34" s="15"/>
      <c r="E34" s="15"/>
      <c r="F34" s="15"/>
    </row>
    <row r="35" spans="1:6" s="2" customFormat="1">
      <c r="A35" s="6" t="s">
        <v>26</v>
      </c>
      <c r="B35" s="7">
        <v>833</v>
      </c>
      <c r="C35" s="7">
        <v>977</v>
      </c>
      <c r="D35" s="7">
        <v>1173</v>
      </c>
      <c r="E35" s="7">
        <v>805</v>
      </c>
      <c r="F35" s="7">
        <v>684</v>
      </c>
    </row>
    <row r="36" spans="1:6" s="2" customFormat="1">
      <c r="A36" s="6" t="s">
        <v>80</v>
      </c>
      <c r="B36" s="7">
        <v>767</v>
      </c>
      <c r="C36" s="7">
        <v>720</v>
      </c>
      <c r="D36" s="7">
        <v>527</v>
      </c>
      <c r="E36" s="7">
        <v>726</v>
      </c>
      <c r="F36" s="7">
        <v>746</v>
      </c>
    </row>
    <row r="37" spans="1:6" s="2" customFormat="1">
      <c r="A37" s="6" t="s">
        <v>27</v>
      </c>
      <c r="B37" s="7">
        <v>1345</v>
      </c>
      <c r="C37" s="7">
        <v>1339</v>
      </c>
      <c r="D37" s="7">
        <v>831</v>
      </c>
      <c r="E37" s="7">
        <v>1187</v>
      </c>
      <c r="F37" s="7">
        <v>1299</v>
      </c>
    </row>
    <row r="38" spans="1:6" s="2" customFormat="1">
      <c r="A38" s="13" t="s">
        <v>28</v>
      </c>
      <c r="B38" s="7">
        <v>2529</v>
      </c>
      <c r="C38" s="7">
        <v>2258</v>
      </c>
      <c r="D38" s="7">
        <v>1769</v>
      </c>
      <c r="E38" s="7">
        <v>2522</v>
      </c>
      <c r="F38" s="7">
        <v>3314</v>
      </c>
    </row>
    <row r="39" spans="1:6" s="2" customFormat="1">
      <c r="A39" s="13" t="s">
        <v>29</v>
      </c>
      <c r="B39" s="7">
        <v>963</v>
      </c>
      <c r="C39" s="7">
        <v>1383</v>
      </c>
      <c r="D39" s="7">
        <v>1452</v>
      </c>
      <c r="E39" s="7">
        <v>1167</v>
      </c>
      <c r="F39" s="7">
        <v>1296</v>
      </c>
    </row>
    <row r="40" spans="1:6" s="2" customFormat="1" ht="20">
      <c r="A40" s="14" t="s">
        <v>74</v>
      </c>
      <c r="B40" s="9">
        <f>SUM(B35:B39)</f>
        <v>6437</v>
      </c>
      <c r="C40" s="9">
        <f>SUM(C35:C39)</f>
        <v>6677</v>
      </c>
      <c r="D40" s="9">
        <f>SUM(D35:D39)</f>
        <v>5752</v>
      </c>
      <c r="E40" s="9">
        <f>SUM(E35:E39)</f>
        <v>6407</v>
      </c>
      <c r="F40" s="9">
        <f>SUM(F35:F39)</f>
        <v>7339</v>
      </c>
    </row>
    <row r="41" spans="1:6" s="2" customFormat="1">
      <c r="A41" s="7"/>
      <c r="B41" s="7"/>
      <c r="C41" s="7"/>
      <c r="D41" s="7"/>
      <c r="E41" s="7"/>
      <c r="F41" s="7"/>
    </row>
    <row r="42" spans="1:6" s="2" customFormat="1">
      <c r="A42" s="6" t="s">
        <v>30</v>
      </c>
      <c r="B42" s="7">
        <v>8514</v>
      </c>
      <c r="C42" s="7">
        <v>9963</v>
      </c>
      <c r="D42" s="7">
        <v>9203</v>
      </c>
      <c r="E42" s="7">
        <v>9333</v>
      </c>
      <c r="F42" s="7">
        <v>9380</v>
      </c>
    </row>
    <row r="43" spans="1:6" s="2" customFormat="1">
      <c r="A43" s="13" t="s">
        <v>28</v>
      </c>
      <c r="B43" s="7">
        <v>2932</v>
      </c>
      <c r="C43" s="7">
        <v>3460</v>
      </c>
      <c r="D43" s="7">
        <v>4502</v>
      </c>
      <c r="E43" s="7">
        <v>3949</v>
      </c>
      <c r="F43" s="7">
        <v>3280</v>
      </c>
    </row>
    <row r="44" spans="1:6" s="2" customFormat="1">
      <c r="A44" s="6" t="s">
        <v>81</v>
      </c>
      <c r="B44" s="7">
        <v>485</v>
      </c>
      <c r="C44" s="7">
        <v>290</v>
      </c>
      <c r="D44" s="7">
        <v>83</v>
      </c>
      <c r="E44" s="7">
        <v>169</v>
      </c>
      <c r="F44" s="7">
        <v>313</v>
      </c>
    </row>
    <row r="45" spans="1:6" s="2" customFormat="1">
      <c r="A45" s="6" t="s">
        <v>31</v>
      </c>
      <c r="B45" s="7">
        <v>731</v>
      </c>
      <c r="C45" s="7">
        <v>840</v>
      </c>
      <c r="D45" s="7">
        <v>1542</v>
      </c>
      <c r="E45" s="7">
        <v>1181</v>
      </c>
      <c r="F45" s="7">
        <v>1059</v>
      </c>
    </row>
    <row r="46" spans="1:6" s="2" customFormat="1">
      <c r="A46" s="6" t="s">
        <v>32</v>
      </c>
      <c r="B46" s="7">
        <v>0</v>
      </c>
      <c r="C46" s="7">
        <v>882</v>
      </c>
      <c r="D46" s="7">
        <v>823</v>
      </c>
      <c r="E46" s="7">
        <v>1098</v>
      </c>
      <c r="F46" s="7">
        <v>1034</v>
      </c>
    </row>
    <row r="47" spans="1:6" s="2" customFormat="1">
      <c r="A47" s="6" t="s">
        <v>82</v>
      </c>
      <c r="B47" s="7">
        <v>2372</v>
      </c>
      <c r="C47" s="7">
        <v>2236</v>
      </c>
      <c r="D47" s="7">
        <v>2366</v>
      </c>
      <c r="E47" s="7">
        <v>2002</v>
      </c>
      <c r="F47" s="7">
        <v>1842</v>
      </c>
    </row>
    <row r="48" spans="1:6" s="29" customFormat="1">
      <c r="A48" s="28"/>
      <c r="B48" s="28"/>
      <c r="C48" s="28"/>
      <c r="D48" s="28"/>
      <c r="E48" s="28"/>
      <c r="F48" s="28"/>
    </row>
    <row r="49" spans="1:6" s="2" customFormat="1">
      <c r="A49" s="15" t="s">
        <v>98</v>
      </c>
      <c r="B49" s="15"/>
      <c r="C49" s="15"/>
      <c r="D49" s="15"/>
      <c r="E49" s="15"/>
      <c r="F49" s="15"/>
    </row>
    <row r="50" spans="1:6" s="2" customFormat="1">
      <c r="A50" s="6" t="s">
        <v>33</v>
      </c>
      <c r="B50" s="7">
        <v>5</v>
      </c>
      <c r="C50" s="7">
        <v>5</v>
      </c>
      <c r="D50" s="7">
        <v>5</v>
      </c>
      <c r="E50" s="7">
        <v>5</v>
      </c>
      <c r="F50" s="7">
        <v>5</v>
      </c>
    </row>
    <row r="51" spans="1:6" s="2" customFormat="1">
      <c r="A51" s="6" t="s">
        <v>34</v>
      </c>
      <c r="B51" s="7">
        <v>5814</v>
      </c>
      <c r="C51" s="7">
        <v>5800</v>
      </c>
      <c r="D51" s="7">
        <v>5851</v>
      </c>
      <c r="E51" s="7">
        <v>5892</v>
      </c>
      <c r="F51" s="7">
        <v>5965</v>
      </c>
    </row>
    <row r="52" spans="1:6" s="2" customFormat="1">
      <c r="A52" s="6" t="s">
        <v>35</v>
      </c>
      <c r="B52" s="7">
        <v>8982</v>
      </c>
      <c r="C52" s="7">
        <v>9644</v>
      </c>
      <c r="D52" s="7">
        <v>9206</v>
      </c>
      <c r="E52" s="7">
        <v>10305</v>
      </c>
      <c r="F52" s="7">
        <v>12342</v>
      </c>
    </row>
    <row r="53" spans="1:6" s="2" customFormat="1">
      <c r="A53" s="6" t="s">
        <v>36</v>
      </c>
      <c r="B53" s="7">
        <v>-12185</v>
      </c>
      <c r="C53" s="7">
        <v>-14385</v>
      </c>
      <c r="D53" s="7">
        <v>-14497</v>
      </c>
      <c r="E53" s="7">
        <v>-14446</v>
      </c>
      <c r="F53" s="7">
        <v>-17015</v>
      </c>
    </row>
    <row r="54" spans="1:6" s="2" customFormat="1">
      <c r="A54" s="6" t="s">
        <v>84</v>
      </c>
      <c r="B54" s="7">
        <v>-391</v>
      </c>
      <c r="C54" s="7">
        <v>-361</v>
      </c>
      <c r="D54" s="7">
        <v>-135</v>
      </c>
      <c r="E54" s="7">
        <v>-342</v>
      </c>
      <c r="F54" s="7">
        <v>-729</v>
      </c>
    </row>
    <row r="55" spans="1:6" s="2" customFormat="1" ht="20">
      <c r="A55" s="9" t="s">
        <v>83</v>
      </c>
      <c r="B55" s="9">
        <f>SUM(B50:B54)</f>
        <v>2225</v>
      </c>
      <c r="C55" s="9">
        <f>SUM(C50:C54)</f>
        <v>703</v>
      </c>
      <c r="D55" s="9">
        <f>SUM(D50:D54)</f>
        <v>430</v>
      </c>
      <c r="E55" s="9">
        <f>SUM(E50:E54)</f>
        <v>1414</v>
      </c>
      <c r="F55" s="9">
        <f>SUM(F50:F54)</f>
        <v>568</v>
      </c>
    </row>
    <row r="56" spans="1:6" s="2" customFormat="1">
      <c r="A56" s="7"/>
      <c r="B56" s="7"/>
      <c r="C56" s="7"/>
      <c r="D56" s="7"/>
      <c r="E56" s="7"/>
      <c r="F56" s="7"/>
    </row>
    <row r="57" spans="1:6" s="1" customFormat="1" ht="20">
      <c r="A57" s="16" t="s">
        <v>99</v>
      </c>
      <c r="B57" s="16">
        <f>B40+B55+SUM(B42:B47)</f>
        <v>23696</v>
      </c>
      <c r="C57" s="16">
        <f>C40+C55+SUM(C42:C47)</f>
        <v>25051</v>
      </c>
      <c r="D57" s="16">
        <f>D40+D55+SUM(D42:D47)</f>
        <v>24701</v>
      </c>
      <c r="E57" s="16">
        <f>E40+E55+SUM(E42:E47)</f>
        <v>25553</v>
      </c>
      <c r="F57" s="16">
        <f>F40+F55+SUM(F42:F47)</f>
        <v>24815</v>
      </c>
    </row>
    <row r="58" spans="1:6" s="2" customFormat="1"/>
    <row r="59" spans="1:6" s="2" customFormat="1"/>
    <row r="60" spans="1:6" s="2" customFormat="1"/>
    <row r="61" spans="1:6" s="2" customFormat="1"/>
    <row r="62" spans="1:6" s="2" customFormat="1"/>
    <row r="63" spans="1:6" s="2" customFormat="1"/>
    <row r="64" spans="1:6" s="2" customFormat="1">
      <c r="A64" s="677" t="s">
        <v>96</v>
      </c>
      <c r="B64" s="677"/>
      <c r="C64" s="677"/>
      <c r="D64" s="677"/>
      <c r="E64" s="677"/>
      <c r="F64" s="677"/>
    </row>
    <row r="65" spans="1:7" s="2" customFormat="1" ht="17" customHeight="1">
      <c r="A65" s="678">
        <v>1</v>
      </c>
      <c r="B65" s="676" t="s">
        <v>101</v>
      </c>
      <c r="C65" s="676"/>
      <c r="D65" s="676"/>
      <c r="E65" s="676"/>
      <c r="F65" s="676"/>
      <c r="G65" s="30"/>
    </row>
    <row r="66" spans="1:7">
      <c r="A66" s="678"/>
      <c r="B66" s="676"/>
      <c r="C66" s="676"/>
      <c r="D66" s="676"/>
      <c r="E66" s="676"/>
      <c r="F66" s="676"/>
      <c r="G66" s="30"/>
    </row>
    <row r="67" spans="1:7">
      <c r="A67" s="678"/>
      <c r="B67" s="676"/>
      <c r="C67" s="676"/>
      <c r="D67" s="676"/>
      <c r="E67" s="676"/>
      <c r="F67" s="676"/>
      <c r="G67" s="30"/>
    </row>
    <row r="68" spans="1:7">
      <c r="A68" s="678"/>
      <c r="B68" s="676"/>
      <c r="C68" s="676"/>
      <c r="D68" s="676"/>
      <c r="E68" s="676"/>
      <c r="F68" s="676"/>
      <c r="G68" s="30"/>
    </row>
    <row r="69" spans="1:7">
      <c r="B69" s="31"/>
      <c r="C69" s="31"/>
      <c r="D69" s="31"/>
      <c r="E69" s="31"/>
      <c r="F69" s="31"/>
      <c r="G69" s="30"/>
    </row>
    <row r="70" spans="1:7">
      <c r="B70" s="31"/>
      <c r="C70" s="31"/>
      <c r="D70" s="31"/>
      <c r="E70" s="31"/>
      <c r="F70" s="31"/>
      <c r="G70" s="30"/>
    </row>
    <row r="71" spans="1:7">
      <c r="B71" s="31"/>
      <c r="C71" s="31"/>
      <c r="D71" s="31"/>
      <c r="E71" s="31"/>
      <c r="F71" s="31"/>
      <c r="G71" s="30"/>
    </row>
    <row r="72" spans="1:7">
      <c r="B72" s="31"/>
      <c r="C72" s="31"/>
      <c r="D72" s="31"/>
      <c r="E72" s="31"/>
      <c r="F72" s="31"/>
      <c r="G72" s="30"/>
    </row>
    <row r="73" spans="1:7">
      <c r="B73" s="31"/>
      <c r="C73" s="31"/>
      <c r="D73" s="31"/>
      <c r="E73" s="31"/>
      <c r="F73" s="31"/>
      <c r="G73" s="30"/>
    </row>
  </sheetData>
  <mergeCells count="5">
    <mergeCell ref="A1:F1"/>
    <mergeCell ref="B65:F68"/>
    <mergeCell ref="A64:F64"/>
    <mergeCell ref="A3:F3"/>
    <mergeCell ref="A65:A68"/>
  </mergeCells>
  <hyperlinks>
    <hyperlink ref="E4" r:id="rId1" xr:uid="{ADD29F95-2B4C-A749-8AC8-84ACED4F664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1929-0ECF-0E4B-B218-6FE9184BF92A}">
  <sheetPr codeName="Sheet3">
    <tabColor theme="9" tint="0.79998168889431442"/>
  </sheetPr>
  <dimension ref="A1:H43"/>
  <sheetViews>
    <sheetView workbookViewId="0">
      <pane xSplit="1" topLeftCell="B1" activePane="topRight" state="frozen"/>
      <selection pane="topRight" activeCell="F31" sqref="F31"/>
    </sheetView>
  </sheetViews>
  <sheetFormatPr baseColWidth="10" defaultColWidth="10.83203125" defaultRowHeight="16"/>
  <cols>
    <col min="1" max="1" width="39" style="35" bestFit="1" customWidth="1"/>
    <col min="2" max="6" width="23.33203125" style="35" customWidth="1"/>
    <col min="7" max="16384" width="10.83203125" style="35"/>
  </cols>
  <sheetData>
    <row r="1" spans="1:8" ht="25">
      <c r="A1" s="661" t="s">
        <v>113</v>
      </c>
      <c r="B1" s="661"/>
      <c r="C1" s="661"/>
      <c r="D1" s="661"/>
      <c r="E1" s="661"/>
      <c r="F1" s="661"/>
    </row>
    <row r="2" spans="1:8" ht="17">
      <c r="A2" s="1"/>
    </row>
    <row r="3" spans="1:8" s="2" customFormat="1" ht="17">
      <c r="A3" s="662" t="s">
        <v>95</v>
      </c>
      <c r="B3" s="662"/>
      <c r="C3" s="662"/>
      <c r="D3" s="662"/>
      <c r="E3" s="662"/>
      <c r="F3" s="662"/>
    </row>
    <row r="4" spans="1:8" s="2" customFormat="1" ht="17">
      <c r="A4" s="20" t="s">
        <v>86</v>
      </c>
      <c r="B4" s="21" t="s">
        <v>87</v>
      </c>
      <c r="C4" s="7"/>
      <c r="D4" s="20" t="s">
        <v>102</v>
      </c>
      <c r="E4" s="23" t="s">
        <v>91</v>
      </c>
      <c r="F4" s="7"/>
    </row>
    <row r="5" spans="1:8" s="2" customFormat="1" ht="17">
      <c r="A5" s="20" t="s">
        <v>88</v>
      </c>
      <c r="B5" s="21" t="s">
        <v>85</v>
      </c>
      <c r="C5" s="7"/>
      <c r="D5" s="22"/>
      <c r="E5" s="20"/>
      <c r="F5" s="23"/>
      <c r="H5" s="24"/>
    </row>
    <row r="6" spans="1:8" s="2" customFormat="1" ht="17">
      <c r="A6" s="20" t="s">
        <v>89</v>
      </c>
      <c r="B6" s="21" t="s">
        <v>93</v>
      </c>
      <c r="C6" s="7"/>
      <c r="D6" s="22"/>
      <c r="E6" s="20"/>
      <c r="F6" s="23"/>
      <c r="G6" s="24"/>
      <c r="H6" s="24"/>
    </row>
    <row r="7" spans="1:8" ht="17">
      <c r="A7" s="1"/>
    </row>
    <row r="8" spans="1:8" s="2" customFormat="1" ht="17">
      <c r="A8" s="15" t="s">
        <v>105</v>
      </c>
      <c r="B8" s="33">
        <v>43465</v>
      </c>
      <c r="C8" s="33">
        <v>43830</v>
      </c>
      <c r="D8" s="33">
        <v>44196</v>
      </c>
      <c r="E8" s="33">
        <v>44561</v>
      </c>
      <c r="F8" s="33">
        <v>44926</v>
      </c>
    </row>
    <row r="9" spans="1:8" s="2" customFormat="1" ht="17">
      <c r="A9" s="7"/>
      <c r="B9" s="7"/>
      <c r="C9" s="7"/>
      <c r="D9" s="7"/>
      <c r="E9" s="7"/>
      <c r="F9" s="7"/>
    </row>
    <row r="10" spans="1:8" s="2" customFormat="1" ht="17">
      <c r="A10" s="15" t="s">
        <v>109</v>
      </c>
      <c r="B10" s="15"/>
      <c r="C10" s="15"/>
      <c r="D10" s="15"/>
      <c r="E10" s="15"/>
      <c r="F10" s="15"/>
    </row>
    <row r="11" spans="1:8" s="2" customFormat="1" ht="17">
      <c r="A11" s="6" t="s">
        <v>103</v>
      </c>
      <c r="B11" s="7">
        <v>1140</v>
      </c>
      <c r="C11" s="7">
        <v>1180</v>
      </c>
      <c r="D11" s="7">
        <v>443</v>
      </c>
      <c r="E11" s="7">
        <v>669</v>
      </c>
      <c r="F11" s="7">
        <v>1044</v>
      </c>
    </row>
    <row r="12" spans="1:8" s="2" customFormat="1" ht="17">
      <c r="A12" s="6" t="s">
        <v>0</v>
      </c>
      <c r="B12" s="7">
        <v>1849</v>
      </c>
      <c r="C12" s="7">
        <v>2006</v>
      </c>
      <c r="D12" s="7">
        <v>1153</v>
      </c>
      <c r="E12" s="7">
        <v>1790</v>
      </c>
      <c r="F12" s="7">
        <v>2505</v>
      </c>
    </row>
    <row r="13" spans="1:8" s="2" customFormat="1" ht="17">
      <c r="A13" s="6" t="s">
        <v>1</v>
      </c>
      <c r="B13" s="7">
        <v>649</v>
      </c>
      <c r="C13" s="7">
        <v>637</v>
      </c>
      <c r="D13" s="7">
        <v>87</v>
      </c>
      <c r="E13" s="7">
        <v>235</v>
      </c>
      <c r="F13" s="7">
        <v>529</v>
      </c>
    </row>
    <row r="14" spans="1:8" s="2" customFormat="1" ht="20">
      <c r="A14" s="10" t="s">
        <v>2</v>
      </c>
      <c r="B14" s="9">
        <f>SUM(B11:B13)</f>
        <v>3638</v>
      </c>
      <c r="C14" s="9">
        <f>SUM(C11:C13)</f>
        <v>3823</v>
      </c>
      <c r="D14" s="9">
        <f>SUM(D11:D13)</f>
        <v>1683</v>
      </c>
      <c r="E14" s="9">
        <f>SUM(E11:E13)</f>
        <v>2694</v>
      </c>
      <c r="F14" s="9">
        <f>SUM(F11:F13)</f>
        <v>4078</v>
      </c>
    </row>
    <row r="15" spans="1:8" s="2" customFormat="1" ht="17">
      <c r="A15" s="6" t="s">
        <v>3</v>
      </c>
      <c r="B15" s="7">
        <v>-58</v>
      </c>
      <c r="C15" s="7">
        <v>-62</v>
      </c>
      <c r="D15" s="7">
        <v>-132</v>
      </c>
      <c r="E15" s="7">
        <v>-75</v>
      </c>
      <c r="F15" s="7">
        <v>-89</v>
      </c>
    </row>
    <row r="16" spans="1:8" s="2" customFormat="1" ht="20">
      <c r="A16" s="10" t="s">
        <v>4</v>
      </c>
      <c r="B16" s="9">
        <f>B14+B15</f>
        <v>3580</v>
      </c>
      <c r="C16" s="9">
        <f>C14+C15</f>
        <v>3761</v>
      </c>
      <c r="D16" s="9">
        <f>D14+D15</f>
        <v>1551</v>
      </c>
      <c r="E16" s="9">
        <f>E14+E15</f>
        <v>2619</v>
      </c>
      <c r="F16" s="9">
        <f>F14+F15</f>
        <v>3989</v>
      </c>
    </row>
    <row r="17" spans="1:6" s="2" customFormat="1" ht="17">
      <c r="A17" s="6" t="s">
        <v>5</v>
      </c>
      <c r="B17" s="7">
        <v>1635</v>
      </c>
      <c r="C17" s="7">
        <v>1612</v>
      </c>
      <c r="D17" s="7">
        <v>568</v>
      </c>
      <c r="E17" s="7">
        <v>796</v>
      </c>
      <c r="F17" s="7">
        <v>1367</v>
      </c>
    </row>
    <row r="18" spans="1:6" s="2" customFormat="1" ht="17">
      <c r="A18" s="6" t="s">
        <v>6</v>
      </c>
      <c r="B18" s="7">
        <v>15543</v>
      </c>
      <c r="C18" s="7">
        <v>15599</v>
      </c>
      <c r="D18" s="7">
        <v>8452</v>
      </c>
      <c r="E18" s="7">
        <v>10442</v>
      </c>
      <c r="F18" s="7">
        <v>15417</v>
      </c>
    </row>
    <row r="19" spans="1:6" s="2" customFormat="1" ht="20">
      <c r="A19" s="36" t="s">
        <v>106</v>
      </c>
      <c r="B19" s="36">
        <f>SUM(B16:B18)</f>
        <v>20758</v>
      </c>
      <c r="C19" s="36">
        <f>SUM(C16:C18)</f>
        <v>20972</v>
      </c>
      <c r="D19" s="36">
        <f>SUM(D16:D18)</f>
        <v>10571</v>
      </c>
      <c r="E19" s="36">
        <f>SUM(E16:E18)</f>
        <v>13857</v>
      </c>
      <c r="F19" s="36">
        <f>SUM(F16:F18)</f>
        <v>20773</v>
      </c>
    </row>
    <row r="20" spans="1:6" s="2" customFormat="1" ht="17">
      <c r="A20" s="7"/>
      <c r="B20" s="7"/>
      <c r="C20" s="7"/>
      <c r="D20" s="7"/>
      <c r="E20" s="7"/>
      <c r="F20" s="7"/>
    </row>
    <row r="21" spans="1:6" s="2" customFormat="1" ht="17">
      <c r="A21" s="15" t="s">
        <v>145</v>
      </c>
      <c r="B21" s="32"/>
      <c r="C21" s="32"/>
      <c r="D21" s="32"/>
      <c r="E21" s="32"/>
      <c r="F21" s="32"/>
    </row>
    <row r="22" spans="1:6" s="2" customFormat="1" ht="17">
      <c r="A22" s="6" t="s">
        <v>7</v>
      </c>
      <c r="B22" s="7">
        <v>-1306</v>
      </c>
      <c r="C22" s="7">
        <v>-1316</v>
      </c>
      <c r="D22" s="7">
        <v>-677</v>
      </c>
      <c r="E22" s="7">
        <v>-734</v>
      </c>
      <c r="F22" s="7">
        <v>-1074</v>
      </c>
    </row>
    <row r="23" spans="1:6" s="2" customFormat="1" ht="17">
      <c r="A23" s="6" t="s">
        <v>41</v>
      </c>
      <c r="B23" s="7">
        <v>-226</v>
      </c>
      <c r="C23" s="7">
        <v>-341</v>
      </c>
      <c r="D23" s="7">
        <v>-346</v>
      </c>
      <c r="E23" s="7">
        <v>-220</v>
      </c>
      <c r="F23" s="7">
        <v>-193</v>
      </c>
    </row>
    <row r="24" spans="1:6" s="2" customFormat="1" ht="17">
      <c r="A24" s="6" t="s">
        <v>9</v>
      </c>
      <c r="B24" s="7">
        <v>-927</v>
      </c>
      <c r="C24" s="7">
        <v>-938</v>
      </c>
      <c r="D24" s="7">
        <v>-762</v>
      </c>
      <c r="E24" s="7">
        <v>-823</v>
      </c>
      <c r="F24" s="7">
        <v>-891</v>
      </c>
    </row>
    <row r="25" spans="1:6" s="2" customFormat="1" ht="17">
      <c r="A25" s="6" t="s">
        <v>8</v>
      </c>
      <c r="B25" s="7">
        <v>-155</v>
      </c>
      <c r="C25" s="7">
        <v>-138</v>
      </c>
      <c r="D25" s="7">
        <v>-267</v>
      </c>
      <c r="E25" s="7">
        <v>-8</v>
      </c>
      <c r="F25" s="7">
        <v>-12</v>
      </c>
    </row>
    <row r="26" spans="1:6" s="2" customFormat="1" ht="17">
      <c r="A26" s="6" t="s">
        <v>10</v>
      </c>
      <c r="B26" s="7">
        <v>-15778</v>
      </c>
      <c r="C26" s="7">
        <v>-16439</v>
      </c>
      <c r="D26" s="7">
        <v>-8435</v>
      </c>
      <c r="E26" s="7">
        <v>-10322</v>
      </c>
      <c r="F26" s="7">
        <v>-15141</v>
      </c>
    </row>
    <row r="27" spans="1:6" s="2" customFormat="1" ht="20">
      <c r="A27" s="36" t="s">
        <v>107</v>
      </c>
      <c r="B27" s="36">
        <f>SUM(B22:B26)</f>
        <v>-18392</v>
      </c>
      <c r="C27" s="36">
        <f>SUM(C22:C26)</f>
        <v>-19172</v>
      </c>
      <c r="D27" s="36">
        <f>SUM(D22:D26)</f>
        <v>-10487</v>
      </c>
      <c r="E27" s="36">
        <f>SUM(E22:E26)</f>
        <v>-12107</v>
      </c>
      <c r="F27" s="36">
        <f>SUM(F22:F26)</f>
        <v>-17311</v>
      </c>
    </row>
    <row r="28" spans="1:6" s="2" customFormat="1" ht="17">
      <c r="A28" s="7"/>
      <c r="B28" s="7"/>
      <c r="C28" s="7"/>
      <c r="D28" s="7"/>
      <c r="E28" s="7"/>
      <c r="F28" s="7"/>
    </row>
    <row r="29" spans="1:6" s="2" customFormat="1" ht="17">
      <c r="A29" s="6" t="s">
        <v>12</v>
      </c>
      <c r="B29" s="7">
        <v>194</v>
      </c>
      <c r="C29" s="7">
        <v>154</v>
      </c>
      <c r="D29" s="7">
        <v>9</v>
      </c>
      <c r="E29" s="7">
        <v>10</v>
      </c>
      <c r="F29" s="7">
        <v>11</v>
      </c>
    </row>
    <row r="30" spans="1:6" s="2" customFormat="1" ht="17">
      <c r="A30" s="6" t="s">
        <v>38</v>
      </c>
      <c r="B30" s="8" t="s">
        <v>37</v>
      </c>
      <c r="C30" s="8" t="s">
        <v>37</v>
      </c>
      <c r="D30" s="8" t="s">
        <v>37</v>
      </c>
      <c r="E30" s="8">
        <v>-164</v>
      </c>
      <c r="F30" s="8" t="s">
        <v>37</v>
      </c>
    </row>
    <row r="31" spans="1:6" s="2" customFormat="1" ht="17">
      <c r="A31" s="6" t="s">
        <v>13</v>
      </c>
      <c r="B31" s="7">
        <v>-340</v>
      </c>
      <c r="C31" s="7">
        <v>-394</v>
      </c>
      <c r="D31" s="7">
        <v>-445</v>
      </c>
      <c r="E31" s="7">
        <v>-420</v>
      </c>
      <c r="F31" s="7">
        <v>-403</v>
      </c>
    </row>
    <row r="32" spans="1:6" s="2" customFormat="1" ht="17">
      <c r="A32" s="6" t="s">
        <v>14</v>
      </c>
      <c r="B32" s="7">
        <v>22</v>
      </c>
      <c r="C32" s="7">
        <v>26</v>
      </c>
      <c r="D32" s="7">
        <v>27</v>
      </c>
      <c r="E32" s="7">
        <v>28</v>
      </c>
      <c r="F32" s="7">
        <v>26</v>
      </c>
    </row>
    <row r="33" spans="1:6" s="2" customFormat="1" ht="17">
      <c r="A33" s="6" t="s">
        <v>15</v>
      </c>
      <c r="B33" s="7">
        <v>103</v>
      </c>
      <c r="C33" s="7">
        <v>13</v>
      </c>
      <c r="D33" s="7">
        <v>-141</v>
      </c>
      <c r="E33" s="7">
        <v>-24</v>
      </c>
      <c r="F33" s="7">
        <v>18</v>
      </c>
    </row>
    <row r="34" spans="1:6" s="2" customFormat="1" ht="20">
      <c r="A34" s="9" t="s">
        <v>110</v>
      </c>
      <c r="B34" s="9">
        <f>SUM(B29:B33)+B19+B27</f>
        <v>2345</v>
      </c>
      <c r="C34" s="9">
        <f>SUM(C29:C33)+C19+C27</f>
        <v>1599</v>
      </c>
      <c r="D34" s="9">
        <f>SUM(D29:D33)+D19+D27</f>
        <v>-466</v>
      </c>
      <c r="E34" s="9">
        <f>SUM(E29:E33)+E19+E27</f>
        <v>1180</v>
      </c>
      <c r="F34" s="9">
        <f>SUM(F29:F33)+F19+F27</f>
        <v>3114</v>
      </c>
    </row>
    <row r="35" spans="1:6" s="2" customFormat="1" ht="17">
      <c r="A35" s="6" t="s">
        <v>11</v>
      </c>
      <c r="B35" s="7">
        <v>-438</v>
      </c>
      <c r="C35" s="7">
        <v>-326</v>
      </c>
      <c r="D35" s="7">
        <v>199</v>
      </c>
      <c r="E35" s="7">
        <v>-81</v>
      </c>
      <c r="F35" s="7">
        <v>-756</v>
      </c>
    </row>
    <row r="36" spans="1:6" s="2" customFormat="1" ht="20">
      <c r="A36" s="16" t="s">
        <v>108</v>
      </c>
      <c r="B36" s="16">
        <f>SUM(B34:B35)</f>
        <v>1907</v>
      </c>
      <c r="C36" s="16">
        <f>SUM(C34:C35)</f>
        <v>1273</v>
      </c>
      <c r="D36" s="16">
        <f>SUM(D34:D35)</f>
        <v>-267</v>
      </c>
      <c r="E36" s="16">
        <f>SUM(E34:E35)</f>
        <v>1099</v>
      </c>
      <c r="F36" s="16">
        <f>SUM(F34:F35)</f>
        <v>2358</v>
      </c>
    </row>
    <row r="39" spans="1:6" ht="17">
      <c r="A39" s="677" t="s">
        <v>96</v>
      </c>
      <c r="B39" s="677"/>
      <c r="C39" s="677"/>
      <c r="D39" s="677"/>
      <c r="E39" s="677"/>
      <c r="F39" s="677"/>
    </row>
    <row r="40" spans="1:6" ht="16" customHeight="1">
      <c r="A40" s="678">
        <v>1</v>
      </c>
      <c r="B40" s="676" t="s">
        <v>111</v>
      </c>
      <c r="C40" s="676"/>
      <c r="D40" s="676"/>
      <c r="E40" s="676"/>
      <c r="F40" s="676"/>
    </row>
    <row r="41" spans="1:6" ht="16" customHeight="1">
      <c r="A41" s="678"/>
      <c r="B41" s="676"/>
      <c r="C41" s="676"/>
      <c r="D41" s="676"/>
      <c r="E41" s="676"/>
      <c r="F41" s="676"/>
    </row>
    <row r="42" spans="1:6" ht="16" customHeight="1">
      <c r="A42" s="678"/>
      <c r="B42" s="676"/>
      <c r="C42" s="676"/>
      <c r="D42" s="676"/>
      <c r="E42" s="676"/>
      <c r="F42" s="676"/>
    </row>
    <row r="43" spans="1:6" ht="17" customHeight="1">
      <c r="A43" s="678"/>
      <c r="B43" s="676"/>
      <c r="C43" s="676"/>
      <c r="D43" s="676"/>
      <c r="E43" s="676"/>
      <c r="F43" s="676"/>
    </row>
  </sheetData>
  <mergeCells count="5">
    <mergeCell ref="A3:F3"/>
    <mergeCell ref="A1:F1"/>
    <mergeCell ref="A39:F39"/>
    <mergeCell ref="B40:F43"/>
    <mergeCell ref="A40:A43"/>
  </mergeCells>
  <hyperlinks>
    <hyperlink ref="E4" r:id="rId1" xr:uid="{8DCCE71E-9145-6744-9CDF-36F21CB70A9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EBA4-A965-9A46-A88A-4DF3EBE3A30B}">
  <sheetPr codeName="Sheet4">
    <tabColor theme="9" tint="0.79998168889431442"/>
  </sheetPr>
  <dimension ref="A1:H47"/>
  <sheetViews>
    <sheetView workbookViewId="0">
      <pane xSplit="1" topLeftCell="B1" activePane="topRight" state="frozen"/>
      <selection pane="topRight" activeCell="A39" sqref="A39"/>
    </sheetView>
  </sheetViews>
  <sheetFormatPr baseColWidth="10" defaultColWidth="10.83203125" defaultRowHeight="17"/>
  <cols>
    <col min="1" max="1" width="59.33203125" style="27" bestFit="1" customWidth="1"/>
    <col min="2" max="6" width="23.33203125" style="27" customWidth="1"/>
    <col min="7" max="16384" width="10.83203125" style="27"/>
  </cols>
  <sheetData>
    <row r="1" spans="1:8" s="2" customFormat="1" ht="25">
      <c r="A1" s="661" t="s">
        <v>112</v>
      </c>
      <c r="B1" s="661"/>
      <c r="C1" s="661"/>
      <c r="D1" s="661"/>
      <c r="E1" s="661"/>
      <c r="F1" s="661"/>
    </row>
    <row r="2" spans="1:8" s="2" customFormat="1">
      <c r="A2" s="1"/>
      <c r="B2" s="17"/>
      <c r="C2" s="18"/>
      <c r="D2" s="19"/>
      <c r="E2" s="17"/>
      <c r="F2" s="18"/>
    </row>
    <row r="3" spans="1:8" s="2" customFormat="1">
      <c r="A3" s="662" t="s">
        <v>95</v>
      </c>
      <c r="B3" s="662"/>
      <c r="C3" s="662"/>
      <c r="D3" s="662"/>
      <c r="E3" s="662"/>
      <c r="F3" s="662"/>
    </row>
    <row r="4" spans="1:8" s="2" customFormat="1">
      <c r="A4" s="20" t="s">
        <v>86</v>
      </c>
      <c r="B4" s="21" t="s">
        <v>87</v>
      </c>
      <c r="C4" s="7"/>
      <c r="D4" s="20" t="s">
        <v>102</v>
      </c>
      <c r="E4" s="23" t="s">
        <v>91</v>
      </c>
      <c r="F4" s="7"/>
    </row>
    <row r="5" spans="1:8" s="2" customFormat="1">
      <c r="A5" s="20" t="s">
        <v>88</v>
      </c>
      <c r="B5" s="21" t="s">
        <v>85</v>
      </c>
      <c r="C5" s="7"/>
      <c r="D5" s="22"/>
      <c r="E5" s="20"/>
      <c r="F5" s="23"/>
      <c r="H5" s="24"/>
    </row>
    <row r="6" spans="1:8" s="2" customFormat="1">
      <c r="A6" s="20" t="s">
        <v>89</v>
      </c>
      <c r="B6" s="21" t="s">
        <v>93</v>
      </c>
      <c r="C6" s="7"/>
      <c r="D6" s="22"/>
      <c r="E6" s="20"/>
      <c r="F6" s="23"/>
      <c r="G6" s="24"/>
      <c r="H6" s="24"/>
    </row>
    <row r="7" spans="1:8" s="2" customFormat="1">
      <c r="A7" s="17"/>
      <c r="B7" s="18"/>
      <c r="D7" s="19"/>
      <c r="E7" s="17"/>
      <c r="F7" s="24"/>
      <c r="G7" s="24"/>
      <c r="H7" s="24"/>
    </row>
    <row r="8" spans="1:8">
      <c r="A8" s="15" t="s">
        <v>105</v>
      </c>
      <c r="B8" s="33">
        <v>43465</v>
      </c>
      <c r="C8" s="33">
        <v>43830</v>
      </c>
      <c r="D8" s="33">
        <v>44196</v>
      </c>
      <c r="E8" s="33">
        <v>44561</v>
      </c>
      <c r="F8" s="33">
        <v>44926</v>
      </c>
    </row>
    <row r="9" spans="1:8">
      <c r="A9" s="4"/>
      <c r="B9" s="34"/>
      <c r="C9" s="34"/>
      <c r="D9" s="34"/>
      <c r="E9" s="34"/>
      <c r="F9" s="34"/>
    </row>
    <row r="10" spans="1:8">
      <c r="A10" s="46" t="s">
        <v>42</v>
      </c>
      <c r="B10" s="47"/>
      <c r="C10" s="47"/>
      <c r="D10" s="47"/>
      <c r="E10" s="47"/>
      <c r="F10" s="47"/>
    </row>
    <row r="11" spans="1:8">
      <c r="A11" s="26" t="s">
        <v>43</v>
      </c>
      <c r="B11" s="7">
        <f>ISori!B36</f>
        <v>1907</v>
      </c>
      <c r="C11" s="7">
        <f>ISori!C36</f>
        <v>1273</v>
      </c>
      <c r="D11" s="7">
        <f>ISori!D36</f>
        <v>-267</v>
      </c>
      <c r="E11" s="7">
        <f>ISori!E36</f>
        <v>1099</v>
      </c>
      <c r="F11" s="7">
        <f>ISori!F36</f>
        <v>2358</v>
      </c>
    </row>
    <row r="12" spans="1:8">
      <c r="A12" s="26" t="s">
        <v>44</v>
      </c>
      <c r="B12" s="7"/>
      <c r="C12" s="7"/>
      <c r="D12" s="7"/>
      <c r="E12" s="7"/>
      <c r="F12" s="7"/>
    </row>
    <row r="13" spans="1:8">
      <c r="A13" s="26" t="s">
        <v>45</v>
      </c>
      <c r="B13" s="7">
        <v>284</v>
      </c>
      <c r="C13" s="7">
        <v>403</v>
      </c>
      <c r="D13" s="7">
        <v>478</v>
      </c>
      <c r="E13" s="7">
        <v>295</v>
      </c>
      <c r="F13" s="7">
        <v>282</v>
      </c>
    </row>
    <row r="14" spans="1:8">
      <c r="A14" s="26" t="s">
        <v>46</v>
      </c>
      <c r="B14" s="7">
        <v>184</v>
      </c>
      <c r="C14" s="7">
        <v>187</v>
      </c>
      <c r="D14" s="7">
        <v>201</v>
      </c>
      <c r="E14" s="7">
        <v>182</v>
      </c>
      <c r="F14" s="7">
        <v>192</v>
      </c>
    </row>
    <row r="15" spans="1:8">
      <c r="A15" s="26" t="s">
        <v>47</v>
      </c>
      <c r="B15" s="7">
        <v>-239</v>
      </c>
      <c r="C15" s="7">
        <v>-200</v>
      </c>
      <c r="D15" s="7">
        <v>-478</v>
      </c>
      <c r="E15" s="7">
        <v>-281</v>
      </c>
      <c r="F15" s="7">
        <v>280</v>
      </c>
    </row>
    <row r="16" spans="1:8">
      <c r="A16" s="26" t="s">
        <v>28</v>
      </c>
      <c r="B16" s="7">
        <v>520</v>
      </c>
      <c r="C16" s="7">
        <v>257</v>
      </c>
      <c r="D16" s="7">
        <v>535</v>
      </c>
      <c r="E16" s="7">
        <v>-28</v>
      </c>
      <c r="F16" s="7">
        <v>-119</v>
      </c>
    </row>
    <row r="17" spans="1:6">
      <c r="A17" s="26" t="s">
        <v>48</v>
      </c>
      <c r="B17" s="7">
        <v>-152</v>
      </c>
      <c r="C17" s="7">
        <v>-195</v>
      </c>
      <c r="D17" s="7">
        <v>-142</v>
      </c>
      <c r="E17" s="7">
        <v>-210</v>
      </c>
      <c r="F17" s="7">
        <v>-149</v>
      </c>
    </row>
    <row r="18" spans="1:6">
      <c r="A18" s="26" t="s">
        <v>49</v>
      </c>
      <c r="B18" s="7">
        <v>16</v>
      </c>
      <c r="C18" s="7">
        <v>86</v>
      </c>
      <c r="D18" s="7">
        <v>200</v>
      </c>
      <c r="E18" s="7">
        <v>-10</v>
      </c>
      <c r="F18" s="7">
        <v>-8</v>
      </c>
    </row>
    <row r="19" spans="1:6">
      <c r="A19" s="26" t="s">
        <v>50</v>
      </c>
      <c r="B19" s="7">
        <v>-76</v>
      </c>
      <c r="C19" s="7">
        <v>-273</v>
      </c>
      <c r="D19" s="7">
        <v>-28</v>
      </c>
      <c r="E19" s="7">
        <v>110</v>
      </c>
      <c r="F19" s="7">
        <v>-542</v>
      </c>
    </row>
    <row r="20" spans="1:6">
      <c r="A20" s="26" t="s">
        <v>377</v>
      </c>
      <c r="B20" s="7">
        <v>0</v>
      </c>
      <c r="C20" s="7">
        <v>0</v>
      </c>
      <c r="D20" s="7">
        <v>0</v>
      </c>
      <c r="E20" s="7">
        <v>164</v>
      </c>
      <c r="F20" s="7">
        <v>0</v>
      </c>
    </row>
    <row r="21" spans="1:6">
      <c r="A21" s="26" t="s">
        <v>51</v>
      </c>
      <c r="B21" s="7">
        <v>-194</v>
      </c>
      <c r="C21" s="7">
        <v>-147</v>
      </c>
      <c r="D21" s="7">
        <v>3</v>
      </c>
      <c r="E21" s="7">
        <v>-3</v>
      </c>
      <c r="F21" s="8">
        <v>0</v>
      </c>
    </row>
    <row r="22" spans="1:6">
      <c r="A22" s="26" t="s">
        <v>52</v>
      </c>
      <c r="B22" s="7">
        <v>107</v>
      </c>
      <c r="C22" s="7">
        <v>294</v>
      </c>
      <c r="D22" s="7">
        <v>1137</v>
      </c>
      <c r="E22" s="7">
        <v>-141</v>
      </c>
      <c r="F22" s="7">
        <v>69</v>
      </c>
    </row>
    <row r="23" spans="1:6">
      <c r="A23" s="44" t="s">
        <v>53</v>
      </c>
      <c r="B23" s="45">
        <f>SUM(B11:B22)</f>
        <v>2357</v>
      </c>
      <c r="C23" s="45">
        <f>SUM(C11:C22)</f>
        <v>1685</v>
      </c>
      <c r="D23" s="45">
        <f>SUM(D11:D22)</f>
        <v>1639</v>
      </c>
      <c r="E23" s="45">
        <f>SUM(E11:E22)</f>
        <v>1177</v>
      </c>
      <c r="F23" s="45">
        <f>SUM(F11:F22)</f>
        <v>2363</v>
      </c>
    </row>
    <row r="24" spans="1:6">
      <c r="A24" s="26"/>
      <c r="B24" s="7"/>
      <c r="C24" s="7"/>
      <c r="D24" s="7"/>
      <c r="E24" s="7"/>
      <c r="F24" s="7"/>
    </row>
    <row r="25" spans="1:6">
      <c r="A25" s="46" t="s">
        <v>54</v>
      </c>
      <c r="B25" s="32"/>
      <c r="C25" s="32"/>
      <c r="D25" s="32"/>
      <c r="E25" s="32"/>
      <c r="F25" s="32"/>
    </row>
    <row r="26" spans="1:6">
      <c r="A26" s="26" t="s">
        <v>55</v>
      </c>
      <c r="B26" s="7">
        <v>-556</v>
      </c>
      <c r="C26" s="7">
        <v>-653</v>
      </c>
      <c r="D26" s="7">
        <v>-135</v>
      </c>
      <c r="E26" s="7">
        <v>-183</v>
      </c>
      <c r="F26" s="7">
        <v>-332</v>
      </c>
    </row>
    <row r="27" spans="1:6">
      <c r="A27" s="26" t="s">
        <v>56</v>
      </c>
      <c r="B27" s="7">
        <v>479</v>
      </c>
      <c r="C27" s="7">
        <v>395</v>
      </c>
      <c r="D27" s="7">
        <v>260</v>
      </c>
      <c r="E27" s="7">
        <v>12</v>
      </c>
      <c r="F27" s="7">
        <v>1</v>
      </c>
    </row>
    <row r="28" spans="1:6">
      <c r="A28" s="26" t="s">
        <v>57</v>
      </c>
      <c r="B28" s="7">
        <v>-13</v>
      </c>
      <c r="C28" s="7">
        <v>-30</v>
      </c>
      <c r="D28" s="7">
        <v>-41</v>
      </c>
      <c r="E28" s="7">
        <v>-13</v>
      </c>
      <c r="F28" s="7">
        <v>-11</v>
      </c>
    </row>
    <row r="29" spans="1:6">
      <c r="A29" s="26" t="s">
        <v>58</v>
      </c>
      <c r="B29" s="7">
        <v>48</v>
      </c>
      <c r="C29" s="7">
        <v>51</v>
      </c>
      <c r="D29" s="7">
        <v>8</v>
      </c>
      <c r="E29" s="7">
        <v>40</v>
      </c>
      <c r="F29" s="7">
        <v>14</v>
      </c>
    </row>
    <row r="30" spans="1:6">
      <c r="A30" s="26" t="s">
        <v>59</v>
      </c>
      <c r="B30" s="7">
        <v>-10</v>
      </c>
      <c r="C30" s="7">
        <v>-47</v>
      </c>
      <c r="D30" s="7">
        <v>-57</v>
      </c>
      <c r="E30" s="7">
        <v>-43</v>
      </c>
      <c r="F30" s="7">
        <v>31</v>
      </c>
    </row>
    <row r="31" spans="1:6">
      <c r="A31" s="44" t="s">
        <v>60</v>
      </c>
      <c r="B31" s="45">
        <f>SUM(B26:B30)</f>
        <v>-52</v>
      </c>
      <c r="C31" s="45">
        <f>SUM(C26:C30)</f>
        <v>-284</v>
      </c>
      <c r="D31" s="45">
        <f>SUM(D26:D30)</f>
        <v>35</v>
      </c>
      <c r="E31" s="45">
        <f>SUM(E26:E30)</f>
        <v>-187</v>
      </c>
      <c r="F31" s="45">
        <f>SUM(F26:F30)</f>
        <v>-297</v>
      </c>
    </row>
    <row r="32" spans="1:6">
      <c r="A32" s="26"/>
      <c r="B32" s="7"/>
      <c r="C32" s="7"/>
      <c r="D32" s="7"/>
      <c r="E32" s="7"/>
      <c r="F32" s="7"/>
    </row>
    <row r="33" spans="1:6">
      <c r="A33" s="46" t="s">
        <v>61</v>
      </c>
      <c r="B33" s="32"/>
      <c r="C33" s="32"/>
      <c r="D33" s="32"/>
      <c r="E33" s="32"/>
      <c r="F33" s="32"/>
    </row>
    <row r="34" spans="1:6">
      <c r="A34" s="26" t="s">
        <v>62</v>
      </c>
      <c r="B34" s="7">
        <v>-129</v>
      </c>
      <c r="C34" s="7">
        <v>951</v>
      </c>
      <c r="D34" s="7">
        <v>-2290</v>
      </c>
      <c r="E34" s="7">
        <v>150</v>
      </c>
      <c r="F34" s="7">
        <v>-182</v>
      </c>
    </row>
    <row r="35" spans="1:6">
      <c r="A35" s="26" t="s">
        <v>63</v>
      </c>
      <c r="B35" s="7">
        <v>1646</v>
      </c>
      <c r="C35" s="7">
        <v>1397</v>
      </c>
      <c r="D35" s="7">
        <v>3561</v>
      </c>
      <c r="E35" s="7">
        <v>1793</v>
      </c>
      <c r="F35" s="7">
        <v>983</v>
      </c>
    </row>
    <row r="36" spans="1:6">
      <c r="A36" s="26" t="s">
        <v>64</v>
      </c>
      <c r="B36" s="7">
        <v>-397</v>
      </c>
      <c r="C36" s="7">
        <v>-835</v>
      </c>
      <c r="D36" s="7">
        <v>-1887</v>
      </c>
      <c r="E36" s="7">
        <v>-2174</v>
      </c>
      <c r="F36" s="7">
        <v>-804</v>
      </c>
    </row>
    <row r="37" spans="1:6">
      <c r="A37" s="26" t="s">
        <v>65</v>
      </c>
      <c r="B37" s="7">
        <v>4</v>
      </c>
      <c r="C37" s="7">
        <v>7</v>
      </c>
      <c r="D37" s="8" t="s">
        <v>37</v>
      </c>
      <c r="E37" s="7">
        <v>2</v>
      </c>
      <c r="F37" s="8" t="s">
        <v>37</v>
      </c>
    </row>
    <row r="38" spans="1:6">
      <c r="A38" s="26" t="s">
        <v>66</v>
      </c>
      <c r="B38" s="8" t="s">
        <v>37</v>
      </c>
      <c r="C38" s="8" t="s">
        <v>37</v>
      </c>
      <c r="D38" s="8" t="s">
        <v>37</v>
      </c>
      <c r="E38" s="7">
        <v>-155</v>
      </c>
      <c r="F38" s="8" t="s">
        <v>37</v>
      </c>
    </row>
    <row r="39" spans="1:6">
      <c r="A39" s="26" t="s">
        <v>67</v>
      </c>
      <c r="B39" s="7">
        <v>-543</v>
      </c>
      <c r="C39" s="7">
        <v>-612</v>
      </c>
      <c r="D39" s="7">
        <v>-156</v>
      </c>
      <c r="E39" s="8" t="s">
        <v>37</v>
      </c>
      <c r="F39" s="7">
        <v>-321</v>
      </c>
    </row>
    <row r="40" spans="1:6">
      <c r="A40" s="26" t="s">
        <v>68</v>
      </c>
      <c r="B40" s="7">
        <v>-2850</v>
      </c>
      <c r="C40" s="7">
        <v>-2260</v>
      </c>
      <c r="D40" s="7">
        <v>-150</v>
      </c>
      <c r="E40" s="8" t="s">
        <v>37</v>
      </c>
      <c r="F40" s="7">
        <v>-2566</v>
      </c>
    </row>
    <row r="41" spans="1:6">
      <c r="A41" s="26" t="s">
        <v>69</v>
      </c>
      <c r="B41" s="7">
        <v>-105</v>
      </c>
      <c r="C41" s="7">
        <v>-148</v>
      </c>
      <c r="D41" s="7">
        <v>-103</v>
      </c>
      <c r="E41" s="7">
        <v>-90</v>
      </c>
      <c r="F41" s="7">
        <v>-89</v>
      </c>
    </row>
    <row r="42" spans="1:6">
      <c r="A42" s="26" t="s">
        <v>59</v>
      </c>
      <c r="B42" s="7">
        <v>0</v>
      </c>
      <c r="C42" s="7">
        <v>-8</v>
      </c>
      <c r="D42" s="7">
        <v>-8</v>
      </c>
      <c r="E42" s="7">
        <v>11</v>
      </c>
      <c r="F42" s="7">
        <v>17</v>
      </c>
    </row>
    <row r="43" spans="1:6">
      <c r="A43" s="44" t="s">
        <v>70</v>
      </c>
      <c r="B43" s="45">
        <f>SUM(B34:B42)</f>
        <v>-2374</v>
      </c>
      <c r="C43" s="45">
        <f>SUM(C34:C42)</f>
        <v>-1508</v>
      </c>
      <c r="D43" s="45">
        <f>SUM(D34:D42)</f>
        <v>-1033</v>
      </c>
      <c r="E43" s="45">
        <f>SUM(E34:E42)</f>
        <v>-463</v>
      </c>
      <c r="F43" s="45">
        <f>SUM(F34:F42)</f>
        <v>-2962</v>
      </c>
    </row>
    <row r="44" spans="1:6">
      <c r="A44" s="39"/>
      <c r="B44" s="40"/>
      <c r="C44" s="40"/>
      <c r="D44" s="40"/>
      <c r="E44" s="40"/>
      <c r="F44" s="40"/>
    </row>
    <row r="45" spans="1:6" ht="39" customHeight="1">
      <c r="A45" s="42" t="s">
        <v>71</v>
      </c>
      <c r="B45" s="43">
        <f>B43+B31+B23</f>
        <v>-69</v>
      </c>
      <c r="C45" s="43">
        <f>C43+C31+C23</f>
        <v>-107</v>
      </c>
      <c r="D45" s="43">
        <f>D43+D31+D23</f>
        <v>641</v>
      </c>
      <c r="E45" s="43">
        <f>E43+E31+E23</f>
        <v>527</v>
      </c>
      <c r="F45" s="43">
        <f>F43+F31+F23</f>
        <v>-896</v>
      </c>
    </row>
    <row r="46" spans="1:6" ht="39" customHeight="1">
      <c r="A46" s="41" t="s">
        <v>72</v>
      </c>
      <c r="B46" s="7">
        <v>429</v>
      </c>
      <c r="C46" s="7">
        <f>B47</f>
        <v>360</v>
      </c>
      <c r="D46" s="7">
        <f>C47</f>
        <v>253</v>
      </c>
      <c r="E46" s="7">
        <f>D47</f>
        <v>894</v>
      </c>
      <c r="F46" s="7">
        <f>E47</f>
        <v>1421</v>
      </c>
    </row>
    <row r="47" spans="1:6" ht="39" customHeight="1">
      <c r="A47" s="42" t="s">
        <v>73</v>
      </c>
      <c r="B47" s="43">
        <f>B46+B45</f>
        <v>360</v>
      </c>
      <c r="C47" s="43">
        <f>C46+C45</f>
        <v>253</v>
      </c>
      <c r="D47" s="43">
        <f>D46+D45</f>
        <v>894</v>
      </c>
      <c r="E47" s="43">
        <f>E46+E45</f>
        <v>1421</v>
      </c>
      <c r="F47" s="43">
        <f>F46+F45</f>
        <v>525</v>
      </c>
    </row>
  </sheetData>
  <mergeCells count="2">
    <mergeCell ref="A1:F1"/>
    <mergeCell ref="A3:F3"/>
  </mergeCells>
  <hyperlinks>
    <hyperlink ref="E4" r:id="rId1" xr:uid="{F9F3738F-30B7-964E-B7EC-94B9A07B40C4}"/>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2CBB9-4036-1C43-83D9-F90FD77F8D47}">
  <sheetPr codeName="Sheet13">
    <tabColor theme="9" tint="0.79998168889431442"/>
  </sheetPr>
  <dimension ref="A1:H92"/>
  <sheetViews>
    <sheetView zoomScale="117" zoomScaleNormal="100" workbookViewId="0">
      <pane xSplit="1" topLeftCell="B1" activePane="topRight" state="frozen"/>
      <selection pane="topRight" activeCell="A64" sqref="A64"/>
    </sheetView>
  </sheetViews>
  <sheetFormatPr baseColWidth="10" defaultColWidth="10.83203125" defaultRowHeight="17"/>
  <cols>
    <col min="1" max="1" width="60.6640625" style="27" bestFit="1" customWidth="1"/>
    <col min="2" max="6" width="23.33203125" style="27" customWidth="1"/>
    <col min="7" max="16384" width="10.83203125" style="27"/>
  </cols>
  <sheetData>
    <row r="1" spans="1:8" s="2" customFormat="1" ht="25">
      <c r="A1" s="661" t="s">
        <v>115</v>
      </c>
      <c r="B1" s="661"/>
      <c r="C1" s="661"/>
      <c r="D1" s="661"/>
      <c r="E1" s="661"/>
      <c r="F1" s="661"/>
    </row>
    <row r="2" spans="1:8" s="2" customFormat="1">
      <c r="A2" s="1"/>
      <c r="B2" s="17"/>
      <c r="C2" s="18"/>
      <c r="D2" s="19"/>
      <c r="E2" s="17"/>
      <c r="F2" s="18"/>
    </row>
    <row r="3" spans="1:8" s="2" customFormat="1">
      <c r="A3" s="662" t="s">
        <v>95</v>
      </c>
      <c r="B3" s="662"/>
      <c r="C3" s="662"/>
      <c r="D3" s="662"/>
      <c r="E3" s="662"/>
      <c r="F3" s="662"/>
    </row>
    <row r="4" spans="1:8" s="2" customFormat="1">
      <c r="A4" s="20" t="s">
        <v>86</v>
      </c>
      <c r="B4" s="21" t="s">
        <v>87</v>
      </c>
      <c r="C4" s="7"/>
      <c r="D4" s="20" t="s">
        <v>102</v>
      </c>
      <c r="E4" s="23" t="s">
        <v>91</v>
      </c>
      <c r="F4" s="7"/>
    </row>
    <row r="5" spans="1:8" s="2" customFormat="1">
      <c r="A5" s="20" t="s">
        <v>88</v>
      </c>
      <c r="B5" s="21" t="s">
        <v>85</v>
      </c>
      <c r="C5" s="7"/>
      <c r="D5" s="50" t="s">
        <v>129</v>
      </c>
      <c r="E5" s="23" t="s">
        <v>90</v>
      </c>
      <c r="F5" s="23"/>
      <c r="H5" s="24"/>
    </row>
    <row r="6" spans="1:8" s="2" customFormat="1">
      <c r="A6" s="20" t="s">
        <v>89</v>
      </c>
      <c r="B6" s="21" t="s">
        <v>130</v>
      </c>
      <c r="C6" s="7"/>
      <c r="D6" s="22"/>
      <c r="E6" s="23" t="s">
        <v>92</v>
      </c>
      <c r="F6" s="23"/>
      <c r="G6" s="24"/>
      <c r="H6" s="24"/>
    </row>
    <row r="7" spans="1:8" s="2" customFormat="1">
      <c r="A7" s="1"/>
      <c r="D7" s="19"/>
      <c r="E7" s="17"/>
      <c r="F7" s="25"/>
    </row>
    <row r="8" spans="1:8" s="2" customFormat="1">
      <c r="A8" s="1"/>
      <c r="B8" s="17"/>
      <c r="C8" s="18"/>
      <c r="D8" s="19"/>
      <c r="E8" s="17"/>
      <c r="F8" s="25"/>
    </row>
    <row r="9" spans="1:8" s="2" customFormat="1">
      <c r="A9" s="15" t="s">
        <v>104</v>
      </c>
      <c r="B9" s="33">
        <v>43465</v>
      </c>
      <c r="C9" s="33">
        <v>43830</v>
      </c>
      <c r="D9" s="33">
        <v>44196</v>
      </c>
      <c r="E9" s="33">
        <v>44561</v>
      </c>
      <c r="F9" s="33">
        <v>44926</v>
      </c>
    </row>
    <row r="10" spans="1:8" s="2" customFormat="1">
      <c r="A10" s="4"/>
      <c r="B10" s="5"/>
      <c r="C10" s="5"/>
      <c r="D10" s="5"/>
      <c r="E10" s="5"/>
      <c r="F10" s="5"/>
    </row>
    <row r="11" spans="1:8" s="1" customFormat="1">
      <c r="A11" s="15" t="s">
        <v>97</v>
      </c>
      <c r="B11" s="15"/>
      <c r="C11" s="15"/>
      <c r="D11" s="15"/>
      <c r="E11" s="15"/>
      <c r="F11" s="15"/>
    </row>
    <row r="12" spans="1:8" s="2" customFormat="1">
      <c r="A12" s="6" t="s">
        <v>16</v>
      </c>
      <c r="B12" s="7">
        <v>316</v>
      </c>
      <c r="C12" s="7">
        <v>225</v>
      </c>
      <c r="D12" s="7">
        <v>877</v>
      </c>
      <c r="E12" s="7">
        <v>1393</v>
      </c>
      <c r="F12" s="7">
        <v>507</v>
      </c>
    </row>
    <row r="13" spans="1:8" s="2" customFormat="1">
      <c r="A13" s="6" t="s">
        <v>76</v>
      </c>
      <c r="B13" s="7">
        <v>2133</v>
      </c>
      <c r="C13" s="7">
        <v>2395</v>
      </c>
      <c r="D13" s="7">
        <v>1768</v>
      </c>
      <c r="E13" s="7">
        <v>1982</v>
      </c>
      <c r="F13" s="7">
        <v>2571</v>
      </c>
    </row>
    <row r="14" spans="1:8" s="2" customFormat="1">
      <c r="A14" s="6" t="s">
        <v>77</v>
      </c>
      <c r="B14" s="7">
        <v>249</v>
      </c>
      <c r="C14" s="7">
        <v>252</v>
      </c>
      <c r="D14" s="7">
        <v>172</v>
      </c>
      <c r="E14" s="7">
        <v>251</v>
      </c>
      <c r="F14" s="7">
        <v>235</v>
      </c>
    </row>
    <row r="15" spans="1:8" s="2" customFormat="1">
      <c r="A15" s="6" t="s">
        <v>17</v>
      </c>
      <c r="B15" s="7">
        <v>8</v>
      </c>
      <c r="C15" s="7">
        <v>255</v>
      </c>
      <c r="D15" s="7">
        <v>8</v>
      </c>
      <c r="E15" s="8" t="s">
        <v>37</v>
      </c>
      <c r="F15" s="8" t="s">
        <v>37</v>
      </c>
    </row>
    <row r="16" spans="1:8" s="2" customFormat="1" ht="20">
      <c r="A16" s="9" t="s">
        <v>117</v>
      </c>
      <c r="B16" s="9">
        <f>SUM(B12:B15)</f>
        <v>2706</v>
      </c>
      <c r="C16" s="9">
        <f>SUM(C12:C15)</f>
        <v>3127</v>
      </c>
      <c r="D16" s="9">
        <f>SUM(D12:D15)</f>
        <v>2825</v>
      </c>
      <c r="E16" s="9">
        <f>SUM(E12:E15)</f>
        <v>3626</v>
      </c>
      <c r="F16" s="9">
        <f>SUM(F12:F15)</f>
        <v>3313</v>
      </c>
    </row>
    <row r="17" spans="1:6" s="2" customFormat="1" ht="20">
      <c r="A17" s="7"/>
      <c r="B17" s="9"/>
      <c r="C17" s="9"/>
      <c r="D17" s="9"/>
      <c r="E17" s="9"/>
      <c r="F17" s="9"/>
    </row>
    <row r="18" spans="1:6" s="2" customFormat="1">
      <c r="A18" s="6" t="s">
        <v>155</v>
      </c>
      <c r="B18" s="7">
        <v>591</v>
      </c>
      <c r="C18" s="7">
        <v>684</v>
      </c>
      <c r="D18" s="7">
        <v>688</v>
      </c>
      <c r="E18" s="7">
        <v>686</v>
      </c>
      <c r="F18" s="7">
        <v>688</v>
      </c>
    </row>
    <row r="19" spans="1:6" s="2" customFormat="1">
      <c r="A19" s="6" t="s">
        <v>156</v>
      </c>
      <c r="B19" s="7">
        <v>1275</v>
      </c>
      <c r="C19" s="7">
        <v>1100</v>
      </c>
      <c r="D19" s="7">
        <v>1045</v>
      </c>
      <c r="E19" s="7">
        <v>985</v>
      </c>
      <c r="F19" s="7">
        <v>1086</v>
      </c>
    </row>
    <row r="20" spans="1:6" s="2" customFormat="1">
      <c r="A20" s="6" t="s">
        <v>157</v>
      </c>
      <c r="B20" s="7">
        <v>1439</v>
      </c>
      <c r="C20" s="7">
        <v>1225</v>
      </c>
      <c r="D20" s="7">
        <v>640</v>
      </c>
      <c r="E20" s="7">
        <v>545</v>
      </c>
      <c r="F20" s="7">
        <v>649</v>
      </c>
    </row>
    <row r="21" spans="1:6" s="2" customFormat="1">
      <c r="A21" s="6" t="s">
        <v>158</v>
      </c>
      <c r="B21" s="7">
        <v>168</v>
      </c>
      <c r="C21" s="7">
        <v>196</v>
      </c>
      <c r="D21" s="7">
        <v>29</v>
      </c>
      <c r="E21" s="7">
        <v>137</v>
      </c>
      <c r="F21" s="7">
        <v>36</v>
      </c>
    </row>
    <row r="22" spans="1:6" s="2" customFormat="1">
      <c r="A22" s="6" t="s">
        <v>159</v>
      </c>
      <c r="B22" s="7">
        <v>-1517</v>
      </c>
      <c r="C22" s="7">
        <v>-1301</v>
      </c>
      <c r="D22" s="7">
        <v>-888</v>
      </c>
      <c r="E22" s="8">
        <v>-850</v>
      </c>
      <c r="F22" s="8">
        <v>-874</v>
      </c>
    </row>
    <row r="23" spans="1:6" s="2" customFormat="1" ht="20">
      <c r="A23" s="10" t="s">
        <v>167</v>
      </c>
      <c r="B23" s="9">
        <f>SUM(B18:B22)</f>
        <v>1956</v>
      </c>
      <c r="C23" s="9">
        <f>SUM(C18:C22)</f>
        <v>1904</v>
      </c>
      <c r="D23" s="9">
        <f>SUM(D18:D22)</f>
        <v>1514</v>
      </c>
      <c r="E23" s="9">
        <f>SUM(E18:E22)</f>
        <v>1503</v>
      </c>
      <c r="F23" s="9">
        <f>SUM(F18:F22)</f>
        <v>1585</v>
      </c>
    </row>
    <row r="24" spans="1:6">
      <c r="A24" s="26"/>
      <c r="B24" s="26"/>
      <c r="C24" s="26"/>
      <c r="D24" s="26"/>
      <c r="E24" s="26"/>
      <c r="F24" s="26"/>
    </row>
    <row r="25" spans="1:6">
      <c r="A25" s="26"/>
      <c r="B25" s="26"/>
      <c r="C25" s="26"/>
      <c r="D25" s="26"/>
      <c r="E25" s="26"/>
      <c r="F25" s="26"/>
    </row>
    <row r="26" spans="1:6">
      <c r="A26" s="6" t="s">
        <v>161</v>
      </c>
      <c r="B26" s="26">
        <v>1347</v>
      </c>
      <c r="C26" s="26">
        <v>1588</v>
      </c>
      <c r="D26" s="26">
        <v>1674</v>
      </c>
      <c r="E26" s="26">
        <v>1875</v>
      </c>
      <c r="F26" s="26">
        <v>1995</v>
      </c>
    </row>
    <row r="27" spans="1:6">
      <c r="A27" s="6" t="s">
        <v>162</v>
      </c>
      <c r="B27" s="26">
        <v>1983</v>
      </c>
      <c r="C27" s="26">
        <v>1972</v>
      </c>
      <c r="D27" s="26">
        <v>2257</v>
      </c>
      <c r="E27" s="26">
        <v>2187</v>
      </c>
      <c r="F27" s="26">
        <v>2173</v>
      </c>
    </row>
    <row r="28" spans="1:6" s="2" customFormat="1">
      <c r="A28" s="6" t="s">
        <v>163</v>
      </c>
      <c r="B28" s="7">
        <v>-674</v>
      </c>
      <c r="C28" s="7">
        <v>-808</v>
      </c>
      <c r="D28" s="7">
        <v>-937</v>
      </c>
      <c r="E28" s="7">
        <v>-1052</v>
      </c>
      <c r="F28" s="7">
        <v>-1172</v>
      </c>
    </row>
    <row r="29" spans="1:6" s="2" customFormat="1">
      <c r="A29" s="6" t="s">
        <v>164</v>
      </c>
      <c r="B29" s="7">
        <v>5724</v>
      </c>
      <c r="C29" s="7">
        <v>5889</v>
      </c>
      <c r="D29" s="7">
        <v>5995</v>
      </c>
      <c r="E29" s="7">
        <v>5916</v>
      </c>
      <c r="F29" s="7">
        <v>5751</v>
      </c>
    </row>
    <row r="30" spans="1:6" s="2" customFormat="1">
      <c r="A30" s="6" t="s">
        <v>20</v>
      </c>
      <c r="B30" s="7">
        <v>9039</v>
      </c>
      <c r="C30" s="7">
        <v>9048</v>
      </c>
      <c r="D30" s="7">
        <v>9175</v>
      </c>
      <c r="E30" s="7">
        <v>9073</v>
      </c>
      <c r="F30" s="7">
        <v>8872</v>
      </c>
    </row>
    <row r="31" spans="1:6" s="2" customFormat="1" ht="20">
      <c r="A31" s="10" t="s">
        <v>166</v>
      </c>
      <c r="B31" s="9">
        <f>SUM(B26:B30)</f>
        <v>17419</v>
      </c>
      <c r="C31" s="9">
        <f>SUM(C26:C30)</f>
        <v>17689</v>
      </c>
      <c r="D31" s="9">
        <f>SUM(D26:D30)</f>
        <v>18164</v>
      </c>
      <c r="E31" s="9">
        <f>SUM(E26:E30)</f>
        <v>17999</v>
      </c>
      <c r="F31" s="9">
        <f>SUM(F26:F30)</f>
        <v>17619</v>
      </c>
    </row>
    <row r="32" spans="1:6" s="2" customFormat="1">
      <c r="A32" s="6"/>
      <c r="B32" s="7"/>
      <c r="C32" s="7"/>
      <c r="D32" s="7"/>
      <c r="E32" s="7"/>
      <c r="F32" s="7"/>
    </row>
    <row r="33" spans="1:6" s="2" customFormat="1">
      <c r="A33" s="6" t="s">
        <v>79</v>
      </c>
      <c r="B33" s="7">
        <v>732</v>
      </c>
      <c r="C33" s="7">
        <v>577</v>
      </c>
      <c r="D33" s="7">
        <v>422</v>
      </c>
      <c r="E33" s="7">
        <v>387</v>
      </c>
      <c r="F33" s="7">
        <v>335</v>
      </c>
    </row>
    <row r="34" spans="1:6" s="2" customFormat="1">
      <c r="A34" s="6" t="s">
        <v>21</v>
      </c>
      <c r="B34" s="7">
        <v>125</v>
      </c>
      <c r="C34" s="7">
        <v>117</v>
      </c>
      <c r="D34" s="7">
        <v>159</v>
      </c>
      <c r="E34" s="7">
        <v>144</v>
      </c>
      <c r="F34" s="7">
        <v>152</v>
      </c>
    </row>
    <row r="35" spans="1:6" s="2" customFormat="1">
      <c r="A35" s="6" t="s">
        <v>22</v>
      </c>
      <c r="B35" s="7">
        <v>171</v>
      </c>
      <c r="C35" s="7">
        <v>154</v>
      </c>
      <c r="D35" s="7">
        <v>249</v>
      </c>
      <c r="E35" s="7">
        <v>228</v>
      </c>
      <c r="F35" s="7">
        <v>240</v>
      </c>
    </row>
    <row r="36" spans="1:6" s="2" customFormat="1">
      <c r="A36" s="6" t="s">
        <v>23</v>
      </c>
      <c r="B36" s="7">
        <v>0</v>
      </c>
      <c r="C36" s="7">
        <v>888</v>
      </c>
      <c r="D36" s="7">
        <v>752</v>
      </c>
      <c r="E36" s="7">
        <v>1062</v>
      </c>
      <c r="F36" s="7">
        <v>987</v>
      </c>
    </row>
    <row r="37" spans="1:6" s="2" customFormat="1">
      <c r="A37" s="6" t="s">
        <v>24</v>
      </c>
      <c r="B37" s="7">
        <v>587</v>
      </c>
      <c r="C37" s="7">
        <v>595</v>
      </c>
      <c r="D37" s="7">
        <v>616</v>
      </c>
      <c r="E37" s="7">
        <v>604</v>
      </c>
      <c r="F37" s="7">
        <v>584</v>
      </c>
    </row>
    <row r="38" spans="1:6" s="2" customFormat="1" ht="20">
      <c r="A38" s="49" t="s">
        <v>119</v>
      </c>
      <c r="B38" s="9">
        <f>SUM(B33:B37)</f>
        <v>1615</v>
      </c>
      <c r="C38" s="9">
        <f>SUM(C33:C37)</f>
        <v>2331</v>
      </c>
      <c r="D38" s="9">
        <f>SUM(D33:D37)</f>
        <v>2198</v>
      </c>
      <c r="E38" s="9">
        <f>SUM(E33:E37)</f>
        <v>2425</v>
      </c>
      <c r="F38" s="9">
        <f>SUM(F33:F37)</f>
        <v>2298</v>
      </c>
    </row>
    <row r="39" spans="1:6" s="2" customFormat="1">
      <c r="A39" s="7"/>
      <c r="B39" s="7"/>
      <c r="C39" s="7"/>
      <c r="D39" s="7"/>
      <c r="E39" s="7"/>
      <c r="F39" s="7"/>
    </row>
    <row r="40" spans="1:6" s="1" customFormat="1" ht="20">
      <c r="A40" s="16" t="s">
        <v>40</v>
      </c>
      <c r="B40" s="16">
        <f>B16+B23+B31+SUM(B33:B37)</f>
        <v>23696</v>
      </c>
      <c r="C40" s="16">
        <f>C16+C23+C31+SUM(C33:C37)</f>
        <v>25051</v>
      </c>
      <c r="D40" s="16">
        <f>D16+D23+D31+SUM(D33:D37)</f>
        <v>24701</v>
      </c>
      <c r="E40" s="16">
        <f>E16+E23+E31+SUM(E33:E37)</f>
        <v>25553</v>
      </c>
      <c r="F40" s="16">
        <f>F16+F23+F31+SUM(F33:F37)</f>
        <v>24815</v>
      </c>
    </row>
    <row r="41" spans="1:6" s="2" customFormat="1">
      <c r="A41" s="7"/>
      <c r="B41" s="7"/>
      <c r="C41" s="7"/>
      <c r="D41" s="7"/>
      <c r="E41" s="7"/>
      <c r="F41" s="7"/>
    </row>
    <row r="42" spans="1:6" s="1" customFormat="1">
      <c r="A42" s="15" t="s">
        <v>25</v>
      </c>
      <c r="B42" s="15"/>
      <c r="C42" s="15"/>
      <c r="D42" s="15"/>
      <c r="E42" s="15"/>
      <c r="F42" s="15"/>
    </row>
    <row r="43" spans="1:6" s="1" customFormat="1">
      <c r="A43" s="15" t="s">
        <v>100</v>
      </c>
      <c r="B43" s="15"/>
      <c r="C43" s="15"/>
      <c r="D43" s="15"/>
      <c r="E43" s="15"/>
      <c r="F43" s="15"/>
    </row>
    <row r="44" spans="1:6" s="2" customFormat="1">
      <c r="A44" s="6" t="s">
        <v>26</v>
      </c>
      <c r="B44" s="7">
        <v>833</v>
      </c>
      <c r="C44" s="7">
        <v>977</v>
      </c>
      <c r="D44" s="7">
        <v>1173</v>
      </c>
      <c r="E44" s="7">
        <v>805</v>
      </c>
      <c r="F44" s="7">
        <v>684</v>
      </c>
    </row>
    <row r="45" spans="1:6" s="2" customFormat="1">
      <c r="A45" s="6" t="s">
        <v>80</v>
      </c>
      <c r="B45" s="7">
        <v>767</v>
      </c>
      <c r="C45" s="7">
        <v>720</v>
      </c>
      <c r="D45" s="7">
        <v>527</v>
      </c>
      <c r="E45" s="7">
        <v>726</v>
      </c>
      <c r="F45" s="7">
        <v>746</v>
      </c>
    </row>
    <row r="46" spans="1:6" s="2" customFormat="1">
      <c r="A46" s="6" t="s">
        <v>27</v>
      </c>
      <c r="B46" s="7">
        <v>1345</v>
      </c>
      <c r="C46" s="7">
        <v>1339</v>
      </c>
      <c r="D46" s="7">
        <v>831</v>
      </c>
      <c r="E46" s="7">
        <v>1187</v>
      </c>
      <c r="F46" s="7">
        <v>1299</v>
      </c>
    </row>
    <row r="47" spans="1:6" s="2" customFormat="1">
      <c r="A47" s="13" t="s">
        <v>131</v>
      </c>
      <c r="B47" s="7">
        <v>2529</v>
      </c>
      <c r="C47" s="7">
        <v>2258</v>
      </c>
      <c r="D47" s="7">
        <v>1769</v>
      </c>
      <c r="E47" s="7">
        <v>2522</v>
      </c>
      <c r="F47" s="7">
        <v>3314</v>
      </c>
    </row>
    <row r="48" spans="1:6" s="2" customFormat="1">
      <c r="A48" s="13" t="s">
        <v>29</v>
      </c>
      <c r="B48" s="7">
        <v>963</v>
      </c>
      <c r="C48" s="7">
        <v>1383</v>
      </c>
      <c r="D48" s="7">
        <v>1452</v>
      </c>
      <c r="E48" s="7">
        <v>1167</v>
      </c>
      <c r="F48" s="7">
        <v>1296</v>
      </c>
    </row>
    <row r="49" spans="1:6" s="2" customFormat="1" ht="20">
      <c r="A49" s="14" t="s">
        <v>74</v>
      </c>
      <c r="B49" s="9">
        <f>SUM(B44:B48)</f>
        <v>6437</v>
      </c>
      <c r="C49" s="9">
        <f>SUM(C44:C48)</f>
        <v>6677</v>
      </c>
      <c r="D49" s="9">
        <f>SUM(D44:D48)</f>
        <v>5752</v>
      </c>
      <c r="E49" s="9">
        <f>SUM(E44:E48)</f>
        <v>6407</v>
      </c>
      <c r="F49" s="9">
        <f>SUM(F44:F48)</f>
        <v>7339</v>
      </c>
    </row>
    <row r="50" spans="1:6" s="2" customFormat="1">
      <c r="A50" s="7"/>
      <c r="B50" s="7"/>
      <c r="C50" s="7"/>
      <c r="D50" s="7"/>
      <c r="E50" s="7"/>
      <c r="F50" s="7"/>
    </row>
    <row r="51" spans="1:6" s="2" customFormat="1">
      <c r="A51" s="6" t="s">
        <v>30</v>
      </c>
      <c r="B51" s="7">
        <v>8514</v>
      </c>
      <c r="C51" s="7">
        <v>9963</v>
      </c>
      <c r="D51" s="7">
        <v>9203</v>
      </c>
      <c r="E51" s="7">
        <v>9333</v>
      </c>
      <c r="F51" s="7">
        <v>9380</v>
      </c>
    </row>
    <row r="52" spans="1:6" s="2" customFormat="1">
      <c r="A52" s="13" t="s">
        <v>132</v>
      </c>
      <c r="B52" s="7">
        <v>2932</v>
      </c>
      <c r="C52" s="7">
        <v>3460</v>
      </c>
      <c r="D52" s="7">
        <v>4502</v>
      </c>
      <c r="E52" s="7">
        <v>3949</v>
      </c>
      <c r="F52" s="7">
        <v>3280</v>
      </c>
    </row>
    <row r="53" spans="1:6" s="2" customFormat="1">
      <c r="A53" s="6" t="s">
        <v>81</v>
      </c>
      <c r="B53" s="7">
        <v>485</v>
      </c>
      <c r="C53" s="7">
        <v>290</v>
      </c>
      <c r="D53" s="7">
        <v>83</v>
      </c>
      <c r="E53" s="7">
        <v>169</v>
      </c>
      <c r="F53" s="7">
        <v>313</v>
      </c>
    </row>
    <row r="54" spans="1:6" s="2" customFormat="1">
      <c r="A54" s="6" t="s">
        <v>31</v>
      </c>
      <c r="B54" s="7">
        <v>731</v>
      </c>
      <c r="C54" s="7">
        <v>840</v>
      </c>
      <c r="D54" s="7">
        <v>1542</v>
      </c>
      <c r="E54" s="7">
        <v>1181</v>
      </c>
      <c r="F54" s="7">
        <v>1059</v>
      </c>
    </row>
    <row r="55" spans="1:6" s="2" customFormat="1">
      <c r="A55" s="6" t="s">
        <v>32</v>
      </c>
      <c r="B55" s="7">
        <v>0</v>
      </c>
      <c r="C55" s="7">
        <v>882</v>
      </c>
      <c r="D55" s="7">
        <v>823</v>
      </c>
      <c r="E55" s="7">
        <v>1098</v>
      </c>
      <c r="F55" s="7">
        <v>1034</v>
      </c>
    </row>
    <row r="56" spans="1:6" s="2" customFormat="1">
      <c r="A56" s="6" t="s">
        <v>82</v>
      </c>
      <c r="B56" s="7">
        <v>2372</v>
      </c>
      <c r="C56" s="7">
        <v>2236</v>
      </c>
      <c r="D56" s="7">
        <v>2366</v>
      </c>
      <c r="E56" s="7">
        <v>2002</v>
      </c>
      <c r="F56" s="7">
        <v>1842</v>
      </c>
    </row>
    <row r="57" spans="1:6" s="2" customFormat="1" ht="20">
      <c r="A57" s="10" t="s">
        <v>128</v>
      </c>
      <c r="B57" s="9">
        <f>SUM(B51:B56)</f>
        <v>15034</v>
      </c>
      <c r="C57" s="9">
        <f>SUM(C51:C56)</f>
        <v>17671</v>
      </c>
      <c r="D57" s="9">
        <f>SUM(D51:D56)</f>
        <v>18519</v>
      </c>
      <c r="E57" s="9">
        <f>SUM(E51:E56)</f>
        <v>17732</v>
      </c>
      <c r="F57" s="9">
        <f>SUM(F51:F56)</f>
        <v>16908</v>
      </c>
    </row>
    <row r="58" spans="1:6" s="29" customFormat="1">
      <c r="A58" s="28"/>
      <c r="B58" s="28"/>
      <c r="C58" s="28"/>
      <c r="D58" s="28"/>
      <c r="E58" s="28"/>
      <c r="F58" s="28"/>
    </row>
    <row r="59" spans="1:6" s="2" customFormat="1">
      <c r="A59" s="15" t="s">
        <v>126</v>
      </c>
      <c r="B59" s="15"/>
      <c r="C59" s="15"/>
      <c r="D59" s="15"/>
      <c r="E59" s="15"/>
      <c r="F59" s="15"/>
    </row>
    <row r="60" spans="1:6" s="2" customFormat="1">
      <c r="A60" s="6" t="s">
        <v>123</v>
      </c>
      <c r="B60" s="7">
        <v>3582</v>
      </c>
      <c r="C60" s="7">
        <f>B67</f>
        <v>2225</v>
      </c>
      <c r="D60" s="7">
        <f>C67</f>
        <v>703</v>
      </c>
      <c r="E60" s="7">
        <f>D67</f>
        <v>430</v>
      </c>
      <c r="F60" s="7">
        <f>E67</f>
        <v>1414</v>
      </c>
    </row>
    <row r="61" spans="1:6" s="2" customFormat="1">
      <c r="A61" s="6" t="s">
        <v>124</v>
      </c>
      <c r="B61" s="7">
        <v>372</v>
      </c>
      <c r="C61" s="7">
        <v>1</v>
      </c>
      <c r="D61" s="7">
        <v>-15</v>
      </c>
      <c r="E61" s="7">
        <v>0</v>
      </c>
      <c r="F61" s="7">
        <v>0</v>
      </c>
    </row>
    <row r="62" spans="1:6" s="2" customFormat="1">
      <c r="A62" s="6" t="s">
        <v>108</v>
      </c>
      <c r="B62" s="7">
        <f>ISmod!B45</f>
        <v>1907</v>
      </c>
      <c r="C62" s="7">
        <f>ISmod!C45</f>
        <v>1273</v>
      </c>
      <c r="D62" s="7">
        <f>ISmod!D45</f>
        <v>-267</v>
      </c>
      <c r="E62" s="7">
        <f>ISmod!E45</f>
        <v>1099</v>
      </c>
      <c r="F62" s="7">
        <f>ISmod!F45</f>
        <v>2358</v>
      </c>
    </row>
    <row r="63" spans="1:6" s="2" customFormat="1">
      <c r="A63" s="6" t="s">
        <v>120</v>
      </c>
      <c r="B63" s="7">
        <v>-370</v>
      </c>
      <c r="C63" s="7">
        <v>30</v>
      </c>
      <c r="D63" s="7">
        <v>226</v>
      </c>
      <c r="E63" s="7">
        <v>-207</v>
      </c>
      <c r="F63" s="7">
        <v>-387</v>
      </c>
    </row>
    <row r="64" spans="1:6" s="2" customFormat="1">
      <c r="A64" s="6" t="s">
        <v>125</v>
      </c>
      <c r="B64" s="7">
        <v>-543</v>
      </c>
      <c r="C64" s="7">
        <v>-612</v>
      </c>
      <c r="D64" s="7">
        <v>-156</v>
      </c>
      <c r="E64" s="7">
        <v>0</v>
      </c>
      <c r="F64" s="7">
        <v>-321</v>
      </c>
    </row>
    <row r="65" spans="1:7" s="2" customFormat="1">
      <c r="A65" s="6" t="s">
        <v>121</v>
      </c>
      <c r="B65" s="7">
        <v>86</v>
      </c>
      <c r="C65" s="7">
        <v>46</v>
      </c>
      <c r="D65" s="7">
        <v>89</v>
      </c>
      <c r="E65" s="7">
        <v>92</v>
      </c>
      <c r="F65" s="7">
        <v>104</v>
      </c>
    </row>
    <row r="66" spans="1:7" s="2" customFormat="1">
      <c r="A66" s="6" t="s">
        <v>122</v>
      </c>
      <c r="B66" s="7">
        <v>-2809</v>
      </c>
      <c r="C66" s="7">
        <v>-2260</v>
      </c>
      <c r="D66" s="7">
        <v>-150</v>
      </c>
      <c r="E66" s="7">
        <v>0</v>
      </c>
      <c r="F66" s="7">
        <v>-2600</v>
      </c>
    </row>
    <row r="67" spans="1:7" s="2" customFormat="1" ht="20">
      <c r="A67" s="9" t="s">
        <v>83</v>
      </c>
      <c r="B67" s="9">
        <f>SUM(B60:B66)</f>
        <v>2225</v>
      </c>
      <c r="C67" s="9">
        <f>SUM(C60:C66)</f>
        <v>703</v>
      </c>
      <c r="D67" s="9">
        <f>SUM(D60:D66)</f>
        <v>430</v>
      </c>
      <c r="E67" s="9">
        <f>SUM(E60:E66)</f>
        <v>1414</v>
      </c>
      <c r="F67" s="9">
        <f>SUM(F60:F66)</f>
        <v>568</v>
      </c>
    </row>
    <row r="68" spans="1:7" s="1" customFormat="1" ht="20">
      <c r="A68" s="16" t="s">
        <v>99</v>
      </c>
      <c r="B68" s="16">
        <f>B49+B67+B57</f>
        <v>23696</v>
      </c>
      <c r="C68" s="16">
        <f>C49+C67+C57</f>
        <v>25051</v>
      </c>
      <c r="D68" s="16">
        <f>D49+D67+D57</f>
        <v>24701</v>
      </c>
      <c r="E68" s="16">
        <f>E49+E67+E57</f>
        <v>25553</v>
      </c>
      <c r="F68" s="16">
        <f>F49+F67+F57</f>
        <v>24815</v>
      </c>
    </row>
    <row r="69" spans="1:7" s="2" customFormat="1"/>
    <row r="70" spans="1:7" s="2" customFormat="1"/>
    <row r="71" spans="1:7" s="2" customFormat="1"/>
    <row r="72" spans="1:7" s="2" customFormat="1"/>
    <row r="73" spans="1:7" s="2" customFormat="1"/>
    <row r="74" spans="1:7" s="2" customFormat="1"/>
    <row r="75" spans="1:7" s="2" customFormat="1">
      <c r="A75" s="677" t="s">
        <v>96</v>
      </c>
      <c r="B75" s="677"/>
      <c r="C75" s="677"/>
      <c r="D75" s="677"/>
      <c r="E75" s="677"/>
      <c r="F75" s="677"/>
    </row>
    <row r="76" spans="1:7" s="2" customFormat="1" ht="17" customHeight="1">
      <c r="A76" s="686">
        <v>2</v>
      </c>
      <c r="B76" s="680" t="s">
        <v>127</v>
      </c>
      <c r="C76" s="680"/>
      <c r="D76" s="680"/>
      <c r="E76" s="680"/>
      <c r="F76" s="680"/>
      <c r="G76" s="30"/>
    </row>
    <row r="77" spans="1:7">
      <c r="A77" s="686"/>
      <c r="B77" s="680"/>
      <c r="C77" s="680"/>
      <c r="D77" s="680"/>
      <c r="E77" s="680"/>
      <c r="F77" s="680"/>
      <c r="G77" s="30"/>
    </row>
    <row r="78" spans="1:7">
      <c r="A78" s="686"/>
      <c r="B78" s="680"/>
      <c r="C78" s="680"/>
      <c r="D78" s="680"/>
      <c r="E78" s="680"/>
      <c r="F78" s="680"/>
      <c r="G78" s="30"/>
    </row>
    <row r="79" spans="1:7">
      <c r="A79" s="686"/>
      <c r="B79" s="680"/>
      <c r="C79" s="680"/>
      <c r="D79" s="680"/>
      <c r="E79" s="680"/>
      <c r="F79" s="680"/>
      <c r="G79" s="30"/>
    </row>
    <row r="80" spans="1:7">
      <c r="A80" s="682">
        <v>3</v>
      </c>
      <c r="B80" s="679" t="s">
        <v>160</v>
      </c>
      <c r="C80" s="679"/>
      <c r="D80" s="679"/>
      <c r="E80" s="679"/>
      <c r="F80" s="679"/>
      <c r="G80" s="30"/>
    </row>
    <row r="81" spans="1:7">
      <c r="A81" s="683"/>
      <c r="B81" s="680"/>
      <c r="C81" s="680"/>
      <c r="D81" s="680"/>
      <c r="E81" s="680"/>
      <c r="F81" s="680"/>
      <c r="G81" s="30"/>
    </row>
    <row r="82" spans="1:7">
      <c r="A82" s="683"/>
      <c r="B82" s="680"/>
      <c r="C82" s="680"/>
      <c r="D82" s="680"/>
      <c r="E82" s="680"/>
      <c r="F82" s="680"/>
      <c r="G82" s="30"/>
    </row>
    <row r="83" spans="1:7">
      <c r="A83" s="683"/>
      <c r="B83" s="680"/>
      <c r="C83" s="680"/>
      <c r="D83" s="680"/>
      <c r="E83" s="680"/>
      <c r="F83" s="680"/>
      <c r="G83" s="30"/>
    </row>
    <row r="84" spans="1:7" ht="42" customHeight="1">
      <c r="A84" s="683"/>
      <c r="B84" s="680"/>
      <c r="C84" s="680"/>
      <c r="D84" s="680"/>
      <c r="E84" s="680"/>
      <c r="F84" s="680"/>
      <c r="G84" s="30"/>
    </row>
    <row r="85" spans="1:7">
      <c r="A85" s="684"/>
      <c r="B85" s="681"/>
      <c r="C85" s="681"/>
      <c r="D85" s="681"/>
      <c r="E85" s="681"/>
      <c r="F85" s="681"/>
    </row>
    <row r="86" spans="1:7">
      <c r="A86" s="683">
        <v>4</v>
      </c>
      <c r="B86" s="685" t="s">
        <v>165</v>
      </c>
      <c r="C86" s="685"/>
      <c r="D86" s="685"/>
      <c r="E86" s="685"/>
      <c r="F86" s="685"/>
    </row>
    <row r="87" spans="1:7">
      <c r="A87" s="683"/>
      <c r="B87" s="685"/>
      <c r="C87" s="685"/>
      <c r="D87" s="685"/>
      <c r="E87" s="685"/>
      <c r="F87" s="685"/>
    </row>
    <row r="88" spans="1:7">
      <c r="A88" s="683"/>
      <c r="B88" s="685"/>
      <c r="C88" s="685"/>
      <c r="D88" s="685"/>
      <c r="E88" s="685"/>
      <c r="F88" s="685"/>
    </row>
    <row r="89" spans="1:7">
      <c r="A89" s="683"/>
      <c r="B89" s="685"/>
      <c r="C89" s="685"/>
      <c r="D89" s="685"/>
      <c r="E89" s="685"/>
      <c r="F89" s="685"/>
    </row>
    <row r="90" spans="1:7" ht="17" customHeight="1">
      <c r="A90" s="683"/>
      <c r="B90" s="685"/>
      <c r="C90" s="685"/>
      <c r="D90" s="685"/>
      <c r="E90" s="685"/>
      <c r="F90" s="685"/>
    </row>
    <row r="91" spans="1:7">
      <c r="A91" s="683"/>
      <c r="B91" s="685"/>
      <c r="C91" s="685"/>
      <c r="D91" s="685"/>
      <c r="E91" s="685"/>
      <c r="F91" s="685"/>
    </row>
    <row r="92" spans="1:7">
      <c r="A92" s="683"/>
      <c r="B92" s="685"/>
      <c r="C92" s="685"/>
      <c r="D92" s="685"/>
      <c r="E92" s="685"/>
      <c r="F92" s="685"/>
    </row>
  </sheetData>
  <mergeCells count="9">
    <mergeCell ref="B80:F85"/>
    <mergeCell ref="A80:A85"/>
    <mergeCell ref="B86:F92"/>
    <mergeCell ref="A86:A92"/>
    <mergeCell ref="A1:F1"/>
    <mergeCell ref="A3:F3"/>
    <mergeCell ref="A75:F75"/>
    <mergeCell ref="B76:F79"/>
    <mergeCell ref="A76:A79"/>
  </mergeCells>
  <hyperlinks>
    <hyperlink ref="E4" r:id="rId1" xr:uid="{673231E3-629B-5844-A15D-A1CA49DC7D3B}"/>
    <hyperlink ref="E6" r:id="rId2" xr:uid="{5AE82AF0-04D4-3C4F-8C47-D085F493E078}"/>
    <hyperlink ref="E5" r:id="rId3" xr:uid="{6480A4CF-3BDC-4E42-AB38-A2A92A7A8806}"/>
  </hyperlinks>
  <pageMargins left="0.7" right="0.7" top="0.75" bottom="0.75" header="0.3" footer="0.3"/>
  <pageSetup paperSize="9" orientation="portrait" horizontalDpi="0" verticalDpi="0"/>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31D4F-0C80-2743-A517-CC345384DC8E}">
  <sheetPr codeName="Sheet14">
    <tabColor theme="9" tint="0.79998168889431442"/>
  </sheetPr>
  <dimension ref="A1:H71"/>
  <sheetViews>
    <sheetView zoomScale="90" workbookViewId="0">
      <pane xSplit="1" topLeftCell="B1" activePane="topRight" state="frozen"/>
      <selection pane="topRight" sqref="A1:F6"/>
    </sheetView>
  </sheetViews>
  <sheetFormatPr baseColWidth="10" defaultColWidth="10.83203125" defaultRowHeight="16"/>
  <cols>
    <col min="1" max="1" width="46.1640625" style="3" bestFit="1" customWidth="1"/>
    <col min="2" max="6" width="23.33203125" style="3" customWidth="1"/>
    <col min="7" max="16384" width="10.83203125" style="3"/>
  </cols>
  <sheetData>
    <row r="1" spans="1:8" ht="25">
      <c r="A1" s="661" t="s">
        <v>116</v>
      </c>
      <c r="B1" s="661"/>
      <c r="C1" s="661"/>
      <c r="D1" s="661"/>
      <c r="E1" s="661"/>
      <c r="F1" s="661"/>
    </row>
    <row r="2" spans="1:8" ht="17">
      <c r="A2" s="1"/>
    </row>
    <row r="3" spans="1:8" s="2" customFormat="1" ht="17">
      <c r="A3" s="662" t="s">
        <v>95</v>
      </c>
      <c r="B3" s="662"/>
      <c r="C3" s="662"/>
      <c r="D3" s="662"/>
      <c r="E3" s="662"/>
      <c r="F3" s="662"/>
    </row>
    <row r="4" spans="1:8" s="2" customFormat="1" ht="17">
      <c r="A4" s="20" t="s">
        <v>86</v>
      </c>
      <c r="B4" s="21" t="s">
        <v>87</v>
      </c>
      <c r="C4" s="7"/>
      <c r="D4" s="20" t="s">
        <v>102</v>
      </c>
      <c r="E4" s="23" t="s">
        <v>91</v>
      </c>
      <c r="F4" s="7"/>
    </row>
    <row r="5" spans="1:8" s="2" customFormat="1" ht="17">
      <c r="A5" s="20" t="s">
        <v>88</v>
      </c>
      <c r="B5" s="21" t="s">
        <v>85</v>
      </c>
      <c r="C5" s="7"/>
      <c r="D5" s="50" t="s">
        <v>129</v>
      </c>
      <c r="E5" s="23" t="s">
        <v>90</v>
      </c>
      <c r="F5" s="23"/>
      <c r="H5" s="24"/>
    </row>
    <row r="6" spans="1:8" s="2" customFormat="1" ht="17">
      <c r="A6" s="20" t="s">
        <v>89</v>
      </c>
      <c r="B6" s="21" t="s">
        <v>130</v>
      </c>
      <c r="C6" s="7"/>
      <c r="D6" s="22"/>
      <c r="E6" s="23" t="s">
        <v>92</v>
      </c>
      <c r="F6" s="23"/>
      <c r="G6" s="24"/>
      <c r="H6" s="24"/>
    </row>
    <row r="7" spans="1:8" ht="17">
      <c r="A7" s="1"/>
    </row>
    <row r="8" spans="1:8" s="2" customFormat="1" ht="17">
      <c r="A8" s="15" t="s">
        <v>105</v>
      </c>
      <c r="B8" s="33">
        <v>43465</v>
      </c>
      <c r="C8" s="33">
        <v>43830</v>
      </c>
      <c r="D8" s="33">
        <v>44196</v>
      </c>
      <c r="E8" s="33">
        <v>44561</v>
      </c>
      <c r="F8" s="33">
        <v>44926</v>
      </c>
    </row>
    <row r="9" spans="1:8" s="2" customFormat="1" ht="17">
      <c r="A9" s="7"/>
      <c r="B9" s="7"/>
      <c r="C9" s="7"/>
      <c r="D9" s="7"/>
      <c r="E9" s="7"/>
      <c r="F9" s="7"/>
    </row>
    <row r="10" spans="1:8" s="2" customFormat="1" ht="17">
      <c r="A10" s="15" t="s">
        <v>143</v>
      </c>
      <c r="B10" s="15"/>
      <c r="C10" s="15"/>
      <c r="D10" s="15"/>
      <c r="E10" s="15"/>
      <c r="F10" s="15"/>
    </row>
    <row r="11" spans="1:8" s="2" customFormat="1" ht="17">
      <c r="A11" s="55" t="s">
        <v>141</v>
      </c>
      <c r="B11" s="15"/>
      <c r="C11" s="15"/>
      <c r="D11" s="15"/>
      <c r="E11" s="15"/>
      <c r="F11" s="15"/>
    </row>
    <row r="12" spans="1:8" s="2" customFormat="1" ht="17">
      <c r="A12" s="6" t="s">
        <v>135</v>
      </c>
      <c r="B12" s="7">
        <v>2158</v>
      </c>
      <c r="C12" s="7">
        <v>2265</v>
      </c>
      <c r="D12" s="7">
        <v>914</v>
      </c>
      <c r="E12" s="7">
        <v>1580</v>
      </c>
      <c r="F12" s="7">
        <v>2486</v>
      </c>
    </row>
    <row r="13" spans="1:8" s="2" customFormat="1" ht="17">
      <c r="A13" s="6" t="s">
        <v>136</v>
      </c>
      <c r="B13" s="7">
        <v>-45</v>
      </c>
      <c r="C13" s="7">
        <v>-48</v>
      </c>
      <c r="D13" s="7">
        <v>-108</v>
      </c>
      <c r="E13" s="7">
        <v>-55</v>
      </c>
      <c r="F13" s="7">
        <v>-60</v>
      </c>
    </row>
    <row r="14" spans="1:8" s="2" customFormat="1" ht="20">
      <c r="A14" s="10" t="s">
        <v>137</v>
      </c>
      <c r="B14" s="9">
        <f>B12+B13</f>
        <v>2113</v>
      </c>
      <c r="C14" s="9">
        <f>C12+C13</f>
        <v>2217</v>
      </c>
      <c r="D14" s="9">
        <f>D12+D13</f>
        <v>806</v>
      </c>
      <c r="E14" s="9">
        <f>E12+E13</f>
        <v>1525</v>
      </c>
      <c r="F14" s="9">
        <f>F12+F13</f>
        <v>2426</v>
      </c>
    </row>
    <row r="15" spans="1:8" s="2" customFormat="1" ht="17">
      <c r="A15" s="6" t="s">
        <v>138</v>
      </c>
      <c r="B15" s="7">
        <f>593+128</f>
        <v>721</v>
      </c>
      <c r="C15" s="7">
        <v>715</v>
      </c>
      <c r="D15" s="7">
        <v>198</v>
      </c>
      <c r="E15" s="7">
        <v>282</v>
      </c>
      <c r="F15" s="7">
        <v>479</v>
      </c>
    </row>
    <row r="16" spans="1:8" s="2" customFormat="1" ht="17">
      <c r="A16" s="6" t="s">
        <v>147</v>
      </c>
      <c r="B16" s="7">
        <v>13455</v>
      </c>
      <c r="C16" s="7">
        <v>13901</v>
      </c>
      <c r="D16" s="7">
        <v>6901</v>
      </c>
      <c r="E16" s="7">
        <v>8549</v>
      </c>
      <c r="F16" s="7">
        <v>12848</v>
      </c>
    </row>
    <row r="17" spans="1:6" s="2" customFormat="1" ht="20">
      <c r="A17" s="10" t="s">
        <v>139</v>
      </c>
      <c r="B17" s="9">
        <f>B15+B16+B14</f>
        <v>16289</v>
      </c>
      <c r="C17" s="9">
        <f>C15+C16+C14</f>
        <v>16833</v>
      </c>
      <c r="D17" s="9">
        <f>D15+D16+D14</f>
        <v>7905</v>
      </c>
      <c r="E17" s="9">
        <f>E15+E16+E14</f>
        <v>10356</v>
      </c>
      <c r="F17" s="9">
        <f>F15+F16+F14</f>
        <v>15753</v>
      </c>
    </row>
    <row r="18" spans="1:6" s="2" customFormat="1" ht="17">
      <c r="A18" s="7"/>
      <c r="B18" s="7"/>
      <c r="C18" s="7"/>
      <c r="D18" s="7"/>
      <c r="E18" s="7"/>
      <c r="F18" s="7"/>
    </row>
    <row r="19" spans="1:6" s="2" customFormat="1" ht="17">
      <c r="A19" s="55" t="s">
        <v>146</v>
      </c>
      <c r="B19" s="15"/>
      <c r="C19" s="15"/>
      <c r="D19" s="15"/>
      <c r="E19" s="15"/>
      <c r="F19" s="15"/>
    </row>
    <row r="20" spans="1:6" s="2" customFormat="1" ht="17">
      <c r="A20" s="6" t="s">
        <v>135</v>
      </c>
      <c r="B20" s="7">
        <f>479+518</f>
        <v>997</v>
      </c>
      <c r="C20" s="7">
        <v>1032</v>
      </c>
      <c r="D20" s="7">
        <v>338</v>
      </c>
      <c r="E20" s="7">
        <v>568</v>
      </c>
      <c r="F20" s="7">
        <v>917</v>
      </c>
    </row>
    <row r="21" spans="1:6" s="2" customFormat="1" ht="17">
      <c r="A21" s="6" t="s">
        <v>136</v>
      </c>
      <c r="B21" s="7">
        <v>-13</v>
      </c>
      <c r="C21" s="7">
        <v>-14</v>
      </c>
      <c r="D21" s="7">
        <v>-24</v>
      </c>
      <c r="E21" s="7">
        <v>-20</v>
      </c>
      <c r="F21" s="7">
        <v>-29</v>
      </c>
    </row>
    <row r="22" spans="1:6" s="2" customFormat="1" ht="20">
      <c r="A22" s="10" t="s">
        <v>137</v>
      </c>
      <c r="B22" s="9">
        <f>B20+B21</f>
        <v>984</v>
      </c>
      <c r="C22" s="9">
        <f>C20+C21</f>
        <v>1018</v>
      </c>
      <c r="D22" s="9">
        <f>D20+D21</f>
        <v>314</v>
      </c>
      <c r="E22" s="9">
        <f>E20+E21</f>
        <v>548</v>
      </c>
      <c r="F22" s="9">
        <f>F20+F21</f>
        <v>888</v>
      </c>
    </row>
    <row r="23" spans="1:6" s="2" customFormat="1" ht="17">
      <c r="A23" s="6" t="s">
        <v>138</v>
      </c>
      <c r="B23" s="7">
        <f>668+182</f>
        <v>850</v>
      </c>
      <c r="C23" s="7">
        <v>841</v>
      </c>
      <c r="D23" s="7">
        <v>317</v>
      </c>
      <c r="E23" s="7">
        <v>467</v>
      </c>
      <c r="F23" s="7">
        <v>801</v>
      </c>
    </row>
    <row r="24" spans="1:6" s="2" customFormat="1" ht="17">
      <c r="A24" s="6" t="s">
        <v>154</v>
      </c>
      <c r="B24" s="7">
        <f>459+1091</f>
        <v>1550</v>
      </c>
      <c r="C24" s="7">
        <v>1685</v>
      </c>
      <c r="D24" s="7">
        <v>966</v>
      </c>
      <c r="E24" s="7">
        <v>1239</v>
      </c>
      <c r="F24" s="7">
        <v>1797</v>
      </c>
    </row>
    <row r="25" spans="1:6" s="2" customFormat="1" ht="20">
      <c r="A25" s="10" t="s">
        <v>139</v>
      </c>
      <c r="B25" s="9">
        <f>B22+B23+B24</f>
        <v>3384</v>
      </c>
      <c r="C25" s="9">
        <f>C22+C23+C24</f>
        <v>3544</v>
      </c>
      <c r="D25" s="9">
        <f>D22+D23+D24</f>
        <v>1597</v>
      </c>
      <c r="E25" s="9">
        <f>E22+E23+E24</f>
        <v>2254</v>
      </c>
      <c r="F25" s="9">
        <f>F22+F23+F24</f>
        <v>3486</v>
      </c>
    </row>
    <row r="26" spans="1:6" s="2" customFormat="1" ht="17">
      <c r="A26" s="6"/>
      <c r="B26" s="7"/>
      <c r="C26" s="7"/>
      <c r="D26" s="7"/>
      <c r="E26" s="7"/>
      <c r="F26" s="7"/>
    </row>
    <row r="27" spans="1:6" s="2" customFormat="1" ht="17">
      <c r="A27" s="7" t="s">
        <v>140</v>
      </c>
      <c r="B27" s="7">
        <v>1085</v>
      </c>
      <c r="C27" s="7">
        <v>595</v>
      </c>
      <c r="D27" s="7">
        <v>1069</v>
      </c>
      <c r="E27" s="7">
        <v>1247</v>
      </c>
      <c r="F27" s="7">
        <v>1534</v>
      </c>
    </row>
    <row r="28" spans="1:6" s="2" customFormat="1" ht="20">
      <c r="A28" s="16" t="s">
        <v>142</v>
      </c>
      <c r="B28" s="16">
        <f>B17+B27+B25</f>
        <v>20758</v>
      </c>
      <c r="C28" s="16">
        <f>C17+C27+C25</f>
        <v>20972</v>
      </c>
      <c r="D28" s="16">
        <f>D17+D27+D25</f>
        <v>10571</v>
      </c>
      <c r="E28" s="16">
        <f>E17+E27+E25</f>
        <v>13857</v>
      </c>
      <c r="F28" s="16">
        <f>F17+F27+F25</f>
        <v>20773</v>
      </c>
    </row>
    <row r="29" spans="1:6" s="2" customFormat="1" ht="20">
      <c r="A29" s="37"/>
      <c r="B29" s="37"/>
      <c r="C29" s="37"/>
      <c r="D29" s="37"/>
      <c r="E29" s="37"/>
      <c r="F29" s="37"/>
    </row>
    <row r="30" spans="1:6" s="2" customFormat="1" ht="17">
      <c r="A30" s="15" t="s">
        <v>144</v>
      </c>
      <c r="B30" s="32"/>
      <c r="C30" s="32"/>
      <c r="D30" s="32"/>
      <c r="E30" s="32"/>
      <c r="F30" s="32"/>
    </row>
    <row r="31" spans="1:6" s="2" customFormat="1" ht="17">
      <c r="A31" s="6" t="s">
        <v>7</v>
      </c>
      <c r="B31" s="7">
        <v>-1306</v>
      </c>
      <c r="C31" s="7">
        <v>-1316</v>
      </c>
      <c r="D31" s="7">
        <v>-677</v>
      </c>
      <c r="E31" s="7">
        <v>-734</v>
      </c>
      <c r="F31" s="7">
        <v>-1074</v>
      </c>
    </row>
    <row r="32" spans="1:6" s="2" customFormat="1" ht="17">
      <c r="A32" s="6" t="s">
        <v>41</v>
      </c>
      <c r="B32" s="7">
        <v>-226</v>
      </c>
      <c r="C32" s="7">
        <v>-341</v>
      </c>
      <c r="D32" s="7">
        <v>-346</v>
      </c>
      <c r="E32" s="7">
        <v>-220</v>
      </c>
      <c r="F32" s="7">
        <v>-193</v>
      </c>
    </row>
    <row r="33" spans="1:6" s="2" customFormat="1" ht="17">
      <c r="A33" s="6" t="s">
        <v>9</v>
      </c>
      <c r="B33" s="7">
        <v>-927</v>
      </c>
      <c r="C33" s="7">
        <v>-938</v>
      </c>
      <c r="D33" s="7">
        <v>-762</v>
      </c>
      <c r="E33" s="7">
        <v>-823</v>
      </c>
      <c r="F33" s="7">
        <v>-891</v>
      </c>
    </row>
    <row r="34" spans="1:6" s="2" customFormat="1" ht="17">
      <c r="A34" s="6" t="s">
        <v>8</v>
      </c>
      <c r="B34" s="7">
        <v>-155</v>
      </c>
      <c r="C34" s="7">
        <v>-138</v>
      </c>
      <c r="D34" s="7">
        <v>-267</v>
      </c>
      <c r="E34" s="7">
        <v>-8</v>
      </c>
      <c r="F34" s="7">
        <v>-12</v>
      </c>
    </row>
    <row r="35" spans="1:6" s="2" customFormat="1" ht="17">
      <c r="A35" s="6" t="s">
        <v>149</v>
      </c>
      <c r="B35" s="7">
        <v>-15778</v>
      </c>
      <c r="C35" s="7">
        <v>-16439</v>
      </c>
      <c r="D35" s="7">
        <v>-8435</v>
      </c>
      <c r="E35" s="7">
        <v>-10322</v>
      </c>
      <c r="F35" s="7">
        <v>-15141</v>
      </c>
    </row>
    <row r="36" spans="1:6" s="2" customFormat="1" ht="20">
      <c r="A36" s="36" t="s">
        <v>107</v>
      </c>
      <c r="B36" s="36">
        <f>SUM(B31:B35)</f>
        <v>-18392</v>
      </c>
      <c r="C36" s="36">
        <f>SUM(C31:C35)</f>
        <v>-19172</v>
      </c>
      <c r="D36" s="36">
        <f>SUM(D31:D35)</f>
        <v>-10487</v>
      </c>
      <c r="E36" s="36">
        <f>SUM(E31:E35)</f>
        <v>-12107</v>
      </c>
      <c r="F36" s="36">
        <f>SUM(F31:F35)</f>
        <v>-17311</v>
      </c>
    </row>
    <row r="37" spans="1:6" s="2" customFormat="1" ht="17">
      <c r="A37" s="7"/>
      <c r="B37" s="7"/>
      <c r="C37" s="7"/>
      <c r="D37" s="7"/>
      <c r="E37" s="7"/>
      <c r="F37" s="7"/>
    </row>
    <row r="38" spans="1:6" s="2" customFormat="1" ht="17">
      <c r="A38" s="6" t="s">
        <v>12</v>
      </c>
      <c r="B38" s="7">
        <v>194</v>
      </c>
      <c r="C38" s="7">
        <v>154</v>
      </c>
      <c r="D38" s="7">
        <v>9</v>
      </c>
      <c r="E38" s="7">
        <v>10</v>
      </c>
      <c r="F38" s="7">
        <v>11</v>
      </c>
    </row>
    <row r="39" spans="1:6" s="2" customFormat="1" ht="17">
      <c r="A39" s="6" t="s">
        <v>38</v>
      </c>
      <c r="B39" s="8" t="s">
        <v>37</v>
      </c>
      <c r="C39" s="8" t="s">
        <v>37</v>
      </c>
      <c r="D39" s="8" t="s">
        <v>37</v>
      </c>
      <c r="E39" s="8">
        <v>-164</v>
      </c>
      <c r="F39" s="8" t="s">
        <v>37</v>
      </c>
    </row>
    <row r="40" spans="1:6" s="2" customFormat="1" ht="17">
      <c r="A40" s="6" t="s">
        <v>13</v>
      </c>
      <c r="B40" s="7">
        <v>-340</v>
      </c>
      <c r="C40" s="7">
        <v>-394</v>
      </c>
      <c r="D40" s="7">
        <v>-445</v>
      </c>
      <c r="E40" s="7">
        <v>-420</v>
      </c>
      <c r="F40" s="7">
        <v>-403</v>
      </c>
    </row>
    <row r="41" spans="1:6" s="2" customFormat="1" ht="17">
      <c r="A41" s="6" t="s">
        <v>14</v>
      </c>
      <c r="B41" s="7">
        <v>22</v>
      </c>
      <c r="C41" s="7">
        <v>26</v>
      </c>
      <c r="D41" s="7">
        <v>27</v>
      </c>
      <c r="E41" s="7">
        <v>28</v>
      </c>
      <c r="F41" s="7">
        <v>26</v>
      </c>
    </row>
    <row r="42" spans="1:6" s="2" customFormat="1" ht="17">
      <c r="A42" s="6" t="s">
        <v>150</v>
      </c>
      <c r="B42" s="7">
        <v>103</v>
      </c>
      <c r="C42" s="7">
        <v>13</v>
      </c>
      <c r="D42" s="7">
        <v>-141</v>
      </c>
      <c r="E42" s="7">
        <v>-24</v>
      </c>
      <c r="F42" s="7">
        <v>18</v>
      </c>
    </row>
    <row r="43" spans="1:6" s="2" customFormat="1" ht="20">
      <c r="A43" s="9" t="s">
        <v>110</v>
      </c>
      <c r="B43" s="9">
        <f>SUM(B38:B42)+B28+B36</f>
        <v>2345</v>
      </c>
      <c r="C43" s="9">
        <f>SUM(C38:C42)+C28+C36</f>
        <v>1599</v>
      </c>
      <c r="D43" s="9">
        <f>SUM(D38:D42)+D28+D36</f>
        <v>-466</v>
      </c>
      <c r="E43" s="9">
        <f>SUM(E38:E42)+E28+E36</f>
        <v>1180</v>
      </c>
      <c r="F43" s="9">
        <f>SUM(F38:F42)+F28+F36</f>
        <v>3114</v>
      </c>
    </row>
    <row r="44" spans="1:6" s="2" customFormat="1" ht="17">
      <c r="A44" s="6" t="s">
        <v>11</v>
      </c>
      <c r="B44" s="7">
        <v>-438</v>
      </c>
      <c r="C44" s="7">
        <v>-326</v>
      </c>
      <c r="D44" s="7">
        <v>199</v>
      </c>
      <c r="E44" s="7">
        <v>-81</v>
      </c>
      <c r="F44" s="7">
        <v>-756</v>
      </c>
    </row>
    <row r="45" spans="1:6" s="2" customFormat="1" ht="20">
      <c r="A45" s="16" t="s">
        <v>108</v>
      </c>
      <c r="B45" s="16">
        <f>SUM(B43:B44)</f>
        <v>1907</v>
      </c>
      <c r="C45" s="16">
        <f>SUM(C43:C44)</f>
        <v>1273</v>
      </c>
      <c r="D45" s="16">
        <f>SUM(D43:D44)</f>
        <v>-267</v>
      </c>
      <c r="E45" s="16">
        <f>SUM(E43:E44)</f>
        <v>1099</v>
      </c>
      <c r="F45" s="16">
        <f>SUM(F43:F44)</f>
        <v>2358</v>
      </c>
    </row>
    <row r="48" spans="1:6" ht="17">
      <c r="A48" s="677" t="s">
        <v>96</v>
      </c>
      <c r="B48" s="677"/>
      <c r="C48" s="677"/>
      <c r="D48" s="677"/>
      <c r="E48" s="677"/>
      <c r="F48" s="677"/>
    </row>
    <row r="49" spans="1:6" ht="16" customHeight="1">
      <c r="A49" s="691">
        <v>2</v>
      </c>
      <c r="B49" s="685" t="s">
        <v>133</v>
      </c>
      <c r="C49" s="685"/>
      <c r="D49" s="685"/>
      <c r="E49" s="685"/>
      <c r="F49" s="685"/>
    </row>
    <row r="50" spans="1:6" ht="16" customHeight="1">
      <c r="A50" s="691"/>
      <c r="B50" s="685"/>
      <c r="C50" s="685"/>
      <c r="D50" s="685"/>
      <c r="E50" s="685"/>
      <c r="F50" s="685"/>
    </row>
    <row r="51" spans="1:6" ht="16" customHeight="1">
      <c r="A51" s="691"/>
      <c r="B51" s="685"/>
      <c r="C51" s="685"/>
      <c r="D51" s="685"/>
      <c r="E51" s="685"/>
      <c r="F51" s="685"/>
    </row>
    <row r="52" spans="1:6" ht="17" customHeight="1">
      <c r="A52" s="691"/>
      <c r="B52" s="685"/>
      <c r="C52" s="685"/>
      <c r="D52" s="685"/>
      <c r="E52" s="685"/>
      <c r="F52" s="685"/>
    </row>
    <row r="53" spans="1:6" ht="16" customHeight="1">
      <c r="A53" s="691"/>
      <c r="B53" s="685"/>
      <c r="C53" s="685"/>
      <c r="D53" s="685"/>
      <c r="E53" s="685"/>
      <c r="F53" s="685"/>
    </row>
    <row r="54" spans="1:6">
      <c r="A54" s="691"/>
      <c r="B54" s="685"/>
      <c r="C54" s="685"/>
      <c r="D54" s="685"/>
      <c r="E54" s="685"/>
      <c r="F54" s="685"/>
    </row>
    <row r="55" spans="1:6">
      <c r="A55" s="691"/>
      <c r="B55" s="685"/>
      <c r="C55" s="685"/>
      <c r="D55" s="685"/>
      <c r="E55" s="685"/>
      <c r="F55" s="685"/>
    </row>
    <row r="56" spans="1:6">
      <c r="A56" s="691"/>
      <c r="B56" s="685"/>
      <c r="C56" s="685"/>
      <c r="D56" s="685"/>
      <c r="E56" s="685"/>
      <c r="F56" s="685"/>
    </row>
    <row r="57" spans="1:6">
      <c r="A57" s="692"/>
      <c r="B57" s="689"/>
      <c r="C57" s="689"/>
      <c r="D57" s="689"/>
      <c r="E57" s="689"/>
      <c r="F57" s="689"/>
    </row>
    <row r="58" spans="1:6">
      <c r="A58" s="690">
        <v>3</v>
      </c>
      <c r="B58" s="688" t="s">
        <v>148</v>
      </c>
      <c r="C58" s="688"/>
      <c r="D58" s="688"/>
      <c r="E58" s="688"/>
      <c r="F58" s="688"/>
    </row>
    <row r="59" spans="1:6">
      <c r="A59" s="691"/>
      <c r="B59" s="685"/>
      <c r="C59" s="685"/>
      <c r="D59" s="685"/>
      <c r="E59" s="685"/>
      <c r="F59" s="685"/>
    </row>
    <row r="60" spans="1:6">
      <c r="A60" s="691"/>
      <c r="B60" s="685"/>
      <c r="C60" s="685"/>
      <c r="D60" s="685"/>
      <c r="E60" s="685"/>
      <c r="F60" s="685"/>
    </row>
    <row r="61" spans="1:6">
      <c r="A61" s="691"/>
      <c r="B61" s="685"/>
      <c r="C61" s="685"/>
      <c r="D61" s="685"/>
      <c r="E61" s="685"/>
      <c r="F61" s="685"/>
    </row>
    <row r="62" spans="1:6" ht="16" customHeight="1">
      <c r="A62" s="691"/>
      <c r="B62" s="685"/>
      <c r="C62" s="685"/>
      <c r="D62" s="685"/>
      <c r="E62" s="685"/>
      <c r="F62" s="685"/>
    </row>
    <row r="63" spans="1:6">
      <c r="A63" s="692"/>
      <c r="B63" s="689"/>
      <c r="C63" s="689"/>
      <c r="D63" s="689"/>
      <c r="E63" s="689"/>
      <c r="F63" s="689"/>
    </row>
    <row r="64" spans="1:6">
      <c r="A64" s="690">
        <v>4</v>
      </c>
      <c r="B64" s="688" t="s">
        <v>151</v>
      </c>
      <c r="C64" s="688"/>
      <c r="D64" s="688"/>
      <c r="E64" s="688"/>
      <c r="F64" s="688"/>
    </row>
    <row r="65" spans="1:6">
      <c r="A65" s="691"/>
      <c r="B65" s="685"/>
      <c r="C65" s="685"/>
      <c r="D65" s="685"/>
      <c r="E65" s="685"/>
      <c r="F65" s="685"/>
    </row>
    <row r="66" spans="1:6">
      <c r="A66" s="692"/>
      <c r="B66" s="689"/>
      <c r="C66" s="689"/>
      <c r="D66" s="689"/>
      <c r="E66" s="689"/>
      <c r="F66" s="689"/>
    </row>
    <row r="67" spans="1:6">
      <c r="A67" s="693">
        <v>5</v>
      </c>
      <c r="B67" s="688" t="s">
        <v>152</v>
      </c>
      <c r="C67" s="688"/>
      <c r="D67" s="688"/>
      <c r="E67" s="688"/>
      <c r="F67" s="688"/>
    </row>
    <row r="68" spans="1:6">
      <c r="A68" s="694"/>
      <c r="B68" s="685"/>
      <c r="C68" s="685"/>
      <c r="D68" s="685"/>
      <c r="E68" s="685"/>
      <c r="F68" s="685"/>
    </row>
    <row r="69" spans="1:6">
      <c r="A69" s="694"/>
      <c r="B69" s="685"/>
      <c r="C69" s="685"/>
      <c r="D69" s="685"/>
      <c r="E69" s="685"/>
      <c r="F69" s="685"/>
    </row>
    <row r="70" spans="1:6">
      <c r="A70" s="695"/>
      <c r="B70" s="689"/>
      <c r="C70" s="689"/>
      <c r="D70" s="689"/>
      <c r="E70" s="689"/>
      <c r="F70" s="689"/>
    </row>
    <row r="71" spans="1:6" ht="17">
      <c r="A71" s="180">
        <v>6</v>
      </c>
      <c r="B71" s="687" t="s">
        <v>153</v>
      </c>
      <c r="C71" s="687"/>
      <c r="D71" s="687"/>
      <c r="E71" s="687"/>
      <c r="F71" s="687"/>
    </row>
  </sheetData>
  <mergeCells count="12">
    <mergeCell ref="A1:F1"/>
    <mergeCell ref="A3:F3"/>
    <mergeCell ref="A48:F48"/>
    <mergeCell ref="B71:F71"/>
    <mergeCell ref="B67:F70"/>
    <mergeCell ref="A64:A66"/>
    <mergeCell ref="B49:F57"/>
    <mergeCell ref="A67:A70"/>
    <mergeCell ref="A49:A57"/>
    <mergeCell ref="B58:F63"/>
    <mergeCell ref="A58:A63"/>
    <mergeCell ref="B64:F66"/>
  </mergeCells>
  <hyperlinks>
    <hyperlink ref="E4" r:id="rId1" xr:uid="{716143D9-E09B-6845-92A9-AF4116D3CE81}"/>
    <hyperlink ref="E6" r:id="rId2" xr:uid="{C4E941D0-EBF7-A34C-BE5B-C35E9A798DAE}"/>
    <hyperlink ref="E5" r:id="rId3" xr:uid="{314B744F-792E-8447-8EB2-045D1EFBC8D9}"/>
  </hyperlinks>
  <pageMargins left="0.7" right="0.7" top="0.75" bottom="0.75" header="0.3" footer="0.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D319-37D1-1746-99E2-1FBB512F3D3B}">
  <sheetPr>
    <tabColor rgb="FFFBE4D5"/>
  </sheetPr>
  <dimension ref="A1:Y1012"/>
  <sheetViews>
    <sheetView workbookViewId="0">
      <pane xSplit="1" topLeftCell="B1" activePane="topRight" state="frozen"/>
      <selection pane="topRight" activeCell="F13" sqref="F13"/>
    </sheetView>
  </sheetViews>
  <sheetFormatPr baseColWidth="10" defaultColWidth="11.1640625" defaultRowHeight="15" customHeight="1"/>
  <cols>
    <col min="1" max="1" width="32.5" style="135" bestFit="1" customWidth="1"/>
    <col min="2" max="6" width="13.33203125" style="135" customWidth="1"/>
    <col min="7" max="7" width="3.5" style="135" customWidth="1"/>
    <col min="8" max="10" width="13.33203125" style="135" customWidth="1"/>
    <col min="11" max="12" width="11.83203125" style="135" bestFit="1" customWidth="1"/>
    <col min="13" max="25" width="10.5" style="135" customWidth="1"/>
    <col min="26" max="16384" width="11.1640625" style="135"/>
  </cols>
  <sheetData>
    <row r="1" spans="1:25" ht="25">
      <c r="A1" s="666" t="s">
        <v>363</v>
      </c>
      <c r="B1" s="666"/>
      <c r="C1" s="666"/>
      <c r="D1" s="666"/>
      <c r="E1" s="666"/>
      <c r="F1" s="666"/>
      <c r="G1" s="666"/>
      <c r="H1" s="666"/>
      <c r="I1" s="666"/>
      <c r="J1" s="666"/>
      <c r="K1" s="666"/>
      <c r="L1" s="666"/>
    </row>
    <row r="2" spans="1:25" ht="16" customHeight="1">
      <c r="A2" s="161"/>
      <c r="B2" s="161"/>
      <c r="C2" s="161"/>
      <c r="D2" s="161"/>
      <c r="E2" s="161"/>
      <c r="F2" s="161"/>
      <c r="G2" s="161"/>
      <c r="H2" s="161"/>
      <c r="I2" s="161"/>
      <c r="J2" s="161"/>
      <c r="K2" s="161"/>
      <c r="L2" s="161"/>
    </row>
    <row r="3" spans="1:25" ht="16" customHeight="1">
      <c r="A3" s="662" t="s">
        <v>95</v>
      </c>
      <c r="B3" s="662"/>
      <c r="C3" s="662"/>
      <c r="D3" s="662"/>
      <c r="E3" s="662"/>
      <c r="F3" s="662"/>
      <c r="G3" s="662"/>
      <c r="H3" s="662"/>
      <c r="I3" s="662"/>
      <c r="J3" s="662"/>
      <c r="K3" s="162"/>
      <c r="L3" s="162"/>
    </row>
    <row r="4" spans="1:25" ht="16" customHeight="1">
      <c r="A4" s="181" t="s">
        <v>86</v>
      </c>
      <c r="B4" s="107" t="s">
        <v>87</v>
      </c>
      <c r="C4" s="182"/>
      <c r="D4" s="7"/>
      <c r="E4" s="62"/>
      <c r="F4" s="201"/>
      <c r="G4" s="181" t="s">
        <v>102</v>
      </c>
      <c r="H4" s="183"/>
      <c r="I4" s="195" t="s">
        <v>91</v>
      </c>
      <c r="J4" s="184"/>
      <c r="K4" s="162"/>
      <c r="L4" s="162"/>
    </row>
    <row r="5" spans="1:25" ht="16" customHeight="1">
      <c r="A5" s="181" t="s">
        <v>88</v>
      </c>
      <c r="B5" s="107" t="s">
        <v>85</v>
      </c>
      <c r="C5" s="182"/>
      <c r="D5" s="7"/>
      <c r="E5" s="62"/>
      <c r="F5" s="201"/>
      <c r="G5" s="185" t="s">
        <v>129</v>
      </c>
      <c r="H5" s="186"/>
      <c r="I5" s="195" t="s">
        <v>90</v>
      </c>
      <c r="J5" s="184"/>
      <c r="K5" s="162"/>
      <c r="L5" s="162"/>
    </row>
    <row r="6" spans="1:25" ht="16" customHeight="1">
      <c r="A6" s="181" t="s">
        <v>89</v>
      </c>
      <c r="B6" s="107" t="s">
        <v>648</v>
      </c>
      <c r="C6" s="182"/>
      <c r="D6" s="7"/>
      <c r="E6" s="62"/>
      <c r="F6" s="201"/>
      <c r="G6" s="187"/>
      <c r="H6" s="188"/>
      <c r="I6" s="195" t="s">
        <v>92</v>
      </c>
      <c r="J6" s="184"/>
      <c r="K6" s="162"/>
      <c r="L6" s="162"/>
    </row>
    <row r="7" spans="1:25" ht="16" customHeight="1">
      <c r="A7" s="161"/>
      <c r="B7" s="161"/>
      <c r="C7" s="161"/>
      <c r="D7" s="161"/>
      <c r="E7" s="161"/>
      <c r="F7" s="161"/>
      <c r="G7" s="161"/>
      <c r="H7" s="161"/>
      <c r="I7" s="161"/>
      <c r="J7" s="161"/>
      <c r="K7" s="161"/>
      <c r="L7" s="161"/>
    </row>
    <row r="8" spans="1:25" ht="16" customHeight="1">
      <c r="A8" s="166"/>
      <c r="B8" s="705" t="s">
        <v>365</v>
      </c>
      <c r="C8" s="705"/>
      <c r="D8" s="705"/>
      <c r="E8" s="705"/>
      <c r="F8" s="705"/>
      <c r="G8" s="161"/>
      <c r="H8" s="705" t="s">
        <v>366</v>
      </c>
      <c r="I8" s="705"/>
      <c r="J8" s="705"/>
      <c r="K8" s="705"/>
      <c r="L8" s="705"/>
    </row>
    <row r="9" spans="1:25" ht="16" customHeight="1">
      <c r="A9" s="168" t="s">
        <v>347</v>
      </c>
      <c r="B9" s="151" t="s">
        <v>305</v>
      </c>
      <c r="C9" s="151" t="s">
        <v>306</v>
      </c>
      <c r="D9" s="151" t="s">
        <v>307</v>
      </c>
      <c r="E9" s="151" t="s">
        <v>308</v>
      </c>
      <c r="F9" s="151" t="s">
        <v>309</v>
      </c>
      <c r="G9" s="150"/>
      <c r="H9" s="151" t="s">
        <v>310</v>
      </c>
      <c r="I9" s="151" t="s">
        <v>311</v>
      </c>
      <c r="J9" s="151" t="s">
        <v>312</v>
      </c>
      <c r="K9" s="151" t="s">
        <v>345</v>
      </c>
      <c r="L9" s="151" t="s">
        <v>346</v>
      </c>
      <c r="M9" s="150"/>
      <c r="N9" s="150"/>
      <c r="O9" s="150"/>
      <c r="P9" s="150"/>
      <c r="Q9" s="150"/>
      <c r="R9" s="150"/>
      <c r="S9" s="150"/>
      <c r="T9" s="150"/>
      <c r="U9" s="150"/>
      <c r="V9" s="150"/>
      <c r="W9" s="150"/>
      <c r="X9" s="150"/>
      <c r="Y9" s="150"/>
    </row>
    <row r="10" spans="1:25" ht="16" customHeight="1">
      <c r="A10" s="670" t="s">
        <v>313</v>
      </c>
      <c r="B10" s="670"/>
      <c r="C10" s="670"/>
      <c r="D10" s="670"/>
      <c r="E10" s="670"/>
      <c r="F10" s="670"/>
      <c r="G10" s="670"/>
      <c r="H10" s="670"/>
      <c r="I10" s="670"/>
      <c r="J10" s="670"/>
      <c r="K10" s="670"/>
      <c r="L10" s="670"/>
      <c r="M10" s="150"/>
      <c r="N10" s="150"/>
      <c r="O10" s="150"/>
      <c r="P10" s="150"/>
      <c r="Q10" s="150"/>
      <c r="R10" s="150"/>
      <c r="S10" s="150"/>
      <c r="T10" s="150"/>
      <c r="U10" s="150"/>
      <c r="V10" s="150"/>
      <c r="W10" s="150"/>
      <c r="X10" s="150"/>
      <c r="Y10" s="150"/>
    </row>
    <row r="11" spans="1:25" ht="16" customHeight="1">
      <c r="A11" s="168" t="s">
        <v>314</v>
      </c>
      <c r="B11" s="151">
        <f>'FULL Proforma_Revised &amp; DCF'!B46/Finratios!B46</f>
        <v>5.4470151385318477</v>
      </c>
      <c r="C11" s="151">
        <f>'FULL Proforma_Revised &amp; DCF'!C46/Finratios!C46</f>
        <v>3.8262699128343853</v>
      </c>
      <c r="D11" s="151">
        <f>'FULL Proforma_Revised &amp; DCF'!D46/Finratios!D46</f>
        <v>-0.81952117863720075</v>
      </c>
      <c r="E11" s="151">
        <f>'FULL Proforma_Revised &amp; DCF'!E46/Finratios!E46</f>
        <v>3.35880195599022</v>
      </c>
      <c r="F11" s="151">
        <f>'FULL Proforma_Revised &amp; DCF'!F46/Finratios!F46</f>
        <v>7.2688039457459928</v>
      </c>
      <c r="G11" s="150"/>
      <c r="H11" s="151">
        <f ca="1">'FULL Proforma_Revised &amp; DCF'!H46/Finratios!H46</f>
        <v>6.1263635739483018</v>
      </c>
      <c r="I11" s="151">
        <f ca="1">'FULL Proforma_Revised &amp; DCF'!I46/Finratios!I46</f>
        <v>6.8825199065216909</v>
      </c>
      <c r="J11" s="151">
        <f ca="1">'FULL Proforma_Revised &amp; DCF'!J46/Finratios!J46</f>
        <v>7.7084877524773656</v>
      </c>
      <c r="K11" s="151">
        <f ca="1">'FULL Proforma_Revised &amp; DCF'!K46/Finratios!K46</f>
        <v>8.6104810174359052</v>
      </c>
      <c r="L11" s="151">
        <f ca="1">'FULL Proforma_Revised &amp; DCF'!L46/Finratios!L46</f>
        <v>9.5952687799344201</v>
      </c>
      <c r="M11" s="150"/>
      <c r="N11" s="150"/>
      <c r="O11" s="150"/>
      <c r="P11" s="150"/>
      <c r="Q11" s="150"/>
      <c r="R11" s="150"/>
      <c r="S11" s="150"/>
      <c r="T11" s="150"/>
      <c r="U11" s="150"/>
      <c r="V11" s="150"/>
      <c r="W11" s="150"/>
      <c r="X11" s="150"/>
      <c r="Y11" s="150"/>
    </row>
    <row r="12" spans="1:25" ht="16" customHeight="1">
      <c r="A12" s="168" t="s">
        <v>349</v>
      </c>
      <c r="B12" s="151">
        <f>-Bsproforma_old!B65/Finratios!B46</f>
        <v>1.5509854327335046</v>
      </c>
      <c r="C12" s="151">
        <f>-Bsproforma_old!D65/Finratios!C46</f>
        <v>1.8394950405770965</v>
      </c>
      <c r="D12" s="151">
        <f>-Bsproforma_old!F65/Finratios!D46</f>
        <v>0.47882136279926335</v>
      </c>
      <c r="E12" s="151">
        <f>-Bsproforma_old!H65/Finratios!E46</f>
        <v>0</v>
      </c>
      <c r="F12" s="151">
        <f>-Bsproforma_old!J65/Finratios!F46</f>
        <v>0.98951911220715172</v>
      </c>
      <c r="G12" s="150"/>
      <c r="H12" s="151">
        <f ca="1">-'FULL Proforma_Revised &amp; DCF'!H102/Finratios!H46</f>
        <v>1.8412313371368245</v>
      </c>
      <c r="I12" s="151">
        <f ca="1">-'FULL Proforma_Revised &amp; DCF'!I102/Finratios!I46</f>
        <v>2.0684882928338397</v>
      </c>
      <c r="J12" s="151">
        <f ca="1">-'FULL Proforma_Revised &amp; DCF'!J102/Finratios!J46</f>
        <v>2.3167265606225849</v>
      </c>
      <c r="K12" s="151">
        <f ca="1">-'FULL Proforma_Revised &amp; DCF'!K102/Finratios!K46</f>
        <v>2.5878136819273507</v>
      </c>
      <c r="L12" s="151">
        <f ca="1">-'FULL Proforma_Revised &amp; DCF'!L102/Finratios!L46</f>
        <v>2.8837840511120416</v>
      </c>
      <c r="M12" s="150"/>
      <c r="N12" s="150"/>
      <c r="O12" s="150"/>
      <c r="P12" s="150"/>
      <c r="Q12" s="150"/>
      <c r="R12" s="150"/>
      <c r="S12" s="150"/>
      <c r="T12" s="150"/>
      <c r="U12" s="150"/>
      <c r="V12" s="150"/>
      <c r="W12" s="150"/>
      <c r="X12" s="150"/>
      <c r="Y12" s="150"/>
    </row>
    <row r="13" spans="1:25" ht="16" customHeight="1">
      <c r="A13" s="168" t="s">
        <v>315</v>
      </c>
      <c r="B13" s="189">
        <f>B48/B11</f>
        <v>19.687846879916098</v>
      </c>
      <c r="C13" s="189">
        <f>C48/C11</f>
        <v>39.916159465828748</v>
      </c>
      <c r="D13" s="189">
        <f>D48/D11</f>
        <v>-160.97204494382021</v>
      </c>
      <c r="E13" s="189">
        <f>E48/E11</f>
        <v>49.196112829845319</v>
      </c>
      <c r="F13" s="189">
        <f>F48/F11</f>
        <v>20.485996031123918</v>
      </c>
      <c r="G13" s="150"/>
      <c r="H13" s="551">
        <f ca="1">H48/H11</f>
        <v>29.819357991767564</v>
      </c>
      <c r="I13" s="157" t="s">
        <v>358</v>
      </c>
      <c r="J13" s="157" t="s">
        <v>358</v>
      </c>
      <c r="K13" s="157" t="s">
        <v>358</v>
      </c>
      <c r="L13" s="157" t="s">
        <v>358</v>
      </c>
      <c r="M13" s="150"/>
      <c r="N13" s="150"/>
      <c r="O13" s="150"/>
      <c r="P13" s="150"/>
      <c r="Q13" s="150"/>
      <c r="R13" s="150"/>
      <c r="S13" s="150"/>
      <c r="T13" s="150"/>
      <c r="U13" s="150"/>
      <c r="V13" s="150"/>
      <c r="W13" s="150"/>
      <c r="X13" s="150"/>
      <c r="Y13" s="150"/>
    </row>
    <row r="14" spans="1:25" ht="16" customHeight="1">
      <c r="A14" s="168" t="s">
        <v>316</v>
      </c>
      <c r="B14" s="151">
        <f>B48/(B42/B46)</f>
        <v>16.874033258426966</v>
      </c>
      <c r="C14" s="151">
        <f>C48/(C42/C46)</f>
        <v>72.28061308677097</v>
      </c>
      <c r="D14" s="151">
        <f>D48/(D42/D46)</f>
        <v>99.952409302325577</v>
      </c>
      <c r="E14" s="151">
        <f>E48/(E42/E46)</f>
        <v>38.236582743988684</v>
      </c>
      <c r="F14" s="151">
        <f>F48/(F42/F46)</f>
        <v>85.045737044701056</v>
      </c>
      <c r="G14" s="150"/>
      <c r="H14" s="551">
        <f ca="1">H48/(H42/H46)</f>
        <v>51.548090787868631</v>
      </c>
      <c r="I14" s="157" t="s">
        <v>358</v>
      </c>
      <c r="J14" s="157" t="s">
        <v>358</v>
      </c>
      <c r="K14" s="157" t="s">
        <v>358</v>
      </c>
      <c r="L14" s="157" t="s">
        <v>358</v>
      </c>
      <c r="M14" s="150"/>
      <c r="N14" s="150"/>
      <c r="O14" s="150"/>
      <c r="P14" s="150"/>
      <c r="Q14" s="150"/>
      <c r="R14" s="150"/>
      <c r="S14" s="150"/>
      <c r="T14" s="150"/>
      <c r="U14" s="150"/>
      <c r="V14" s="150"/>
      <c r="W14" s="150"/>
      <c r="X14" s="150"/>
      <c r="Y14" s="150"/>
    </row>
    <row r="15" spans="1:25" ht="16" customHeight="1">
      <c r="A15" s="168" t="s">
        <v>350</v>
      </c>
      <c r="B15" s="158">
        <f>B12/B11</f>
        <v>0.28474042999475618</v>
      </c>
      <c r="C15" s="158">
        <f>C12/C11</f>
        <v>0.48075412411626078</v>
      </c>
      <c r="D15" s="158">
        <f t="shared" ref="D15:L15" si="0">D12/D11</f>
        <v>-0.5842696629213483</v>
      </c>
      <c r="E15" s="158">
        <f t="shared" si="0"/>
        <v>0</v>
      </c>
      <c r="F15" s="158">
        <f t="shared" si="0"/>
        <v>0.13613231552162849</v>
      </c>
      <c r="G15" s="72"/>
      <c r="H15" s="158">
        <f t="shared" ca="1" si="0"/>
        <v>0.3005422898775485</v>
      </c>
      <c r="I15" s="158">
        <f t="shared" ca="1" si="0"/>
        <v>0.30054228987754844</v>
      </c>
      <c r="J15" s="158">
        <f t="shared" ca="1" si="0"/>
        <v>0.3005422898775485</v>
      </c>
      <c r="K15" s="158">
        <f t="shared" ca="1" si="0"/>
        <v>0.3005422898775485</v>
      </c>
      <c r="L15" s="158">
        <f t="shared" ca="1" si="0"/>
        <v>0.3005422898775485</v>
      </c>
      <c r="M15" s="150"/>
      <c r="N15" s="150"/>
      <c r="O15" s="150"/>
      <c r="P15" s="150"/>
      <c r="Q15" s="150"/>
      <c r="R15" s="150"/>
      <c r="S15" s="150"/>
      <c r="T15" s="150"/>
      <c r="U15" s="150"/>
      <c r="V15" s="150"/>
      <c r="W15" s="150"/>
      <c r="X15" s="150"/>
      <c r="Y15" s="150"/>
    </row>
    <row r="16" spans="1:25" ht="16" customHeight="1">
      <c r="A16" s="670" t="s">
        <v>367</v>
      </c>
      <c r="B16" s="670"/>
      <c r="C16" s="670"/>
      <c r="D16" s="670"/>
      <c r="E16" s="670"/>
      <c r="F16" s="670"/>
      <c r="G16" s="670"/>
      <c r="H16" s="670"/>
      <c r="I16" s="670"/>
      <c r="J16" s="670"/>
      <c r="K16" s="670"/>
      <c r="L16" s="670"/>
      <c r="M16" s="150"/>
      <c r="N16" s="150"/>
      <c r="O16" s="150"/>
      <c r="P16" s="150"/>
      <c r="Q16" s="150"/>
      <c r="R16" s="150"/>
      <c r="S16" s="150"/>
      <c r="T16" s="150"/>
      <c r="U16" s="150"/>
      <c r="V16" s="150"/>
      <c r="W16" s="150"/>
      <c r="X16" s="150"/>
      <c r="Y16" s="150"/>
    </row>
    <row r="17" spans="1:25" ht="16" customHeight="1">
      <c r="A17" s="168" t="s">
        <v>317</v>
      </c>
      <c r="B17" s="421">
        <f>Isproforma_old!B46/Isproforma_old!B29</f>
        <v>9.1868195394546687E-2</v>
      </c>
      <c r="C17" s="421">
        <f>Isproforma_old!D46/Isproforma_old!D29</f>
        <v>6.0699980926950219E-2</v>
      </c>
      <c r="D17" s="421">
        <f>Isproforma_old!F46/Isproforma_old!F29</f>
        <v>-2.5257780720840034E-2</v>
      </c>
      <c r="E17" s="421">
        <f>Isproforma_old!H46/Isproforma_old!H29</f>
        <v>7.9310095980370934E-2</v>
      </c>
      <c r="F17" s="421">
        <f>Isproforma_old!J46/Isproforma_old!J29</f>
        <v>0.11351273287440428</v>
      </c>
      <c r="G17" s="150"/>
      <c r="H17" s="421">
        <f ca="1">'FULL Proforma_Revised &amp; DCF'!H46/'FULL Proforma_Revised &amp; DCF'!H29</f>
        <v>7.2793006906001767E-2</v>
      </c>
      <c r="I17" s="421">
        <f ca="1">'FULL Proforma_Revised &amp; DCF'!I46/'FULL Proforma_Revised &amp; DCF'!I29</f>
        <v>7.5673203833456285E-2</v>
      </c>
      <c r="J17" s="421">
        <f ca="1">'FULL Proforma_Revised &amp; DCF'!J46/'FULL Proforma_Revised &amp; DCF'!J29</f>
        <v>7.8405400725925209E-2</v>
      </c>
      <c r="K17" s="421">
        <f ca="1">'FULL Proforma_Revised &amp; DCF'!K46/'FULL Proforma_Revised &amp; DCF'!K29</f>
        <v>8.0995945974235192E-2</v>
      </c>
      <c r="L17" s="421">
        <f ca="1">'FULL Proforma_Revised &amp; DCF'!L46/'FULL Proforma_Revised &amp; DCF'!L29</f>
        <v>8.3451004942667703E-2</v>
      </c>
      <c r="M17" s="150"/>
      <c r="N17" s="150"/>
      <c r="O17" s="150"/>
      <c r="P17" s="150"/>
      <c r="Q17" s="150"/>
      <c r="R17" s="150"/>
      <c r="S17" s="150"/>
      <c r="T17" s="150"/>
      <c r="U17" s="150"/>
      <c r="V17" s="150"/>
      <c r="W17" s="150"/>
      <c r="X17" s="150"/>
      <c r="Y17" s="150"/>
    </row>
    <row r="18" spans="1:25" ht="16" customHeight="1">
      <c r="A18" s="168" t="s">
        <v>318</v>
      </c>
      <c r="B18" s="151">
        <f>Isproforma_old!B46/B42</f>
        <v>0.85707865168539321</v>
      </c>
      <c r="C18" s="151">
        <f>Isproforma_old!D46/C42</f>
        <v>1.8108108108108107</v>
      </c>
      <c r="D18" s="151">
        <f>Isproforma_old!F46/D42</f>
        <v>-0.62093023255813951</v>
      </c>
      <c r="E18" s="151">
        <f>Isproforma_old!H46/E42</f>
        <v>0.77722772277227725</v>
      </c>
      <c r="F18" s="151">
        <f>Isproforma_old!J46/F42</f>
        <v>4.151408450704225</v>
      </c>
      <c r="G18" s="150"/>
      <c r="H18" s="151">
        <f ca="1">'FULL Proforma_Revised &amp; DCF'!H46/H42</f>
        <v>1.7286787596869078</v>
      </c>
      <c r="I18" s="151">
        <f ca="1">'FULL Proforma_Revised &amp; DCF'!I46/I42</f>
        <v>1.2367758987796174</v>
      </c>
      <c r="J18" s="151">
        <f ca="1">'FULL Proforma_Revised &amp; DCF'!J46/J42</f>
        <v>0.97116487151143371</v>
      </c>
      <c r="K18" s="151">
        <f ca="1">'FULL Proforma_Revised &amp; DCF'!K46/K42</f>
        <v>0.80507038269479603</v>
      </c>
      <c r="L18" s="151">
        <f ca="1">'FULL Proforma_Revised &amp; DCF'!L46/L42</f>
        <v>0.69151473139888331</v>
      </c>
      <c r="M18" s="150"/>
      <c r="N18" s="150"/>
      <c r="O18" s="150"/>
      <c r="P18" s="150"/>
      <c r="Q18" s="150"/>
      <c r="R18" s="150"/>
      <c r="S18" s="150"/>
      <c r="T18" s="150"/>
      <c r="U18" s="150"/>
      <c r="V18" s="150"/>
      <c r="W18" s="150"/>
      <c r="X18" s="150"/>
      <c r="Y18" s="150"/>
    </row>
    <row r="19" spans="1:25" ht="16" customHeight="1">
      <c r="A19" s="168" t="s">
        <v>319</v>
      </c>
      <c r="B19" s="152">
        <f>B45/Isproforma_old!B29</f>
        <v>0.12934772136043934</v>
      </c>
      <c r="C19" s="152">
        <f>C45/Isproforma_old!D29</f>
        <v>9.503147053213809E-2</v>
      </c>
      <c r="D19" s="152">
        <f>D45/Isproforma_old!F29</f>
        <v>-1.9865670229874182E-3</v>
      </c>
      <c r="E19" s="152">
        <f>E45/Isproforma_old!H29</f>
        <v>0.11546510788771018</v>
      </c>
      <c r="F19" s="152">
        <f>F45/Isproforma_old!J29</f>
        <v>0.16930631107687863</v>
      </c>
      <c r="G19" s="163"/>
      <c r="H19" s="152">
        <f ca="1">H45/'FULL Proforma_Revised &amp; DCF'!H29</f>
        <v>0.10736811644160978</v>
      </c>
      <c r="I19" s="152">
        <f ca="1">I45/'FULL Proforma_Revised &amp; DCF'!I29</f>
        <v>0.10985307364189732</v>
      </c>
      <c r="J19" s="152">
        <f ca="1">J45/'FULL Proforma_Revised &amp; DCF'!J29</f>
        <v>0.1122333239504662</v>
      </c>
      <c r="K19" s="152">
        <f ca="1">K45/'FULL Proforma_Revised &amp; DCF'!K29</f>
        <v>0.11451139381186944</v>
      </c>
      <c r="L19" s="152">
        <f ca="1">L45/'FULL Proforma_Revised &amp; DCF'!L29</f>
        <v>0.11668991089078005</v>
      </c>
      <c r="M19" s="150"/>
      <c r="N19" s="150"/>
      <c r="O19" s="150"/>
      <c r="P19" s="150"/>
      <c r="Q19" s="150"/>
      <c r="R19" s="150"/>
      <c r="S19" s="150"/>
      <c r="T19" s="150"/>
      <c r="U19" s="150"/>
      <c r="V19" s="150"/>
      <c r="W19" s="150"/>
      <c r="X19" s="150"/>
      <c r="Y19" s="150"/>
    </row>
    <row r="20" spans="1:25" ht="16" customHeight="1">
      <c r="A20" s="168" t="s">
        <v>351</v>
      </c>
      <c r="B20" s="152">
        <f>(B45*(1-'Tax Rate'!B18/100))/(Finratios!B42+Finratios!B44)</f>
        <v>0.19393256929637526</v>
      </c>
      <c r="C20" s="152">
        <f>(C45*(1-'Tax Rate'!C18/100))/(Finratios!C42+Finratios!C44)</f>
        <v>0.1289778861788618</v>
      </c>
      <c r="D20" s="152">
        <f>(D45*(1-'Tax Rate'!D18/100))/(Finratios!D42+Finratios!D44)</f>
        <v>-1.1152343749999999E-3</v>
      </c>
      <c r="E20" s="152">
        <f>(E45*(1-'Tax Rate'!E18/100))/(Finratios!E42+Finratios!E44)</f>
        <v>0.13246868615083945</v>
      </c>
      <c r="F20" s="152">
        <f>(F45*(1-'Tax Rate'!F18/100))/(Finratios!F42+Finratios!F44)</f>
        <v>0.23858490904202886</v>
      </c>
      <c r="G20" s="163"/>
      <c r="H20" s="152">
        <f ca="1">(H45*(1-'Tax Rate'!$G$18/100))/(Finratios!H42+Finratios!H44)</f>
        <v>0.19597103587490142</v>
      </c>
      <c r="I20" s="152">
        <f ca="1">(I45*(1-'Tax Rate'!$G$18/100))/(Finratios!I42+Finratios!I44)</f>
        <v>0.22562404137788891</v>
      </c>
      <c r="J20" s="152">
        <f ca="1">(J45*(1-'Tax Rate'!$G$18/100))/(Finratios!J42+Finratios!J44)</f>
        <v>0.26086898479309623</v>
      </c>
      <c r="K20" s="152">
        <f ca="1">(K45*(1-'Tax Rate'!$G$18/100))/(Finratios!K42+Finratios!K44)</f>
        <v>0.3032462958655025</v>
      </c>
      <c r="L20" s="152">
        <f ca="1">(L45*(1-'Tax Rate'!$G$18/100))/(Finratios!L42+Finratios!L44)</f>
        <v>0.35491412663483585</v>
      </c>
      <c r="M20" s="150"/>
      <c r="N20" s="150"/>
      <c r="O20" s="150"/>
      <c r="P20" s="150"/>
      <c r="Q20" s="150"/>
      <c r="R20" s="150"/>
      <c r="S20" s="150"/>
      <c r="T20" s="150"/>
      <c r="U20" s="150"/>
      <c r="V20" s="150"/>
      <c r="W20" s="150"/>
      <c r="X20" s="150"/>
      <c r="Y20" s="150"/>
    </row>
    <row r="21" spans="1:25" ht="16" customHeight="1">
      <c r="A21" s="670" t="s">
        <v>368</v>
      </c>
      <c r="B21" s="670"/>
      <c r="C21" s="670"/>
      <c r="D21" s="670"/>
      <c r="E21" s="670"/>
      <c r="F21" s="670"/>
      <c r="G21" s="670"/>
      <c r="H21" s="670"/>
      <c r="I21" s="670"/>
      <c r="J21" s="670"/>
      <c r="K21" s="670"/>
      <c r="L21" s="670"/>
      <c r="M21" s="150"/>
      <c r="N21" s="150"/>
      <c r="O21" s="150"/>
      <c r="P21" s="150"/>
      <c r="Q21" s="150"/>
      <c r="R21" s="150"/>
      <c r="S21" s="150"/>
      <c r="T21" s="150"/>
      <c r="U21" s="150"/>
      <c r="V21" s="150"/>
      <c r="W21" s="150"/>
      <c r="X21" s="150"/>
      <c r="Y21" s="150"/>
    </row>
    <row r="22" spans="1:25" ht="16" customHeight="1">
      <c r="A22" s="168" t="s">
        <v>320</v>
      </c>
      <c r="B22" s="167">
        <v>0.40100000000000002</v>
      </c>
      <c r="C22" s="153">
        <f>(C11-B11)/B11</f>
        <v>-0.29754740614403863</v>
      </c>
      <c r="D22" s="153">
        <f t="shared" ref="D22:L22" si="1">(D11-C11)/C11</f>
        <v>-1.2141827935055747</v>
      </c>
      <c r="E22" s="153">
        <f t="shared" si="1"/>
        <v>-5.0984931732644707</v>
      </c>
      <c r="F22" s="153">
        <f t="shared" si="1"/>
        <v>1.1641061429008999</v>
      </c>
      <c r="G22" s="164"/>
      <c r="H22" s="153">
        <f ca="1">(H11-F11)/F11</f>
        <v>-0.15717033783340584</v>
      </c>
      <c r="I22" s="153">
        <f t="shared" ca="1" si="1"/>
        <v>0.12342661734750156</v>
      </c>
      <c r="J22" s="153">
        <f t="shared" ca="1" si="1"/>
        <v>0.12000951064057364</v>
      </c>
      <c r="K22" s="153">
        <f t="shared" ca="1" si="1"/>
        <v>0.11701299838851734</v>
      </c>
      <c r="L22" s="153">
        <f t="shared" ca="1" si="1"/>
        <v>0.11437081859937397</v>
      </c>
      <c r="M22" s="150"/>
      <c r="N22" s="150"/>
      <c r="O22" s="150"/>
      <c r="P22" s="150"/>
      <c r="Q22" s="150"/>
      <c r="R22" s="150"/>
      <c r="S22" s="150"/>
      <c r="T22" s="150"/>
      <c r="U22" s="150"/>
      <c r="V22" s="150"/>
      <c r="W22" s="150"/>
      <c r="X22" s="150"/>
      <c r="Y22" s="150"/>
    </row>
    <row r="23" spans="1:25" ht="16" customHeight="1">
      <c r="A23" s="168" t="s">
        <v>352</v>
      </c>
      <c r="B23" s="167">
        <v>0.20899999999999999</v>
      </c>
      <c r="C23" s="153">
        <f>(C12-B12)/B12</f>
        <v>0.18601696815108931</v>
      </c>
      <c r="D23" s="153">
        <f t="shared" ref="D23:L23" si="2">(D12-C12)/C12</f>
        <v>-0.73969956306647899</v>
      </c>
      <c r="E23" s="153">
        <f t="shared" si="2"/>
        <v>-1</v>
      </c>
      <c r="F23" s="160" t="s">
        <v>359</v>
      </c>
      <c r="G23" s="165"/>
      <c r="H23" s="153">
        <f ca="1">(H12-F12)/F12</f>
        <v>0.8607334759102363</v>
      </c>
      <c r="I23" s="153">
        <f t="shared" ca="1" si="2"/>
        <v>0.12342661734750142</v>
      </c>
      <c r="J23" s="153">
        <f t="shared" ca="1" si="2"/>
        <v>0.12000951064057386</v>
      </c>
      <c r="K23" s="153">
        <f t="shared" ca="1" si="2"/>
        <v>0.11701299838851735</v>
      </c>
      <c r="L23" s="153">
        <f t="shared" ca="1" si="2"/>
        <v>0.1143708185993739</v>
      </c>
      <c r="M23" s="150"/>
      <c r="N23" s="150"/>
      <c r="O23" s="150"/>
      <c r="P23" s="150"/>
      <c r="Q23" s="150"/>
      <c r="R23" s="150"/>
      <c r="S23" s="150"/>
      <c r="T23" s="150"/>
      <c r="U23" s="150"/>
      <c r="V23" s="150"/>
      <c r="W23" s="150"/>
      <c r="X23" s="150"/>
      <c r="Y23" s="150"/>
    </row>
    <row r="24" spans="1:25" ht="16" customHeight="1">
      <c r="A24" s="168" t="s">
        <v>321</v>
      </c>
      <c r="B24" s="167">
        <v>4.3999999999999997E-2</v>
      </c>
      <c r="C24" s="153">
        <f>(Isproforma_old!D29-Isproforma_old!B29)/Isproforma_old!B29</f>
        <v>1.0309278350515464E-2</v>
      </c>
      <c r="D24" s="153">
        <f>(Isproforma_old!F29-Isproforma_old!D29)/Isproforma_old!D29</f>
        <v>-0.49594697692160977</v>
      </c>
      <c r="E24" s="153">
        <f>(Isproforma_old!H29-Isproforma_old!F29)/Isproforma_old!F29</f>
        <v>0.31085043988269795</v>
      </c>
      <c r="F24" s="153">
        <f>(Isproforma_old!J29-Isproforma_old!H29)/Isproforma_old!H29</f>
        <v>0.49909792884462728</v>
      </c>
      <c r="G24" s="164"/>
      <c r="H24" s="153">
        <f>('FULL Proforma_Revised &amp; DCF'!H29-'FULL Proforma_Revised &amp; DCF'!F29)/'FULL Proforma_Revised &amp; DCF'!F29</f>
        <v>0.24834725047022102</v>
      </c>
      <c r="I24" s="153">
        <f>('FULL Proforma_Revised &amp; DCF'!I29-'FULL Proforma_Revised &amp; DCF'!H29)/'FULL Proforma_Revised &amp; DCF'!H29</f>
        <v>8.0667889983108587E-2</v>
      </c>
      <c r="J24" s="153">
        <f>('FULL Proforma_Revised &amp; DCF'!J29-'FULL Proforma_Revised &amp; DCF'!I29)/'FULL Proforma_Revised &amp; DCF'!I29</f>
        <v>8.0980483607031806E-2</v>
      </c>
      <c r="K24" s="153">
        <f>('FULL Proforma_Revised &amp; DCF'!K29-'FULL Proforma_Revised &amp; DCF'!J29)/'FULL Proforma_Revised &amp; DCF'!J29</f>
        <v>8.1286855796191271E-2</v>
      </c>
      <c r="L24" s="153">
        <f>('FULL Proforma_Revised &amp; DCF'!L29-'FULL Proforma_Revised &amp; DCF'!K29)/'FULL Proforma_Revised &amp; DCF'!K29</f>
        <v>8.1586958485988265E-2</v>
      </c>
      <c r="M24" s="150"/>
      <c r="N24" s="150"/>
      <c r="O24" s="150"/>
      <c r="P24" s="150"/>
      <c r="Q24" s="150"/>
      <c r="R24" s="150"/>
      <c r="S24" s="150"/>
      <c r="T24" s="150"/>
      <c r="U24" s="150"/>
      <c r="V24" s="150"/>
      <c r="W24" s="150"/>
      <c r="X24" s="150"/>
      <c r="Y24" s="150"/>
    </row>
    <row r="25" spans="1:25" ht="16" customHeight="1">
      <c r="A25" s="168" t="s">
        <v>322</v>
      </c>
      <c r="B25" s="167">
        <v>5.2999999999999999E-2</v>
      </c>
      <c r="C25" s="153">
        <f>(C45-B45)/B45</f>
        <v>-0.25772811918063315</v>
      </c>
      <c r="D25" s="153">
        <f>(D45-C45)/C45</f>
        <v>-1.0105368790767686</v>
      </c>
      <c r="E25" s="153">
        <f>(E45-D45)/D45</f>
        <v>-77.19047619047619</v>
      </c>
      <c r="F25" s="153">
        <f t="shared" ref="F25:L25" si="3">(F45-E45)/E45</f>
        <v>1.1981250000000001</v>
      </c>
      <c r="G25" s="164"/>
      <c r="H25" s="153">
        <f ca="1">(H45-F45)/F45</f>
        <v>-0.20834201574926223</v>
      </c>
      <c r="I25" s="153">
        <f t="shared" ca="1" si="3"/>
        <v>0.10567916468301906</v>
      </c>
      <c r="J25" s="153">
        <f t="shared" ca="1" si="3"/>
        <v>0.10440271517835889</v>
      </c>
      <c r="K25" s="153">
        <f t="shared" ca="1" si="3"/>
        <v>0.10323441032828293</v>
      </c>
      <c r="L25" s="153">
        <f t="shared" ca="1" si="3"/>
        <v>0.10216356298754389</v>
      </c>
      <c r="M25" s="150"/>
      <c r="N25" s="150"/>
      <c r="O25" s="150"/>
      <c r="P25" s="150"/>
      <c r="Q25" s="150"/>
      <c r="R25" s="150"/>
      <c r="S25" s="150"/>
      <c r="T25" s="150"/>
      <c r="U25" s="150"/>
      <c r="V25" s="150"/>
      <c r="W25" s="150"/>
      <c r="X25" s="150"/>
      <c r="Y25" s="150"/>
    </row>
    <row r="26" spans="1:25" ht="16" customHeight="1">
      <c r="A26" s="168" t="s">
        <v>323</v>
      </c>
      <c r="B26" s="167">
        <v>0.307</v>
      </c>
      <c r="C26" s="153">
        <f>(Isproforma_old!D46-Isproforma_old!B46)/Isproforma_old!B46</f>
        <v>-0.33245936025170425</v>
      </c>
      <c r="D26" s="153">
        <f>(Isproforma_old!F46-Isproforma_old!D46)/Isproforma_old!D46</f>
        <v>-1.2097407698350353</v>
      </c>
      <c r="E26" s="153">
        <f>(Isproforma_old!H46-Isproforma_old!F46)/Isproforma_old!F46</f>
        <v>-5.1161048689138573</v>
      </c>
      <c r="F26" s="153">
        <f>(Isproforma_old!J46-Isproforma_old!H46)/Isproforma_old!H46</f>
        <v>1.1455868971792538</v>
      </c>
      <c r="G26" s="164"/>
      <c r="H26" s="153">
        <f ca="1">('FULL Proforma_Revised &amp; DCF'!H46-'FULL Proforma_Revised &amp; DCF'!F46)/'FULL Proforma_Revised &amp; DCF'!F46</f>
        <v>-0.19946469683616083</v>
      </c>
      <c r="I26" s="153">
        <f ca="1">('FULL Proforma_Revised &amp; DCF'!I46-'FULL Proforma_Revised &amp; DCF'!H46)/'FULL Proforma_Revised &amp; DCF'!H46</f>
        <v>0.12342661734750153</v>
      </c>
      <c r="J26" s="153">
        <f ca="1">('FULL Proforma_Revised &amp; DCF'!J46-'FULL Proforma_Revised &amp; DCF'!I46)/'FULL Proforma_Revised &amp; DCF'!I46</f>
        <v>0.12000951064057372</v>
      </c>
      <c r="K26" s="153">
        <f ca="1">('FULL Proforma_Revised &amp; DCF'!K46-'FULL Proforma_Revised &amp; DCF'!J46)/'FULL Proforma_Revised &amp; DCF'!J46</f>
        <v>0.11701299838851728</v>
      </c>
      <c r="L26" s="153">
        <f ca="1">('FULL Proforma_Revised &amp; DCF'!L46-'FULL Proforma_Revised &amp; DCF'!K46)/'FULL Proforma_Revised &amp; DCF'!K46</f>
        <v>0.11437081859937392</v>
      </c>
      <c r="M26" s="150"/>
      <c r="N26" s="150"/>
      <c r="O26" s="150"/>
      <c r="P26" s="150"/>
      <c r="Q26" s="150"/>
      <c r="R26" s="150"/>
      <c r="S26" s="150"/>
      <c r="T26" s="150"/>
      <c r="U26" s="150"/>
      <c r="V26" s="150"/>
      <c r="W26" s="150"/>
      <c r="X26" s="150"/>
      <c r="Y26" s="150"/>
    </row>
    <row r="27" spans="1:25" ht="16" customHeight="1">
      <c r="A27" s="670" t="s">
        <v>324</v>
      </c>
      <c r="B27" s="670"/>
      <c r="C27" s="670"/>
      <c r="D27" s="670"/>
      <c r="E27" s="670"/>
      <c r="F27" s="670"/>
      <c r="G27" s="670"/>
      <c r="H27" s="670"/>
      <c r="I27" s="670"/>
      <c r="J27" s="670"/>
      <c r="K27" s="670"/>
      <c r="L27" s="670"/>
      <c r="M27" s="150"/>
      <c r="N27" s="150"/>
      <c r="O27" s="150"/>
      <c r="P27" s="150"/>
      <c r="Q27" s="150"/>
      <c r="R27" s="150"/>
      <c r="S27" s="150"/>
      <c r="T27" s="150"/>
      <c r="U27" s="150"/>
      <c r="V27" s="150"/>
      <c r="W27" s="150"/>
      <c r="X27" s="150"/>
      <c r="Y27" s="150"/>
    </row>
    <row r="28" spans="1:25" ht="16" customHeight="1">
      <c r="A28" s="168" t="s">
        <v>325</v>
      </c>
      <c r="B28" s="151">
        <f>Bsproforma_old!B17/Bsproforma_old!B50</f>
        <v>0.42038216560509556</v>
      </c>
      <c r="C28" s="151">
        <f>Bsproforma_old!D17/Bsproforma_old!D50</f>
        <v>0.46832409764864458</v>
      </c>
      <c r="D28" s="151">
        <f>Bsproforma_old!F17/Bsproforma_old!F50</f>
        <v>0.49113351877607786</v>
      </c>
      <c r="E28" s="151">
        <f>Bsproforma_old!H17/Bsproforma_old!H50</f>
        <v>0.5659434992976432</v>
      </c>
      <c r="F28" s="151">
        <f>Bsproforma_old!J17/Bsproforma_old!J50</f>
        <v>0.45142389971385749</v>
      </c>
      <c r="G28" s="150"/>
      <c r="H28" s="151">
        <f ca="1">'FULL Proforma_Revised &amp; DCF'!H54/'FULL Proforma_Revised &amp; DCF'!H87</f>
        <v>0.47727929156262094</v>
      </c>
      <c r="I28" s="151">
        <f ca="1">'FULL Proforma_Revised &amp; DCF'!I54/'FULL Proforma_Revised &amp; DCF'!I87</f>
        <v>0.59807122611036156</v>
      </c>
      <c r="J28" s="151">
        <f ca="1">'FULL Proforma_Revised &amp; DCF'!J54/'FULL Proforma_Revised &amp; DCF'!J87</f>
        <v>0.7176791234343981</v>
      </c>
      <c r="K28" s="151">
        <f ca="1">'FULL Proforma_Revised &amp; DCF'!K54/'FULL Proforma_Revised &amp; DCF'!K87</f>
        <v>0.83573078874941609</v>
      </c>
      <c r="L28" s="151">
        <f ca="1">'FULL Proforma_Revised &amp; DCF'!L54/'FULL Proforma_Revised &amp; DCF'!L87</f>
        <v>0.95189507992334899</v>
      </c>
      <c r="M28" s="150"/>
      <c r="N28" s="150"/>
      <c r="O28" s="150"/>
      <c r="P28" s="150"/>
      <c r="Q28" s="150"/>
      <c r="R28" s="150"/>
      <c r="S28" s="150"/>
      <c r="T28" s="150"/>
      <c r="U28" s="150"/>
      <c r="V28" s="150"/>
      <c r="W28" s="150"/>
      <c r="X28" s="150"/>
      <c r="Y28" s="150"/>
    </row>
    <row r="29" spans="1:25" ht="16" customHeight="1">
      <c r="A29" s="168" t="s">
        <v>326</v>
      </c>
      <c r="B29" s="151">
        <f>(Bsproforma_old!B13+Bsproforma_old!B14)/Bsproforma_old!B50</f>
        <v>0.38045673450365075</v>
      </c>
      <c r="C29" s="151">
        <f>(Bsproforma_old!D13+Bsproforma_old!D14)/Bsproforma_old!D50</f>
        <v>0.392391792721282</v>
      </c>
      <c r="D29" s="151">
        <f>(Bsproforma_old!F13+Bsproforma_old!F14)/Bsproforma_old!F50</f>
        <v>0.45984005563282337</v>
      </c>
      <c r="E29" s="151">
        <f>(Bsproforma_old!H13+Bsproforma_old!H14)/Bsproforma_old!H50</f>
        <v>0.52676759793975336</v>
      </c>
      <c r="F29" s="151">
        <f>(Bsproforma_old!J13+Bsproforma_old!J14)/Bsproforma_old!J50</f>
        <v>0.41940318844529229</v>
      </c>
      <c r="G29" s="150"/>
      <c r="H29" s="151">
        <f ca="1">('FULL Proforma_Revised &amp; DCF'!H50+'FULL Proforma_Revised &amp; DCF'!H51)/'FULL Proforma_Revised &amp; DCF'!H87</f>
        <v>0.44138766356882514</v>
      </c>
      <c r="I29" s="151">
        <f ca="1">('FULL Proforma_Revised &amp; DCF'!I50+'FULL Proforma_Revised &amp; DCF'!I51)/'FULL Proforma_Revised &amp; DCF'!I87</f>
        <v>0.56189536416953778</v>
      </c>
      <c r="J29" s="151">
        <f ca="1">('FULL Proforma_Revised &amp; DCF'!J50+'FULL Proforma_Revised &amp; DCF'!J51)/'FULL Proforma_Revised &amp; DCF'!J87</f>
        <v>0.68123524023027071</v>
      </c>
      <c r="K29" s="151">
        <f ca="1">('FULL Proforma_Revised &amp; DCF'!K50+'FULL Proforma_Revised &amp; DCF'!K51)/'FULL Proforma_Revised &amp; DCF'!K87</f>
        <v>0.79903451600486752</v>
      </c>
      <c r="L29" s="151">
        <f ca="1">('FULL Proforma_Revised &amp; DCF'!L50+'FULL Proforma_Revised &amp; DCF'!L51)/'FULL Proforma_Revised &amp; DCF'!L87</f>
        <v>0.91496144708213112</v>
      </c>
      <c r="M29" s="150"/>
      <c r="N29" s="150"/>
      <c r="O29" s="150"/>
      <c r="P29" s="150"/>
      <c r="Q29" s="150"/>
      <c r="R29" s="150"/>
      <c r="S29" s="150"/>
      <c r="T29" s="150"/>
      <c r="U29" s="150"/>
      <c r="V29" s="150"/>
      <c r="W29" s="150"/>
      <c r="X29" s="150"/>
      <c r="Y29" s="150"/>
    </row>
    <row r="30" spans="1:25" ht="16" customHeight="1">
      <c r="A30" s="670" t="s">
        <v>327</v>
      </c>
      <c r="B30" s="670"/>
      <c r="C30" s="670"/>
      <c r="D30" s="670"/>
      <c r="E30" s="670"/>
      <c r="F30" s="670"/>
      <c r="G30" s="670"/>
      <c r="H30" s="670"/>
      <c r="I30" s="670"/>
      <c r="J30" s="670"/>
      <c r="K30" s="670"/>
      <c r="L30" s="670"/>
      <c r="M30" s="150"/>
      <c r="N30" s="150"/>
      <c r="O30" s="150"/>
      <c r="P30" s="150"/>
      <c r="Q30" s="150"/>
      <c r="R30" s="150"/>
      <c r="S30" s="150"/>
      <c r="T30" s="150"/>
      <c r="U30" s="150"/>
      <c r="V30" s="150"/>
      <c r="W30" s="150"/>
      <c r="X30" s="150"/>
      <c r="Y30" s="150"/>
    </row>
    <row r="31" spans="1:25" ht="16" customHeight="1">
      <c r="A31" s="190" t="s">
        <v>353</v>
      </c>
      <c r="B31" s="172" t="s">
        <v>359</v>
      </c>
      <c r="C31" s="172" t="s">
        <v>359</v>
      </c>
      <c r="D31" s="172" t="s">
        <v>359</v>
      </c>
      <c r="E31" s="172" t="s">
        <v>359</v>
      </c>
      <c r="F31" s="172" t="s">
        <v>359</v>
      </c>
      <c r="G31" s="159"/>
      <c r="H31" s="172" t="s">
        <v>359</v>
      </c>
      <c r="I31" s="172" t="s">
        <v>359</v>
      </c>
      <c r="J31" s="172" t="s">
        <v>359</v>
      </c>
      <c r="K31" s="172" t="s">
        <v>359</v>
      </c>
      <c r="L31" s="172" t="s">
        <v>359</v>
      </c>
      <c r="M31" s="150"/>
      <c r="N31" s="150"/>
      <c r="O31" s="150"/>
      <c r="P31" s="150"/>
      <c r="Q31" s="150"/>
      <c r="R31" s="150"/>
      <c r="S31" s="150"/>
      <c r="T31" s="150"/>
      <c r="U31" s="150"/>
      <c r="V31" s="150"/>
      <c r="W31" s="150"/>
      <c r="X31" s="150"/>
      <c r="Y31" s="150"/>
    </row>
    <row r="32" spans="1:25" ht="16" customHeight="1">
      <c r="A32" s="191" t="s">
        <v>328</v>
      </c>
      <c r="B32" s="151">
        <f>'FULL Proforma_Revised &amp; DCF'!B29/'FULL Proforma_Revised &amp; DCF'!B77</f>
        <v>0.87601282916948009</v>
      </c>
      <c r="C32" s="151">
        <f>'FULL Proforma_Revised &amp; DCF'!C29/(('FULL Proforma_Revised &amp; DCF'!B77+'FULL Proforma_Revised &amp; DCF'!C77)/2)</f>
        <v>0.86044269390936878</v>
      </c>
      <c r="D32" s="151">
        <f>'FULL Proforma_Revised &amp; DCF'!D29/(('FULL Proforma_Revised &amp; DCF'!C77+'FULL Proforma_Revised &amp; DCF'!D77)/2)</f>
        <v>0.42494774079433995</v>
      </c>
      <c r="E32" s="151">
        <f>'FULL Proforma_Revised &amp; DCF'!E29/(('FULL Proforma_Revised &amp; DCF'!D77+'FULL Proforma_Revised &amp; DCF'!E77)/2)</f>
        <v>0.55147848927448562</v>
      </c>
      <c r="F32" s="151">
        <f>'FULL Proforma_Revised &amp; DCF'!F29/(('FULL Proforma_Revised &amp; DCF'!E77+'FULL Proforma_Revised &amp; DCF'!F77)/2)</f>
        <v>0.82484911054637866</v>
      </c>
      <c r="G32" s="150"/>
      <c r="H32" s="151">
        <f ca="1">'FULL Proforma_Revised &amp; DCF'!H29/(('FULL Proforma_Revised &amp; DCF'!H77+'FULL Proforma_Revised &amp; DCF'!F77)/2)</f>
        <v>0.98479718946121853</v>
      </c>
      <c r="I32" s="151">
        <f ca="1">'FULL Proforma_Revised &amp; DCF'!I29/(('FULL Proforma_Revised &amp; DCF'!H77+'FULL Proforma_Revised &amp; DCF'!I77)/2)</f>
        <v>0.9717582839501907</v>
      </c>
      <c r="J32" s="151">
        <f ca="1">'FULL Proforma_Revised &amp; DCF'!J29/(('FULL Proforma_Revised &amp; DCF'!I77+'FULL Proforma_Revised &amp; DCF'!J77)/2)</f>
        <v>0.97948811542949732</v>
      </c>
      <c r="K32" s="151">
        <f ca="1">'FULL Proforma_Revised &amp; DCF'!K29/(('FULL Proforma_Revised &amp; DCF'!J77+'FULL Proforma_Revised &amp; DCF'!K77)/2)</f>
        <v>0.98510718687295984</v>
      </c>
      <c r="L32" s="151">
        <f ca="1">'FULL Proforma_Revised &amp; DCF'!L29/(('FULL Proforma_Revised &amp; DCF'!K77+'FULL Proforma_Revised &amp; DCF'!L77)/2)</f>
        <v>0.98879591279316303</v>
      </c>
      <c r="M32" s="150"/>
      <c r="N32" s="150"/>
      <c r="O32" s="150"/>
      <c r="P32" s="150"/>
      <c r="Q32" s="150"/>
      <c r="R32" s="150"/>
      <c r="S32" s="150"/>
      <c r="T32" s="150"/>
      <c r="U32" s="150"/>
      <c r="V32" s="150"/>
      <c r="W32" s="150"/>
      <c r="X32" s="150"/>
      <c r="Y32" s="150"/>
    </row>
    <row r="33" spans="1:25" ht="16" customHeight="1">
      <c r="A33" s="670" t="s">
        <v>329</v>
      </c>
      <c r="B33" s="670"/>
      <c r="C33" s="670"/>
      <c r="D33" s="670"/>
      <c r="E33" s="670"/>
      <c r="F33" s="670"/>
      <c r="G33" s="670"/>
      <c r="H33" s="670"/>
      <c r="I33" s="670"/>
      <c r="J33" s="670"/>
      <c r="K33" s="670"/>
      <c r="L33" s="670"/>
      <c r="M33" s="150"/>
      <c r="N33" s="150"/>
      <c r="O33" s="150"/>
      <c r="P33" s="150"/>
      <c r="Q33" s="150"/>
      <c r="R33" s="150"/>
      <c r="S33" s="150"/>
      <c r="T33" s="150"/>
      <c r="U33" s="150"/>
      <c r="V33" s="150"/>
      <c r="W33" s="150"/>
      <c r="X33" s="150"/>
      <c r="Y33" s="150"/>
    </row>
    <row r="34" spans="1:25" ht="16" customHeight="1">
      <c r="A34" s="168" t="s">
        <v>330</v>
      </c>
      <c r="B34" s="151">
        <f>(B43)/(Bsproforma_old!B68+Bsproforma_old!B44+Bsproforma_old!B52)</f>
        <v>0.80772554441755962</v>
      </c>
      <c r="C34" s="151">
        <f>(C43)/(Bsproforma_old!D68+Bsproforma_old!D44+Bsproforma_old!D52)</f>
        <v>1.0153740444902517</v>
      </c>
      <c r="D34" s="151">
        <f>(D43)/(Bsproforma_old!F68+Bsproforma_old!F44+Bsproforma_old!F52)</f>
        <v>1.0363686840644086</v>
      </c>
      <c r="E34" s="151">
        <f>(E43)/(Bsproforma_old!H68+Bsproforma_old!H44+Bsproforma_old!H52)</f>
        <v>0.9726454293628809</v>
      </c>
      <c r="F34" s="151">
        <f>(F43)/(Bsproforma_old!J68+Bsproforma_old!J44+Bsproforma_old!J52)</f>
        <v>1.0438299473288186</v>
      </c>
      <c r="G34" s="150"/>
      <c r="H34" s="151">
        <f ca="1">H43/('FULL Proforma_Revised &amp; DCF'!H81+'FULL Proforma_Revised &amp; DCF'!H89+'FULL Proforma_Revised &amp; DCF'!H105)</f>
        <v>0.97353341701636065</v>
      </c>
      <c r="I34" s="151">
        <f ca="1">I43/('FULL Proforma_Revised &amp; DCF'!I81+'FULL Proforma_Revised &amp; DCF'!I89+'FULL Proforma_Revised &amp; DCF'!I105)</f>
        <v>0.92792902147528344</v>
      </c>
      <c r="J34" s="151">
        <f ca="1">J43/('FULL Proforma_Revised &amp; DCF'!J81+'FULL Proforma_Revised &amp; DCF'!J89+'FULL Proforma_Revised &amp; DCF'!J105)</f>
        <v>0.87968249823707467</v>
      </c>
      <c r="K34" s="151">
        <f ca="1">K43/('FULL Proforma_Revised &amp; DCF'!K81+'FULL Proforma_Revised &amp; DCF'!K89+'FULL Proforma_Revised &amp; DCF'!K105)</f>
        <v>0.82977994270972166</v>
      </c>
      <c r="L34" s="151">
        <f ca="1">L43/('FULL Proforma_Revised &amp; DCF'!L81+'FULL Proforma_Revised &amp; DCF'!L89+'FULL Proforma_Revised &amp; DCF'!L105)</f>
        <v>0.77916630329706593</v>
      </c>
      <c r="M34" s="150"/>
      <c r="N34" s="150"/>
      <c r="O34" s="150"/>
      <c r="P34" s="150"/>
      <c r="Q34" s="150"/>
      <c r="R34" s="150"/>
      <c r="S34" s="150"/>
      <c r="T34" s="150"/>
      <c r="U34" s="150"/>
      <c r="V34" s="150"/>
      <c r="W34" s="150"/>
      <c r="X34" s="150"/>
      <c r="Y34" s="150"/>
    </row>
    <row r="35" spans="1:25" ht="16" customHeight="1">
      <c r="A35" s="168" t="s">
        <v>331</v>
      </c>
      <c r="B35" s="151">
        <f>(Bsproforma_old!B52)/(Bsproforma_old!B68+Bsproforma_old!B44+Bsproforma_old!B52)</f>
        <v>0.73574144486692017</v>
      </c>
      <c r="C35" s="151">
        <f>(Bsproforma_old!D52)/(Bsproforma_old!D68+Bsproforma_old!D44+Bsproforma_old!D52)</f>
        <v>0.85570729193506823</v>
      </c>
      <c r="D35" s="151">
        <f>(Bsproforma_old!F52)/(Bsproforma_old!F68+Bsproforma_old!F44+Bsproforma_old!F52)</f>
        <v>0.85165648713677589</v>
      </c>
      <c r="E35" s="151">
        <f>(Bsproforma_old!H52)/(Bsproforma_old!H68+Bsproforma_old!H44+Bsproforma_old!H52)</f>
        <v>0.8079120498614959</v>
      </c>
      <c r="F35" s="151">
        <f>(Bsproforma_old!J52)/(Bsproforma_old!J68+Bsproforma_old!J44+Bsproforma_old!J52)</f>
        <v>0.882242287434161</v>
      </c>
      <c r="G35" s="150"/>
      <c r="H35" s="151">
        <f ca="1">('FULL Proforma_Revised &amp; DCF'!H81+'FULL Proforma_Revised &amp; DCF'!H89)/('FULL Proforma_Revised &amp; DCF'!H105+'FULL Proforma_Revised &amp; DCF'!H89+'FULL Proforma_Revised &amp; DCF'!H81)</f>
        <v>0.90307415409566538</v>
      </c>
      <c r="I35" s="151">
        <f ca="1">('FULL Proforma_Revised &amp; DCF'!I81+'FULL Proforma_Revised &amp; DCF'!I89)/('FULL Proforma_Revised &amp; DCF'!I105+'FULL Proforma_Revised &amp; DCF'!I89+'FULL Proforma_Revised &amp; DCF'!I81)</f>
        <v>0.85577408312262793</v>
      </c>
      <c r="J35" s="151">
        <f ca="1">('FULL Proforma_Revised &amp; DCF'!J81+'FULL Proforma_Revised &amp; DCF'!J89)/('FULL Proforma_Revised &amp; DCF'!J105+'FULL Proforma_Revised &amp; DCF'!J89+'FULL Proforma_Revised &amp; DCF'!J81)</f>
        <v>0.8062025330947451</v>
      </c>
      <c r="K35" s="151">
        <f ca="1">('FULL Proforma_Revised &amp; DCF'!K81+'FULL Proforma_Revised &amp; DCF'!K89)/('FULL Proforma_Revised &amp; DCF'!K105+'FULL Proforma_Revised &amp; DCF'!K89+'FULL Proforma_Revised &amp; DCF'!K81)</f>
        <v>0.7553396628780521</v>
      </c>
      <c r="L35" s="151">
        <f ca="1">('FULL Proforma_Revised &amp; DCF'!L81+'FULL Proforma_Revised &amp; DCF'!L89)/('FULL Proforma_Revised &amp; DCF'!L105+'FULL Proforma_Revised &amp; DCF'!L89+'FULL Proforma_Revised &amp; DCF'!L81)</f>
        <v>0.70411304681400877</v>
      </c>
      <c r="M35" s="150"/>
      <c r="N35" s="150"/>
      <c r="O35" s="150"/>
      <c r="P35" s="150"/>
      <c r="Q35" s="150"/>
      <c r="R35" s="150"/>
      <c r="S35" s="150"/>
      <c r="T35" s="150"/>
      <c r="U35" s="150"/>
      <c r="V35" s="150"/>
      <c r="W35" s="150"/>
      <c r="X35" s="150"/>
      <c r="Y35" s="150"/>
    </row>
    <row r="36" spans="1:25" ht="16" customHeight="1">
      <c r="A36" s="168" t="s">
        <v>332</v>
      </c>
      <c r="B36" s="151">
        <f>(Bsproforma_old!B52+Bsproforma_old!B44+Bsproforma_old!B56)/Bsproforma_old!B68</f>
        <v>4.2008988764044943</v>
      </c>
      <c r="C36" s="151">
        <f>(Bsproforma_old!D52+Bsproforma_old!D44+Bsproforma_old!D56)/Bsproforma_old!D68</f>
        <v>16.816500711237552</v>
      </c>
      <c r="D36" s="151">
        <f>(Bsproforma_old!F52+Bsproforma_old!F44+Bsproforma_old!D56)/Bsproforma_old!F68</f>
        <v>26.18139534883721</v>
      </c>
      <c r="E36" s="151">
        <f>(Bsproforma_old!H52+Bsproforma_old!H44+Bsproforma_old!H56)/Bsproforma_old!H68</f>
        <v>7.946251768033946</v>
      </c>
      <c r="F36" s="151">
        <f>(Bsproforma_old!J52+Bsproforma_old!J44+Bsproforma_old!J56)/Bsproforma_old!J68</f>
        <v>19.538732394366196</v>
      </c>
      <c r="G36" s="150"/>
      <c r="H36" s="151">
        <f ca="1">H43/'FULL Proforma_Revised &amp; DCF'!H105</f>
        <v>10.044105449203233</v>
      </c>
      <c r="I36" s="151">
        <f ca="1">I43/'FULL Proforma_Revised &amp; DCF'!I105</f>
        <v>6.4338576697297354</v>
      </c>
      <c r="J36" s="151">
        <f ca="1">J43/'FULL Proforma_Revised &amp; DCF'!J105</f>
        <v>4.5391847080598859</v>
      </c>
      <c r="K36" s="151">
        <f ca="1">K43/'FULL Proforma_Revised &amp; DCF'!K105</f>
        <v>3.3915588953681857</v>
      </c>
      <c r="L36" s="151">
        <f ca="1">L43/'FULL Proforma_Revised &amp; DCF'!L105</f>
        <v>2.6333242980378757</v>
      </c>
      <c r="M36" s="150"/>
      <c r="N36" s="150"/>
      <c r="O36" s="150"/>
      <c r="P36" s="150"/>
      <c r="Q36" s="150"/>
      <c r="R36" s="150"/>
      <c r="S36" s="150"/>
      <c r="T36" s="150"/>
      <c r="U36" s="150"/>
      <c r="V36" s="150"/>
      <c r="W36" s="150"/>
      <c r="X36" s="150"/>
      <c r="Y36" s="150"/>
    </row>
    <row r="37" spans="1:25" ht="16" customHeight="1">
      <c r="A37" s="670" t="s">
        <v>333</v>
      </c>
      <c r="B37" s="670"/>
      <c r="C37" s="670"/>
      <c r="D37" s="670"/>
      <c r="E37" s="670"/>
      <c r="F37" s="670"/>
      <c r="G37" s="670"/>
      <c r="H37" s="670"/>
      <c r="I37" s="670"/>
      <c r="J37" s="670"/>
      <c r="K37" s="670"/>
      <c r="L37" s="670"/>
      <c r="M37" s="150"/>
      <c r="N37" s="150"/>
      <c r="O37" s="150"/>
      <c r="P37" s="150"/>
      <c r="Q37" s="150"/>
      <c r="R37" s="150"/>
      <c r="S37" s="150"/>
      <c r="T37" s="150"/>
      <c r="U37" s="150"/>
      <c r="V37" s="150"/>
      <c r="W37" s="150"/>
      <c r="X37" s="150"/>
      <c r="Y37" s="150"/>
    </row>
    <row r="38" spans="1:25" ht="16" customHeight="1">
      <c r="A38" s="168" t="s">
        <v>334</v>
      </c>
      <c r="B38" s="151">
        <f>-B45/Isproforma_old!B41</f>
        <v>7.8970588235294121</v>
      </c>
      <c r="C38" s="151">
        <f>-C45/Isproforma_old!D41</f>
        <v>5.0583756345177662</v>
      </c>
      <c r="D38" s="151">
        <f>-D45/Isproforma_old!F41</f>
        <v>-4.7191011235955059E-2</v>
      </c>
      <c r="E38" s="151">
        <f>-E45/Isproforma_old!H41</f>
        <v>3.8095238095238093</v>
      </c>
      <c r="F38" s="151">
        <f>-F45/Isproforma_old!J41</f>
        <v>8.7270471464019845</v>
      </c>
      <c r="G38" s="150"/>
      <c r="H38" s="151">
        <f ca="1">-H45/'FULL Proforma_Revised &amp; DCF'!H41</f>
        <v>6.9546103139923421</v>
      </c>
      <c r="I38" s="151">
        <f ca="1">-I45/'FULL Proforma_Revised &amp; DCF'!I41</f>
        <v>7.6895677226709616</v>
      </c>
      <c r="J38" s="151">
        <f ca="1">-J45/'FULL Proforma_Revised &amp; DCF'!J41</f>
        <v>8.4923794714656804</v>
      </c>
      <c r="K38" s="151">
        <f ca="1">-K45/'FULL Proforma_Revised &amp; DCF'!K41</f>
        <v>9.3690852584864537</v>
      </c>
      <c r="L38" s="151">
        <f ca="1">-L45/'FULL Proforma_Revised &amp; DCF'!L41</f>
        <v>10.326264390427504</v>
      </c>
      <c r="M38" s="150"/>
      <c r="N38" s="150"/>
      <c r="O38" s="150"/>
      <c r="P38" s="150"/>
      <c r="Q38" s="150"/>
      <c r="R38" s="150"/>
      <c r="S38" s="150"/>
      <c r="T38" s="150"/>
      <c r="U38" s="150"/>
      <c r="V38" s="150"/>
      <c r="W38" s="150"/>
      <c r="X38" s="150"/>
      <c r="Y38" s="150"/>
    </row>
    <row r="39" spans="1:25" ht="16" customHeight="1">
      <c r="A39" s="168" t="s">
        <v>335</v>
      </c>
      <c r="B39" s="151">
        <f>-B47/Isproforma_old!B41</f>
        <v>8.5617647058823536</v>
      </c>
      <c r="C39" s="151">
        <f>-C47/Isproforma_old!D41</f>
        <v>5.9238578680203045</v>
      </c>
      <c r="D39" s="151">
        <f>-D47/Isproforma_old!F41</f>
        <v>0.7303370786516854</v>
      </c>
      <c r="E39" s="151">
        <f>-E47/Isproforma_old!H41</f>
        <v>4.333333333333333</v>
      </c>
      <c r="F39" s="151">
        <f>-F47/Isproforma_old!J41</f>
        <v>9.2059553349875927</v>
      </c>
      <c r="G39" s="150"/>
      <c r="H39" s="151">
        <f ca="1">-H47/'FULL Proforma_Revised &amp; DCF'!H41</f>
        <v>7.8239193498464399</v>
      </c>
      <c r="I39" s="151">
        <f ca="1">-I47/'FULL Proforma_Revised &amp; DCF'!I41</f>
        <v>8.5599633910220589</v>
      </c>
      <c r="J39" s="151">
        <f ca="1">-J47/'FULL Proforma_Revised &amp; DCF'!J41</f>
        <v>9.3639539791145783</v>
      </c>
      <c r="K39" s="151">
        <f ca="1">-K47/'FULL Proforma_Revised &amp; DCF'!K41</f>
        <v>10.241938889457323</v>
      </c>
      <c r="L39" s="151">
        <f ca="1">-L47/'FULL Proforma_Revised &amp; DCF'!L41</f>
        <v>11.200506226893122</v>
      </c>
      <c r="M39" s="150"/>
      <c r="N39" s="150"/>
      <c r="O39" s="150"/>
      <c r="P39" s="150"/>
      <c r="Q39" s="150"/>
      <c r="R39" s="150"/>
      <c r="S39" s="150"/>
      <c r="T39" s="150"/>
      <c r="U39" s="150"/>
      <c r="V39" s="150"/>
      <c r="W39" s="150"/>
      <c r="X39" s="150"/>
      <c r="Y39" s="150"/>
    </row>
    <row r="40" spans="1:25" ht="16" customHeight="1">
      <c r="A40" s="150"/>
      <c r="B40" s="150"/>
      <c r="C40" s="150"/>
      <c r="D40" s="150"/>
      <c r="E40" s="150"/>
      <c r="F40" s="150"/>
      <c r="G40" s="150"/>
      <c r="H40" s="150"/>
      <c r="I40" s="150"/>
      <c r="J40" s="150"/>
      <c r="K40" s="150"/>
      <c r="L40" s="150"/>
      <c r="M40" s="150"/>
      <c r="N40" s="150"/>
      <c r="O40" s="150"/>
      <c r="P40" s="150"/>
      <c r="Q40" s="150"/>
      <c r="R40" s="150"/>
      <c r="S40" s="150"/>
      <c r="T40" s="150"/>
      <c r="U40" s="150"/>
      <c r="V40" s="150"/>
      <c r="W40" s="150"/>
      <c r="X40" s="150"/>
      <c r="Y40" s="150"/>
    </row>
    <row r="41" spans="1:25" ht="16" customHeight="1">
      <c r="A41" s="699" t="s">
        <v>362</v>
      </c>
      <c r="B41" s="699"/>
      <c r="C41" s="699"/>
      <c r="D41" s="699"/>
      <c r="E41" s="699"/>
      <c r="F41" s="699"/>
      <c r="G41" s="699"/>
      <c r="H41" s="699"/>
      <c r="I41" s="699"/>
      <c r="J41" s="699"/>
      <c r="K41" s="699"/>
      <c r="L41" s="699"/>
      <c r="M41" s="150"/>
      <c r="N41" s="150"/>
      <c r="O41" s="150"/>
      <c r="P41" s="150"/>
      <c r="Q41" s="150"/>
      <c r="R41" s="150"/>
      <c r="S41" s="150"/>
      <c r="T41" s="150"/>
      <c r="U41" s="150"/>
      <c r="V41" s="150"/>
      <c r="W41" s="150"/>
      <c r="X41" s="150"/>
      <c r="Y41" s="150"/>
    </row>
    <row r="42" spans="1:25" ht="16" customHeight="1">
      <c r="A42" s="168" t="s">
        <v>348</v>
      </c>
      <c r="B42" s="418">
        <f>Bsproforma_old!B40-(Bsproforma_old!B50+Bsproforma_old!B58)</f>
        <v>2225</v>
      </c>
      <c r="C42" s="418">
        <f>Bsproforma_old!D40-(Bsproforma_old!D50+Bsproforma_old!D58)</f>
        <v>703</v>
      </c>
      <c r="D42" s="418">
        <f>Bsproforma_old!F40-(Bsproforma_old!F50+Bsproforma_old!F58)</f>
        <v>430</v>
      </c>
      <c r="E42" s="418">
        <f>Bsproforma_old!H40-(Bsproforma_old!H50+Bsproforma_old!H58)</f>
        <v>1414</v>
      </c>
      <c r="F42" s="418">
        <f>Bsproforma_old!J40-(Bsproforma_old!J50+Bsproforma_old!J58)</f>
        <v>568</v>
      </c>
      <c r="G42" s="419"/>
      <c r="H42" s="418">
        <f ca="1">'FULL Proforma_Revised &amp; DCF'!H105</f>
        <v>1091.9682065175716</v>
      </c>
      <c r="I42" s="418">
        <f ca="1">'FULL Proforma_Revised &amp; DCF'!I105</f>
        <v>1714.6598769676673</v>
      </c>
      <c r="J42" s="418">
        <f ca="1">'FULL Proforma_Revised &amp; DCF'!J105</f>
        <v>2445.6693709834908</v>
      </c>
      <c r="K42" s="418">
        <f ca="1">'FULL Proforma_Revised &amp; DCF'!K105</f>
        <v>3295.4527301815242</v>
      </c>
      <c r="L42" s="418">
        <f ca="1">'FULL Proforma_Revised &amp; DCF'!L105</f>
        <v>4275.4047067213114</v>
      </c>
      <c r="M42" s="150"/>
      <c r="N42" s="150"/>
      <c r="O42" s="150"/>
      <c r="P42" s="150"/>
      <c r="Q42" s="150"/>
      <c r="R42" s="150"/>
      <c r="S42" s="150"/>
      <c r="T42" s="150"/>
      <c r="U42" s="150"/>
      <c r="V42" s="150"/>
      <c r="W42" s="150"/>
      <c r="X42" s="150"/>
      <c r="Y42" s="150"/>
    </row>
    <row r="43" spans="1:25" ht="16" customHeight="1">
      <c r="A43" s="168" t="s">
        <v>471</v>
      </c>
      <c r="B43" s="418">
        <f>Bsproforma_old!B44+Bsproforma_old!B52+Bsproforma_old!B56</f>
        <v>9347</v>
      </c>
      <c r="C43" s="418">
        <f>Bsproforma_old!D44+Bsproforma_old!D52+Bsproforma_old!D56</f>
        <v>11822</v>
      </c>
      <c r="D43" s="418">
        <f>Bsproforma_old!F44+Bsproforma_old!F52+Bsproforma_old!F56</f>
        <v>11199</v>
      </c>
      <c r="E43" s="418">
        <f>Bsproforma_old!H44+Bsproforma_old!H52+Bsproforma_old!H56</f>
        <v>11236</v>
      </c>
      <c r="F43" s="418">
        <f>Bsproforma_old!J44+Bsproforma_old!J52+Bsproforma_old!J56</f>
        <v>11098</v>
      </c>
      <c r="G43" s="419"/>
      <c r="H43" s="418">
        <f>'FULL Proforma_Revised &amp; DCF'!H81+'FULL Proforma_Revised &amp; DCF'!H89+'FULL Proforma_Revised &amp; DCF'!H93</f>
        <v>10967.843813439822</v>
      </c>
      <c r="I43" s="418">
        <f>'FULL Proforma_Revised &amp; DCF'!I81+'FULL Proforma_Revised &amp; DCF'!I89+'FULL Proforma_Revised &amp; DCF'!I93</f>
        <v>11031.877600406271</v>
      </c>
      <c r="J43" s="418">
        <f>'FULL Proforma_Revised &amp; DCF'!J81+'FULL Proforma_Revised &amp; DCF'!J89+'FULL Proforma_Revised &amp; DCF'!J93</f>
        <v>11101.345009738701</v>
      </c>
      <c r="K43" s="418">
        <f>'FULL Proforma_Revised &amp; DCF'!K81+'FULL Proforma_Revised &amp; DCF'!K89+'FULL Proforma_Revised &amp; DCF'!K93</f>
        <v>11176.722021312522</v>
      </c>
      <c r="L43" s="418">
        <f>'FULL Proforma_Revised &amp; DCF'!L81+'FULL Proforma_Revised &amp; DCF'!L89+'FULL Proforma_Revised &amp; DCF'!L93</f>
        <v>11258.527098154727</v>
      </c>
      <c r="M43" s="150"/>
      <c r="N43" s="150"/>
      <c r="O43" s="150"/>
      <c r="P43" s="150"/>
      <c r="Q43" s="150"/>
      <c r="R43" s="150"/>
      <c r="S43" s="150"/>
      <c r="T43" s="150"/>
      <c r="U43" s="150"/>
      <c r="V43" s="150"/>
      <c r="W43" s="150"/>
      <c r="X43" s="150"/>
      <c r="Y43" s="150"/>
    </row>
    <row r="44" spans="1:25" ht="16" customHeight="1">
      <c r="A44" s="168" t="s">
        <v>356</v>
      </c>
      <c r="B44" s="418">
        <f>B43-Bsproforma_old!B13</f>
        <v>9031</v>
      </c>
      <c r="C44" s="418">
        <f>C43-Bsproforma_old!D13</f>
        <v>11597</v>
      </c>
      <c r="D44" s="418">
        <f>D43-Bsproforma_old!F13</f>
        <v>10322</v>
      </c>
      <c r="E44" s="418">
        <f>E43-Bsproforma_old!H13</f>
        <v>9843</v>
      </c>
      <c r="F44" s="418">
        <f>F43-Bsproforma_old!J13</f>
        <v>10591</v>
      </c>
      <c r="G44" s="419"/>
      <c r="H44" s="418">
        <f ca="1">H43-'FULL Proforma_Revised &amp; DCF'!H50</f>
        <v>10158.014537506837</v>
      </c>
      <c r="I44" s="418">
        <f ca="1">I43-'FULL Proforma_Revised &amp; DCF'!I50</f>
        <v>9089.4127857331659</v>
      </c>
      <c r="J44" s="418">
        <f ca="1">J43-'FULL Proforma_Revised &amp; DCF'!J50</f>
        <v>7874.2876358901503</v>
      </c>
      <c r="K44" s="418">
        <f ca="1">K43-'FULL Proforma_Revised &amp; DCF'!K50</f>
        <v>6498.8298651714395</v>
      </c>
      <c r="L44" s="418">
        <f ca="1">L43-'FULL Proforma_Revised &amp; DCF'!L50</f>
        <v>4947.9922188647452</v>
      </c>
      <c r="M44" s="150"/>
      <c r="N44" s="150"/>
      <c r="O44" s="150"/>
      <c r="P44" s="150"/>
      <c r="Q44" s="150"/>
      <c r="R44" s="150"/>
      <c r="S44" s="150"/>
      <c r="T44" s="150"/>
      <c r="U44" s="150"/>
      <c r="V44" s="150"/>
      <c r="W44" s="150"/>
      <c r="X44" s="150"/>
      <c r="Y44" s="150"/>
    </row>
    <row r="45" spans="1:25" ht="16" customHeight="1">
      <c r="A45" s="136" t="s">
        <v>354</v>
      </c>
      <c r="B45" s="418">
        <f>'FULL Proforma_Revised &amp; DCF'!B46-'FULL Proforma_Revised &amp; DCF'!B45-'FULL Proforma_Revised &amp; DCF'!B41</f>
        <v>2685</v>
      </c>
      <c r="C45" s="418">
        <f>'FULL Proforma_Revised &amp; DCF'!C46-'FULL Proforma_Revised &amp; DCF'!C45-'FULL Proforma_Revised &amp; DCF'!C41</f>
        <v>1993</v>
      </c>
      <c r="D45" s="418">
        <f>'FULL Proforma_Revised &amp; DCF'!D46-'FULL Proforma_Revised &amp; DCF'!D45-'FULL Proforma_Revised &amp; DCF'!D41</f>
        <v>-21</v>
      </c>
      <c r="E45" s="418">
        <f>'FULL Proforma_Revised &amp; DCF'!E46-'FULL Proforma_Revised &amp; DCF'!E45-'FULL Proforma_Revised &amp; DCF'!E41</f>
        <v>1600</v>
      </c>
      <c r="F45" s="418">
        <f>'FULL Proforma_Revised &amp; DCF'!F46-'FULL Proforma_Revised &amp; DCF'!F45-'FULL Proforma_Revised &amp; DCF'!F41</f>
        <v>3517</v>
      </c>
      <c r="G45" s="419"/>
      <c r="H45" s="418">
        <f ca="1">'FULL Proforma_Revised &amp; DCF'!H46-'FULL Proforma_Revised &amp; DCF'!H45-'FULL Proforma_Revised &amp; DCF'!H41</f>
        <v>2784.2611306098447</v>
      </c>
      <c r="I45" s="418">
        <f ca="1">'FULL Proforma_Revised &amp; DCF'!I46-'FULL Proforma_Revised &amp; DCF'!I45-'FULL Proforma_Revised &amp; DCF'!I41</f>
        <v>3078.4995211520913</v>
      </c>
      <c r="J45" s="418">
        <f ca="1">'FULL Proforma_Revised &amp; DCF'!J46-'FULL Proforma_Revised &amp; DCF'!J45-'FULL Proforma_Revised &amp; DCF'!J41</f>
        <v>3399.9032298356474</v>
      </c>
      <c r="K45" s="418">
        <f ca="1">'FULL Proforma_Revised &amp; DCF'!K46-'FULL Proforma_Revised &amp; DCF'!K45-'FULL Proforma_Revised &amp; DCF'!K41</f>
        <v>3750.890234940955</v>
      </c>
      <c r="L45" s="418">
        <f ca="1">'FULL Proforma_Revised &amp; DCF'!L46-'FULL Proforma_Revised &amp; DCF'!L45-'FULL Proforma_Revised &amp; DCF'!L41</f>
        <v>4134.0945457177086</v>
      </c>
      <c r="M45" s="150"/>
      <c r="N45" s="150"/>
      <c r="O45" s="150"/>
      <c r="P45" s="150"/>
      <c r="Q45" s="150"/>
      <c r="R45" s="150"/>
      <c r="S45" s="150"/>
      <c r="T45" s="150"/>
      <c r="U45" s="150"/>
      <c r="V45" s="150"/>
      <c r="W45" s="150"/>
      <c r="X45" s="150"/>
      <c r="Y45" s="150"/>
    </row>
    <row r="46" spans="1:25" ht="16" customHeight="1">
      <c r="A46" s="168" t="s">
        <v>357</v>
      </c>
      <c r="B46" s="418">
        <v>350.1</v>
      </c>
      <c r="C46" s="418">
        <v>332.7</v>
      </c>
      <c r="D46" s="418">
        <v>325.8</v>
      </c>
      <c r="E46" s="418">
        <v>327.2</v>
      </c>
      <c r="F46" s="418">
        <v>324.39999999999998</v>
      </c>
      <c r="G46" s="419"/>
      <c r="H46" s="418">
        <f>308121159/1000000</f>
        <v>308.12115899999998</v>
      </c>
      <c r="I46" s="418">
        <f>308121159/1000000</f>
        <v>308.12115899999998</v>
      </c>
      <c r="J46" s="418">
        <f>308121159/1000000</f>
        <v>308.12115899999998</v>
      </c>
      <c r="K46" s="418">
        <f>308121159/1000000</f>
        <v>308.12115899999998</v>
      </c>
      <c r="L46" s="418">
        <f>308121159/1000000</f>
        <v>308.12115899999998</v>
      </c>
      <c r="M46" s="150"/>
      <c r="N46" s="150"/>
      <c r="O46" s="150"/>
      <c r="P46" s="150"/>
      <c r="Q46" s="150"/>
      <c r="R46" s="150"/>
      <c r="S46" s="150"/>
      <c r="T46" s="150"/>
      <c r="U46" s="150"/>
      <c r="V46" s="150"/>
      <c r="W46" s="150"/>
      <c r="X46" s="150"/>
      <c r="Y46" s="150"/>
    </row>
    <row r="47" spans="1:25" ht="16" customHeight="1">
      <c r="A47" s="168" t="s">
        <v>355</v>
      </c>
      <c r="B47" s="418">
        <f>B45-Isproforma_old!B33</f>
        <v>2911</v>
      </c>
      <c r="C47" s="418">
        <f>C45-Isproforma_old!D33</f>
        <v>2334</v>
      </c>
      <c r="D47" s="418">
        <f>D45-Isproforma_old!F33</f>
        <v>325</v>
      </c>
      <c r="E47" s="418">
        <f>E45-Isproforma_old!H33</f>
        <v>1820</v>
      </c>
      <c r="F47" s="418">
        <f>F45-Isproforma_old!J33</f>
        <v>3710</v>
      </c>
      <c r="G47" s="419"/>
      <c r="H47" s="418">
        <f ca="1">H45-'FULL Proforma_Revised &amp; DCF'!H33</f>
        <v>3132.286864581853</v>
      </c>
      <c r="I47" s="418">
        <f ca="1">I45-'FULL Proforma_Revised &amp; DCF'!I33</f>
        <v>3426.9602857711179</v>
      </c>
      <c r="J47" s="418">
        <f ca="1">J45-'FULL Proforma_Revised &amp; DCF'!J33</f>
        <v>3748.8359398675607</v>
      </c>
      <c r="K47" s="418">
        <f ca="1">K45-'FULL Proforma_Revised &amp; DCF'!K33</f>
        <v>4100.3350388481285</v>
      </c>
      <c r="L47" s="418">
        <f ca="1">L45-'FULL Proforma_Revised &amp; DCF'!L33</f>
        <v>4484.0951142796685</v>
      </c>
      <c r="M47" s="150"/>
      <c r="N47" s="150"/>
      <c r="O47" s="150"/>
      <c r="P47" s="150"/>
      <c r="Q47" s="150"/>
      <c r="R47" s="150"/>
      <c r="S47" s="150"/>
      <c r="T47" s="150"/>
      <c r="U47" s="150"/>
      <c r="V47" s="150"/>
      <c r="W47" s="150"/>
      <c r="X47" s="150"/>
      <c r="Y47" s="150"/>
    </row>
    <row r="48" spans="1:25" ht="16" customHeight="1">
      <c r="A48" s="168" t="s">
        <v>370</v>
      </c>
      <c r="B48" s="418">
        <v>107.24</v>
      </c>
      <c r="C48" s="418">
        <v>152.72999999999999</v>
      </c>
      <c r="D48" s="418">
        <v>131.91999999999999</v>
      </c>
      <c r="E48" s="418">
        <v>165.24</v>
      </c>
      <c r="F48" s="418">
        <f>'Multiples Valuation'!B22</f>
        <v>148.90868878357028</v>
      </c>
      <c r="G48" s="419"/>
      <c r="H48" s="420">
        <f ca="1">'Final Valuation Conclusion'!D18</f>
        <v>182.68422859928899</v>
      </c>
      <c r="I48" s="420" t="s">
        <v>358</v>
      </c>
      <c r="J48" s="420" t="s">
        <v>358</v>
      </c>
      <c r="K48" s="420" t="s">
        <v>358</v>
      </c>
      <c r="L48" s="420" t="s">
        <v>358</v>
      </c>
      <c r="M48" s="150"/>
      <c r="N48" s="150"/>
      <c r="O48" s="150"/>
      <c r="P48" s="150"/>
      <c r="Q48" s="150"/>
      <c r="R48" s="150"/>
      <c r="S48" s="150"/>
      <c r="T48" s="150"/>
      <c r="U48" s="150"/>
      <c r="V48" s="150"/>
      <c r="W48" s="150"/>
      <c r="X48" s="150"/>
      <c r="Y48" s="150"/>
    </row>
    <row r="49" spans="1:25" ht="16" customHeight="1">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row>
    <row r="50" spans="1:25" ht="16" customHeight="1">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row>
    <row r="51" spans="1:25" ht="16" customHeight="1">
      <c r="A51" s="700" t="s">
        <v>96</v>
      </c>
      <c r="B51" s="700"/>
      <c r="C51" s="700"/>
      <c r="D51" s="700"/>
      <c r="E51" s="700"/>
      <c r="F51" s="700"/>
      <c r="G51" s="700"/>
      <c r="H51" s="700"/>
      <c r="I51" s="150"/>
      <c r="J51" s="150"/>
      <c r="K51" s="150"/>
      <c r="L51" s="150"/>
      <c r="M51" s="150"/>
      <c r="N51" s="150"/>
      <c r="O51" s="150"/>
      <c r="P51" s="150"/>
      <c r="Q51" s="150"/>
      <c r="R51" s="150"/>
      <c r="S51" s="150"/>
      <c r="T51" s="150"/>
      <c r="U51" s="150"/>
      <c r="V51" s="150"/>
      <c r="W51" s="150"/>
      <c r="X51" s="150"/>
      <c r="Y51" s="150"/>
    </row>
    <row r="52" spans="1:25" ht="16" customHeight="1">
      <c r="A52" s="683">
        <v>1</v>
      </c>
      <c r="B52" s="701" t="s">
        <v>360</v>
      </c>
      <c r="C52" s="701"/>
      <c r="D52" s="701"/>
      <c r="E52" s="701"/>
      <c r="F52" s="701"/>
      <c r="G52" s="701"/>
      <c r="H52" s="701"/>
      <c r="I52" s="150"/>
      <c r="J52" s="150"/>
      <c r="K52" s="150"/>
      <c r="L52" s="150"/>
      <c r="M52" s="150"/>
      <c r="N52" s="150"/>
      <c r="O52" s="150"/>
      <c r="P52" s="150"/>
      <c r="Q52" s="150"/>
      <c r="R52" s="150"/>
      <c r="S52" s="150"/>
      <c r="T52" s="150"/>
      <c r="U52" s="150"/>
      <c r="V52" s="150"/>
      <c r="W52" s="150"/>
      <c r="X52" s="150"/>
      <c r="Y52" s="150"/>
    </row>
    <row r="53" spans="1:25" ht="16" customHeight="1">
      <c r="A53" s="683"/>
      <c r="B53" s="701"/>
      <c r="C53" s="701"/>
      <c r="D53" s="701"/>
      <c r="E53" s="701"/>
      <c r="F53" s="701"/>
      <c r="G53" s="701"/>
      <c r="H53" s="701"/>
      <c r="I53" s="150"/>
      <c r="J53" s="150"/>
      <c r="K53" s="150"/>
      <c r="L53" s="150"/>
      <c r="M53" s="150"/>
      <c r="N53" s="150"/>
      <c r="O53" s="150"/>
      <c r="P53" s="150"/>
      <c r="Q53" s="150"/>
      <c r="R53" s="150"/>
      <c r="S53" s="150"/>
      <c r="T53" s="150"/>
      <c r="U53" s="150"/>
      <c r="V53" s="150"/>
      <c r="W53" s="150"/>
      <c r="X53" s="150"/>
      <c r="Y53" s="150"/>
    </row>
    <row r="54" spans="1:25" ht="16" customHeight="1">
      <c r="A54" s="683"/>
      <c r="B54" s="702"/>
      <c r="C54" s="702"/>
      <c r="D54" s="702"/>
      <c r="E54" s="702"/>
      <c r="F54" s="702"/>
      <c r="G54" s="702"/>
      <c r="H54" s="702"/>
      <c r="I54" s="150"/>
      <c r="J54" s="150"/>
      <c r="K54" s="150"/>
      <c r="L54" s="150"/>
      <c r="M54" s="150"/>
      <c r="N54" s="150"/>
      <c r="O54" s="150"/>
      <c r="P54" s="150"/>
      <c r="Q54" s="150"/>
      <c r="R54" s="150"/>
      <c r="S54" s="150"/>
      <c r="T54" s="150"/>
      <c r="U54" s="150"/>
      <c r="V54" s="150"/>
      <c r="W54" s="150"/>
      <c r="X54" s="150"/>
      <c r="Y54" s="150"/>
    </row>
    <row r="55" spans="1:25" ht="16" customHeight="1">
      <c r="A55" s="682">
        <v>2</v>
      </c>
      <c r="B55" s="703" t="s">
        <v>361</v>
      </c>
      <c r="C55" s="703"/>
      <c r="D55" s="703"/>
      <c r="E55" s="703"/>
      <c r="F55" s="703"/>
      <c r="G55" s="703"/>
      <c r="H55" s="703"/>
      <c r="I55" s="150"/>
      <c r="J55" s="150"/>
      <c r="K55" s="150"/>
      <c r="L55" s="150"/>
      <c r="M55" s="150"/>
      <c r="N55" s="150"/>
      <c r="O55" s="150"/>
      <c r="P55" s="704"/>
      <c r="Q55" s="704"/>
      <c r="R55" s="704"/>
      <c r="S55" s="704"/>
      <c r="T55" s="704"/>
      <c r="U55" s="704"/>
      <c r="V55" s="150"/>
      <c r="W55" s="150"/>
      <c r="X55" s="150"/>
      <c r="Y55" s="150"/>
    </row>
    <row r="56" spans="1:25" ht="16" customHeight="1">
      <c r="A56" s="683"/>
      <c r="B56" s="701"/>
      <c r="C56" s="701"/>
      <c r="D56" s="701"/>
      <c r="E56" s="701"/>
      <c r="F56" s="701"/>
      <c r="G56" s="701"/>
      <c r="H56" s="701"/>
      <c r="I56" s="150"/>
      <c r="J56" s="150"/>
      <c r="K56" s="150"/>
      <c r="L56" s="150"/>
      <c r="M56" s="150"/>
      <c r="N56" s="150"/>
      <c r="O56" s="150"/>
      <c r="P56" s="192"/>
      <c r="Q56" s="108"/>
      <c r="R56" s="2"/>
      <c r="S56" s="192"/>
      <c r="T56" s="193"/>
      <c r="U56" s="2"/>
      <c r="V56" s="150"/>
      <c r="W56" s="150"/>
      <c r="X56" s="150"/>
      <c r="Y56" s="150"/>
    </row>
    <row r="57" spans="1:25" ht="16" customHeight="1">
      <c r="A57" s="53"/>
      <c r="B57" s="154"/>
      <c r="C57" s="154"/>
      <c r="D57" s="154"/>
      <c r="E57" s="154"/>
      <c r="F57" s="154"/>
      <c r="G57" s="154"/>
      <c r="H57" s="154"/>
      <c r="I57" s="150"/>
      <c r="J57" s="150"/>
      <c r="K57" s="150"/>
      <c r="L57" s="150"/>
      <c r="M57" s="150"/>
      <c r="N57" s="150"/>
      <c r="O57" s="150"/>
      <c r="P57" s="192"/>
      <c r="Q57" s="108"/>
      <c r="R57" s="2"/>
      <c r="S57" s="194"/>
      <c r="T57" s="192"/>
      <c r="U57" s="193"/>
      <c r="V57" s="150"/>
      <c r="W57" s="150"/>
      <c r="X57" s="150"/>
      <c r="Y57" s="150"/>
    </row>
    <row r="58" spans="1:25" ht="16" customHeight="1">
      <c r="A58" s="171">
        <v>3</v>
      </c>
      <c r="B58" s="169" t="s">
        <v>364</v>
      </c>
      <c r="C58" s="169"/>
      <c r="D58" s="169"/>
      <c r="E58" s="169"/>
      <c r="F58" s="169"/>
      <c r="G58" s="169"/>
      <c r="H58" s="169"/>
      <c r="I58" s="150"/>
      <c r="J58" s="150"/>
      <c r="K58" s="150"/>
      <c r="L58" s="150"/>
      <c r="M58" s="150"/>
      <c r="N58" s="150"/>
      <c r="O58" s="150"/>
      <c r="P58" s="192"/>
      <c r="Q58" s="108"/>
      <c r="R58" s="2"/>
      <c r="S58" s="194"/>
      <c r="T58" s="192"/>
      <c r="U58" s="193"/>
      <c r="V58" s="150"/>
      <c r="W58" s="150"/>
      <c r="X58" s="150"/>
      <c r="Y58" s="150"/>
    </row>
    <row r="59" spans="1:25" ht="16" customHeight="1">
      <c r="A59" s="698">
        <v>4</v>
      </c>
      <c r="B59" s="696" t="s">
        <v>369</v>
      </c>
      <c r="C59" s="696"/>
      <c r="D59" s="696"/>
      <c r="E59" s="696"/>
      <c r="F59" s="696"/>
      <c r="G59" s="696"/>
      <c r="H59" s="696"/>
      <c r="I59" s="150"/>
      <c r="J59" s="150"/>
      <c r="K59" s="150"/>
      <c r="L59" s="150"/>
      <c r="M59" s="150"/>
      <c r="N59" s="150"/>
      <c r="O59" s="150"/>
      <c r="P59" s="150"/>
      <c r="Q59" s="150"/>
      <c r="R59" s="150"/>
      <c r="S59" s="150"/>
      <c r="T59" s="150"/>
      <c r="U59" s="150"/>
      <c r="V59" s="150"/>
      <c r="W59" s="150"/>
      <c r="X59" s="150"/>
      <c r="Y59" s="150"/>
    </row>
    <row r="60" spans="1:25" ht="16" customHeight="1">
      <c r="A60" s="698"/>
      <c r="B60" s="697"/>
      <c r="C60" s="697"/>
      <c r="D60" s="697"/>
      <c r="E60" s="697"/>
      <c r="F60" s="697"/>
      <c r="G60" s="697"/>
      <c r="H60" s="697"/>
      <c r="I60" s="150"/>
      <c r="J60" s="150"/>
      <c r="K60" s="150"/>
      <c r="L60" s="150"/>
      <c r="M60" s="150"/>
      <c r="N60" s="150"/>
      <c r="O60" s="150"/>
      <c r="P60" s="150"/>
      <c r="Q60" s="150"/>
      <c r="R60" s="150"/>
      <c r="S60" s="150"/>
      <c r="T60" s="150"/>
      <c r="U60" s="150"/>
      <c r="V60" s="150"/>
      <c r="W60" s="150"/>
      <c r="X60" s="150"/>
      <c r="Y60" s="150"/>
    </row>
    <row r="61" spans="1:25" ht="16" customHeight="1">
      <c r="A61" s="698"/>
      <c r="B61" s="697"/>
      <c r="C61" s="697"/>
      <c r="D61" s="697"/>
      <c r="E61" s="697"/>
      <c r="F61" s="697"/>
      <c r="G61" s="697"/>
      <c r="H61" s="697"/>
      <c r="I61" s="150"/>
      <c r="J61" s="150"/>
      <c r="K61" s="150"/>
      <c r="L61" s="150"/>
      <c r="M61" s="150"/>
      <c r="N61" s="150"/>
      <c r="O61" s="150"/>
      <c r="P61" s="150"/>
      <c r="Q61" s="150"/>
      <c r="R61" s="150"/>
      <c r="S61" s="150"/>
      <c r="T61" s="150"/>
      <c r="U61" s="150"/>
      <c r="V61" s="150"/>
      <c r="W61" s="150"/>
      <c r="X61" s="150"/>
      <c r="Y61" s="150"/>
    </row>
    <row r="62" spans="1:25" ht="15.75" customHeight="1">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row>
    <row r="63" spans="1:25" ht="15.75" customHeight="1">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row>
    <row r="64" spans="1:25" ht="15.75" customHeight="1">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row>
    <row r="65" spans="1:25" ht="15.75" customHeight="1">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1:25" ht="15.75" customHeight="1">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row>
    <row r="67" spans="1:25" ht="15.75" customHeight="1">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row>
    <row r="68" spans="1:25" ht="15.75" customHeight="1">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row>
    <row r="69" spans="1:25" ht="15.75" customHeight="1">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row>
    <row r="70" spans="1:25" ht="15.75" customHeight="1">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row>
    <row r="71" spans="1:25" ht="15.75" customHeight="1">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row>
    <row r="72" spans="1:25" ht="15.75" customHeight="1">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row>
    <row r="73" spans="1:25" ht="15.75" customHeight="1">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row>
    <row r="74" spans="1:25" ht="15.75" customHeight="1">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row>
    <row r="75" spans="1:25" ht="15.75" customHeight="1">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row>
    <row r="76" spans="1:25" ht="15.75" customHeight="1">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row>
    <row r="77" spans="1:25" ht="15.75" customHeight="1">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row>
    <row r="78" spans="1:25" ht="15.75" customHeight="1">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row>
    <row r="79" spans="1:25" ht="15.75" customHeight="1">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row>
    <row r="80" spans="1:25" ht="15.75" customHeight="1">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row>
    <row r="81" spans="1:25" ht="15.75" customHeight="1">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row>
    <row r="82" spans="1:25" ht="15.75" customHeight="1">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row>
    <row r="83" spans="1:25" ht="15.75" customHeight="1">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row>
    <row r="84" spans="1:25" ht="15.75" customHeight="1">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row>
    <row r="85" spans="1:25" ht="15.75" customHeight="1">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row>
    <row r="86" spans="1:25" ht="15.75" customHeight="1">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row>
    <row r="87" spans="1:25" ht="15.75" customHeight="1">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row>
    <row r="88" spans="1:25" ht="15.75" customHeight="1">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row>
    <row r="89" spans="1:25" ht="15.75" customHeight="1">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row>
    <row r="90" spans="1:25" ht="15.75" customHeight="1">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row>
    <row r="91" spans="1:25" ht="15.75" customHeight="1">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row>
    <row r="92" spans="1:25" ht="15.75" customHeight="1">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row>
    <row r="93" spans="1:25" ht="15.75" customHeight="1">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row>
    <row r="94" spans="1:25" ht="15.75" customHeight="1">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row>
    <row r="95" spans="1:25" ht="15.75" customHeight="1">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row>
    <row r="96" spans="1:25" ht="15.75" customHeight="1">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row>
    <row r="97" spans="1:25" ht="15.75" customHeight="1">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row>
    <row r="98" spans="1:25" ht="15.75" customHeight="1">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row>
    <row r="99" spans="1:25" ht="15.75" customHeight="1">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row>
    <row r="100" spans="1:25" ht="15.75" customHeight="1">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row>
    <row r="101" spans="1:25" ht="15.75" customHeight="1">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row>
    <row r="102" spans="1:25" ht="15.75" customHeight="1">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row>
    <row r="103" spans="1:25" ht="15.75" customHeight="1">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row>
    <row r="104" spans="1:25" ht="15.75" customHeight="1">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row>
    <row r="105" spans="1:25" ht="15.75" customHeight="1">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row>
    <row r="106" spans="1:25" ht="15.75" customHeight="1">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row>
    <row r="107" spans="1:25" ht="15.75" customHeight="1">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row>
    <row r="108" spans="1:25" ht="15.75" customHeight="1">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row>
    <row r="109" spans="1:25" ht="15.75" customHeight="1">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row>
    <row r="110" spans="1:25" ht="15.75" customHeight="1">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row>
    <row r="111" spans="1:25" ht="15.75" customHeight="1">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row>
    <row r="112" spans="1:25" ht="15.75" customHeight="1">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row>
    <row r="113" spans="1:25" ht="15.75" customHeight="1">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row>
    <row r="114" spans="1:25" ht="15.75" customHeight="1">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row>
    <row r="115" spans="1:25" ht="15.75" customHeight="1">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row>
    <row r="116" spans="1:25" ht="15.75" customHeight="1">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row>
    <row r="117" spans="1:25" ht="15.75" customHeight="1">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row>
    <row r="118" spans="1:25" ht="15.75" customHeight="1">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row>
    <row r="119" spans="1:25" ht="15.75" customHeight="1">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row>
    <row r="120" spans="1:25" ht="15.75" customHeight="1">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row>
    <row r="121" spans="1:25" ht="15.75" customHeight="1">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row>
    <row r="122" spans="1:25" ht="15.75" customHeight="1">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row>
    <row r="123" spans="1:25" ht="15.75" customHeight="1">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row>
    <row r="124" spans="1:25" ht="15.75" customHeight="1">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row>
    <row r="125" spans="1:25" ht="15.75" customHeight="1">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row>
    <row r="126" spans="1:25" ht="15.75" customHeight="1">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row>
    <row r="127" spans="1:25" ht="15.75" customHeight="1">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row>
    <row r="128" spans="1:25" ht="15.75" customHeight="1">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row>
    <row r="129" spans="1:25" ht="15.75" customHeight="1">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row>
    <row r="130" spans="1:25" ht="15.75" customHeight="1">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row>
    <row r="131" spans="1:25" ht="15.75" customHeight="1">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row>
    <row r="132" spans="1:25" ht="15.75" customHeight="1">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row>
    <row r="133" spans="1:25" ht="15.75" customHeight="1">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row>
    <row r="134" spans="1:25" ht="15.75" customHeight="1">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row>
    <row r="135" spans="1:25" ht="15.75" customHeight="1">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row>
    <row r="136" spans="1:25" ht="15.75" customHeight="1">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row>
    <row r="137" spans="1:25" ht="15.75" customHeight="1">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row>
    <row r="138" spans="1:25" ht="15.75" customHeight="1">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row>
    <row r="139" spans="1:25" ht="15.75" customHeight="1">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row>
    <row r="140" spans="1:25" ht="15.75" customHeight="1">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row>
    <row r="141" spans="1:25" ht="15.75" customHeight="1">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row>
    <row r="142" spans="1:25" ht="15.75" customHeight="1">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row>
    <row r="143" spans="1:25" ht="15.75" customHeight="1">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row>
    <row r="144" spans="1:25" ht="15.75" customHeight="1">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row>
    <row r="145" spans="1:25" ht="15.75" customHeight="1">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row>
    <row r="146" spans="1:25" ht="15.75" customHeight="1">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row>
    <row r="147" spans="1:25" ht="15.75" customHeight="1">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row>
    <row r="148" spans="1:25" ht="15.75" customHeight="1">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row>
    <row r="149" spans="1:25" ht="15.75" customHeight="1">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row>
    <row r="150" spans="1:25" ht="15.75" customHeight="1">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row>
    <row r="151" spans="1:25" ht="15.75" customHeight="1">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row>
    <row r="152" spans="1:25" ht="15.75" customHeight="1">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row>
    <row r="153" spans="1:25" ht="15.75" customHeight="1">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row>
    <row r="154" spans="1:25" ht="15.75" customHeight="1">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row>
    <row r="155" spans="1:25" ht="15.75" customHeight="1">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row>
    <row r="156" spans="1:25" ht="15.75" customHeight="1">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row>
    <row r="157" spans="1:25" ht="15.75" customHeight="1">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row>
    <row r="158" spans="1:25" ht="15.75" customHeight="1">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row>
    <row r="159" spans="1:25" ht="15.75" customHeight="1">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row>
    <row r="160" spans="1:25" ht="15.75" customHeight="1">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row>
    <row r="161" spans="1:25" ht="15.75" customHeight="1">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row>
    <row r="162" spans="1:25" ht="15.75" customHeight="1">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row>
    <row r="163" spans="1:25" ht="15.75" customHeight="1">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row>
    <row r="164" spans="1:25" ht="15.75" customHeight="1">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row>
    <row r="165" spans="1:25" ht="15.75" customHeight="1">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row>
    <row r="166" spans="1:25" ht="15.75" customHeight="1">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row>
    <row r="167" spans="1:25" ht="15.75" customHeight="1">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row>
    <row r="168" spans="1:25" ht="15.75" customHeight="1">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row>
    <row r="169" spans="1:25" ht="15.75" customHeight="1">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row>
    <row r="170" spans="1:25" ht="15.75" customHeight="1">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row>
    <row r="171" spans="1:25" ht="15.75" customHeight="1">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row>
    <row r="172" spans="1:25" ht="15.75" customHeight="1">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row>
    <row r="173" spans="1:25" ht="15.75" customHeight="1">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row>
    <row r="174" spans="1:25" ht="15.75" customHeight="1">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row>
    <row r="175" spans="1:25" ht="15.75" customHeight="1">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row>
    <row r="176" spans="1:25" ht="15.75" customHeight="1">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row>
    <row r="177" spans="1:25" ht="15.75" customHeight="1">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row>
    <row r="178" spans="1:25" ht="15.75" customHeight="1">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row>
    <row r="179" spans="1:25" ht="15.75" customHeight="1">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row>
    <row r="180" spans="1:25" ht="15.75" customHeight="1">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row>
    <row r="181" spans="1:25" ht="15.75" customHeight="1">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row>
    <row r="182" spans="1:25" ht="15.75" customHeight="1">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row>
    <row r="183" spans="1:25" ht="15.75" customHeight="1">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row>
    <row r="184" spans="1:25" ht="15.75" customHeight="1">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row>
    <row r="185" spans="1:25" ht="15.75" customHeight="1">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row>
    <row r="186" spans="1:25" ht="15.75" customHeight="1">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row>
    <row r="187" spans="1:25" ht="15.75" customHeight="1">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row>
    <row r="188" spans="1:25" ht="15.75" customHeight="1">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row>
    <row r="189" spans="1:25" ht="15.75" customHeight="1">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row>
    <row r="190" spans="1:25" ht="15.75" customHeight="1">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row>
    <row r="191" spans="1:25" ht="15.75" customHeight="1">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row>
    <row r="192" spans="1:25" ht="15.75" customHeight="1">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row>
    <row r="193" spans="1:25" ht="15.75" customHeight="1">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row>
    <row r="194" spans="1:25" ht="15.75" customHeight="1">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row>
    <row r="195" spans="1:25" ht="15.75" customHeight="1">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row>
    <row r="196" spans="1:25" ht="15.75" customHeight="1">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row>
    <row r="197" spans="1:25" ht="15.75" customHeight="1">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row>
    <row r="198" spans="1:25" ht="15.75" customHeight="1">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row>
    <row r="199" spans="1:25" ht="15.75" customHeight="1">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row>
    <row r="200" spans="1:25" ht="15.75" customHeight="1">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row>
    <row r="201" spans="1:25" ht="15.75" customHeight="1">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row>
    <row r="202" spans="1:25" ht="15.75" customHeight="1">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row>
    <row r="203" spans="1:25" ht="15.75" customHeight="1">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row>
    <row r="204" spans="1:25" ht="15.75" customHeight="1">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row>
    <row r="205" spans="1:25" ht="15.75" customHeight="1">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row>
    <row r="206" spans="1:25" ht="15.75" customHeight="1">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row>
    <row r="207" spans="1:25" ht="15.75" customHeight="1">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row>
    <row r="208" spans="1:25" ht="15.75" customHeight="1">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row>
    <row r="209" spans="1:25" ht="15.75" customHeight="1">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row>
    <row r="210" spans="1:25" ht="15.75" customHeight="1">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row>
    <row r="211" spans="1:25" ht="15.75" customHeight="1">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row>
    <row r="212" spans="1:25" ht="15.75" customHeight="1">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row>
    <row r="213" spans="1:25" ht="15.75" customHeight="1">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row>
    <row r="214" spans="1:25" ht="15.75" customHeight="1">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row>
    <row r="215" spans="1:25" ht="15.75" customHeight="1">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row>
    <row r="216" spans="1:25" ht="15.75" customHeight="1">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row>
    <row r="217" spans="1:25" ht="15.75" customHeight="1">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row>
    <row r="218" spans="1:25" ht="15.75" customHeight="1">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row>
    <row r="219" spans="1:25" ht="15.75" customHeight="1">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row>
    <row r="220" spans="1:25" ht="15.75" customHeight="1">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row>
    <row r="221" spans="1:25" ht="15.75" customHeight="1">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row>
    <row r="222" spans="1:25" ht="15.75" customHeight="1">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row>
    <row r="223" spans="1:25" ht="15.75" customHeight="1">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row>
    <row r="224" spans="1:25" ht="15.75" customHeight="1">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row>
    <row r="225" spans="1:25" ht="15.75" customHeight="1">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row>
    <row r="226" spans="1:25" ht="15.75" customHeight="1">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row>
    <row r="227" spans="1:25" ht="15.75" customHeight="1">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row>
    <row r="228" spans="1:25" ht="15.75" customHeight="1">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row>
    <row r="229" spans="1:25" ht="15.75" customHeight="1">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row>
    <row r="230" spans="1:25" ht="15.75" customHeight="1">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row>
    <row r="231" spans="1:25" ht="15.75" customHeight="1">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row>
    <row r="232" spans="1:25" ht="15.75" customHeight="1">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row>
    <row r="233" spans="1:25" ht="15.75" customHeight="1">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row>
    <row r="234" spans="1:25" ht="15.75" customHeight="1">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row>
    <row r="235" spans="1:25" ht="15.75" customHeight="1">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row>
    <row r="236" spans="1:25" ht="15.75" customHeight="1">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row>
    <row r="237" spans="1:25" ht="15.75" customHeight="1">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row>
    <row r="238" spans="1:25" ht="15.75" customHeight="1">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row>
    <row r="239" spans="1:25" ht="15.75" customHeight="1">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row>
    <row r="240" spans="1:25" ht="15.75" customHeight="1">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row>
    <row r="241" spans="1:25" ht="15.75" customHeight="1">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row>
    <row r="242" spans="1:25" ht="15.75" customHeight="1">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row>
    <row r="243" spans="1:25" ht="15.75" customHeight="1">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row>
    <row r="244" spans="1:25" ht="15.75" customHeight="1">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row>
    <row r="245" spans="1:25" ht="15.75" customHeight="1">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row>
    <row r="246" spans="1:25" ht="15.75" customHeight="1">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row>
    <row r="247" spans="1:25" ht="15.75" customHeight="1">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row>
    <row r="248" spans="1:25" ht="15.75" customHeight="1">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row>
    <row r="249" spans="1:25" ht="15.75" customHeight="1">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row>
    <row r="250" spans="1:25" ht="15.75" customHeight="1">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row>
    <row r="251" spans="1:25" ht="15.75" customHeight="1">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row>
    <row r="252" spans="1:25" ht="15.75" customHeight="1">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row>
    <row r="253" spans="1:25" ht="15.75" customHeight="1">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row>
    <row r="254" spans="1:25" ht="15.75" customHeight="1">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row>
    <row r="255" spans="1:25" ht="15.75" customHeight="1">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row>
    <row r="256" spans="1:25" ht="15.75" customHeight="1">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row>
    <row r="257" spans="1:25" ht="15.75" customHeight="1">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row>
    <row r="258" spans="1:25" ht="15.75" customHeight="1">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row>
    <row r="259" spans="1:25" ht="15.75" customHeight="1">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row>
    <row r="260" spans="1:25" ht="15.75" customHeight="1">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row>
    <row r="261" spans="1:25" ht="15.75" customHeight="1">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row>
    <row r="262" spans="1:25" ht="15.75" customHeight="1">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row>
    <row r="263" spans="1:25" ht="15.75" customHeight="1">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row>
    <row r="264" spans="1:25" ht="15.75" customHeight="1">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row>
    <row r="265" spans="1:25" ht="15.75" customHeight="1">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row>
    <row r="266" spans="1:25" ht="15.75" customHeight="1">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row>
    <row r="267" spans="1:25" ht="15.75" customHeight="1">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row>
    <row r="268" spans="1:25" ht="15.75" customHeight="1">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row>
    <row r="269" spans="1:25" ht="15.75" customHeight="1">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row>
    <row r="270" spans="1:25" ht="15.75" customHeight="1">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row>
    <row r="271" spans="1:25" ht="15.75" customHeight="1">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row>
    <row r="272" spans="1:25" ht="15.75" customHeight="1">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row>
    <row r="273" spans="1:25" ht="15.75" customHeight="1">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row>
    <row r="274" spans="1:25" ht="15.75" customHeight="1">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row>
    <row r="275" spans="1:25" ht="15.75" customHeight="1">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row>
    <row r="276" spans="1:25" ht="15.75" customHeight="1">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row>
    <row r="277" spans="1:25" ht="15.75" customHeight="1">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row>
    <row r="278" spans="1:25" ht="15.75" customHeight="1">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row>
    <row r="279" spans="1:25" ht="15.75" customHeight="1">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row>
    <row r="280" spans="1:25" ht="15.75" customHeight="1">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row>
    <row r="281" spans="1:25" ht="15.75" customHeight="1">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row>
    <row r="282" spans="1:25" ht="15.75" customHeight="1">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row>
    <row r="283" spans="1:25" ht="15.75" customHeight="1">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row>
    <row r="284" spans="1:25" ht="15.75" customHeight="1">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row>
    <row r="285" spans="1:25" ht="15.75" customHeight="1">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row>
    <row r="286" spans="1:25" ht="15.75" customHeight="1">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row>
    <row r="287" spans="1:25" ht="15.75" customHeight="1">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row>
    <row r="288" spans="1:25" ht="15.75" customHeight="1">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row>
    <row r="289" spans="1:25" ht="15.75" customHeight="1">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row>
    <row r="290" spans="1:25" ht="15.75" customHeight="1">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row>
    <row r="291" spans="1:25" ht="15.75" customHeight="1">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row>
    <row r="292" spans="1:25" ht="15.75" customHeight="1">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row>
    <row r="293" spans="1:25" ht="15.75" customHeight="1">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row>
    <row r="294" spans="1:25" ht="15.75" customHeight="1">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row>
    <row r="295" spans="1:25" ht="15.75" customHeight="1">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row>
    <row r="296" spans="1:25" ht="15.75" customHeight="1">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row>
    <row r="297" spans="1:25" ht="15.75" customHeight="1">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row>
    <row r="298" spans="1:25" ht="15.75" customHeight="1">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row>
    <row r="299" spans="1:25" ht="15.75" customHeight="1">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row>
    <row r="300" spans="1:25" ht="15.75" customHeight="1">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row>
    <row r="301" spans="1:25" ht="15.75" customHeight="1">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row>
    <row r="302" spans="1:25" ht="15.75" customHeight="1">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row>
    <row r="303" spans="1:25" ht="15.75" customHeight="1">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row>
    <row r="304" spans="1:25" ht="15.75" customHeight="1">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row>
    <row r="305" spans="1:25" ht="15.75" customHeight="1">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row>
    <row r="306" spans="1:25" ht="15.75" customHeight="1">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row>
    <row r="307" spans="1:25" ht="15.75" customHeight="1">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row>
    <row r="308" spans="1:25" ht="15.75" customHeight="1">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row>
    <row r="309" spans="1:25" ht="15.75" customHeight="1">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row>
    <row r="310" spans="1:25" ht="15.75" customHeight="1">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row>
    <row r="311" spans="1:25" ht="15.75" customHeight="1">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row>
    <row r="312" spans="1:25" ht="15.75" customHeight="1">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row>
    <row r="313" spans="1:25" ht="15.75" customHeight="1">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row>
    <row r="314" spans="1:25" ht="15.75" customHeight="1">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row>
    <row r="315" spans="1:25" ht="15.75" customHeight="1">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row>
    <row r="316" spans="1:25" ht="15.75" customHeight="1">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row>
    <row r="317" spans="1:25" ht="15.75" customHeight="1">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row>
    <row r="318" spans="1:25" ht="15.75" customHeight="1">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row>
    <row r="319" spans="1:25" ht="15.75" customHeight="1">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row>
    <row r="320" spans="1:25" ht="15.75" customHeight="1">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row>
    <row r="321" spans="1:25" ht="15.75" customHeight="1">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row>
    <row r="322" spans="1:25" ht="15.75" customHeight="1">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row>
    <row r="323" spans="1:25" ht="15.75" customHeight="1">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row>
    <row r="324" spans="1:25" ht="15.75" customHeight="1">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row>
    <row r="325" spans="1:25" ht="15.75" customHeight="1">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row>
    <row r="326" spans="1:25" ht="15.75" customHeight="1">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row>
    <row r="327" spans="1:25" ht="15.75" customHeight="1">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row>
    <row r="328" spans="1:25" ht="15.75" customHeight="1">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row>
    <row r="329" spans="1:25" ht="15.75" customHeight="1">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row>
    <row r="330" spans="1:25" ht="15.75" customHeight="1">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row>
    <row r="331" spans="1:25" ht="15.75" customHeight="1">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row>
    <row r="332" spans="1:25" ht="15.75" customHeight="1">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row>
    <row r="333" spans="1:25" ht="15.75" customHeight="1">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row>
    <row r="334" spans="1:25" ht="15.75" customHeight="1">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row>
    <row r="335" spans="1:25" ht="15.75" customHeight="1">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row>
    <row r="336" spans="1:25" ht="15.75" customHeight="1">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row>
    <row r="337" spans="1:25" ht="15.75" customHeight="1">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row>
    <row r="338" spans="1:25" ht="15.75" customHeight="1">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row>
    <row r="339" spans="1:25" ht="15.75" customHeight="1">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row>
    <row r="340" spans="1:25" ht="15.75" customHeight="1">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row>
    <row r="341" spans="1:25" ht="15.75" customHeight="1">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row>
    <row r="342" spans="1:25" ht="15.75" customHeight="1">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row>
    <row r="343" spans="1:25" ht="15.75" customHeight="1">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row>
    <row r="344" spans="1:25" ht="15.75" customHeight="1">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row>
    <row r="345" spans="1:25" ht="15.75" customHeight="1">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row>
    <row r="346" spans="1:25" ht="15.75" customHeight="1">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row>
    <row r="347" spans="1:25" ht="15.75" customHeight="1">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row>
    <row r="348" spans="1:25" ht="15.75" customHeight="1">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row>
    <row r="349" spans="1:25" ht="15.75" customHeight="1">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row>
    <row r="350" spans="1:25" ht="15.75" customHeight="1">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row>
    <row r="351" spans="1:25" ht="15.75" customHeight="1">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row>
    <row r="352" spans="1:25" ht="15.75" customHeight="1">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row>
    <row r="353" spans="1:25" ht="15.75" customHeight="1">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row>
    <row r="354" spans="1:25" ht="15.75" customHeight="1">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row>
    <row r="355" spans="1:25" ht="15.75" customHeight="1">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row>
    <row r="356" spans="1:25" ht="15.75" customHeight="1">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row>
    <row r="357" spans="1:25" ht="15.75" customHeight="1">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row>
    <row r="358" spans="1:25" ht="15.75" customHeight="1">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row>
    <row r="359" spans="1:25" ht="15.75" customHeight="1">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row>
    <row r="360" spans="1:25" ht="15.75" customHeight="1">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row>
    <row r="361" spans="1:25" ht="15.75" customHeight="1">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row>
    <row r="362" spans="1:25" ht="15.75" customHeight="1">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row>
    <row r="363" spans="1:25" ht="15.75" customHeight="1">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row>
    <row r="364" spans="1:25" ht="15.75" customHeight="1">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row>
    <row r="365" spans="1:25" ht="15.75" customHeight="1">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row>
    <row r="366" spans="1:25" ht="15.75" customHeight="1">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row>
    <row r="367" spans="1:25" ht="15.75" customHeight="1">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row>
    <row r="368" spans="1:25" ht="15.75" customHeight="1">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row>
    <row r="369" spans="1:25" ht="15.75" customHeight="1">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row>
    <row r="370" spans="1:25" ht="15.75" customHeight="1">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row>
    <row r="371" spans="1:25" ht="15.75" customHeight="1">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row>
    <row r="372" spans="1:25" ht="15.75" customHeight="1">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row>
    <row r="373" spans="1:25" ht="15.75" customHeight="1">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row>
    <row r="374" spans="1:25" ht="15.75" customHeight="1">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row>
    <row r="375" spans="1:25" ht="15.75" customHeight="1">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row>
    <row r="376" spans="1:25" ht="15.75" customHeight="1">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row>
    <row r="377" spans="1:25" ht="15.75" customHeight="1">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row>
    <row r="378" spans="1:25" ht="15.75" customHeight="1">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row>
    <row r="379" spans="1:25" ht="15.75" customHeight="1">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row>
    <row r="380" spans="1:25" ht="15.75" customHeight="1">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row>
    <row r="381" spans="1:25" ht="15.75" customHeight="1">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row>
    <row r="382" spans="1:25" ht="15.75" customHeight="1">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row>
    <row r="383" spans="1:25" ht="15.75" customHeight="1">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row>
    <row r="384" spans="1:25" ht="15.75" customHeight="1">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row>
    <row r="385" spans="1:25" ht="15.75" customHeight="1">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row>
    <row r="386" spans="1:25" ht="15.75" customHeight="1">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row>
    <row r="387" spans="1:25" ht="15.75" customHeight="1">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row>
    <row r="388" spans="1:25" ht="15.75" customHeight="1">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row>
    <row r="389" spans="1:25" ht="15.75" customHeight="1">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row>
    <row r="390" spans="1:25" ht="15.75" customHeight="1">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row>
    <row r="391" spans="1:25" ht="15.75" customHeight="1">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row>
    <row r="392" spans="1:25" ht="15.75" customHeight="1">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row>
    <row r="393" spans="1:25" ht="15.75" customHeight="1">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row>
    <row r="394" spans="1:25" ht="15.75" customHeight="1">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row>
    <row r="395" spans="1:25" ht="15.75" customHeight="1">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row>
    <row r="396" spans="1:25" ht="15.75" customHeight="1">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row>
    <row r="397" spans="1:25" ht="15.75" customHeight="1">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row>
    <row r="398" spans="1:25" ht="15.75" customHeight="1">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row>
    <row r="399" spans="1:25" ht="15.75" customHeight="1">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row>
    <row r="400" spans="1:25" ht="15.75" customHeight="1">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row>
    <row r="401" spans="1:25" ht="15.75" customHeight="1">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row>
    <row r="402" spans="1:25" ht="15.75" customHeight="1">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row>
    <row r="403" spans="1:25" ht="15.75" customHeight="1">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row>
    <row r="404" spans="1:25" ht="15.75" customHeight="1">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row>
    <row r="405" spans="1:25" ht="15.75" customHeight="1">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row>
    <row r="406" spans="1:25" ht="15.75" customHeight="1">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row>
    <row r="407" spans="1:25" ht="15.75" customHeight="1">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row>
    <row r="408" spans="1:25" ht="15.75" customHeight="1">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row>
    <row r="409" spans="1:25" ht="15.75" customHeight="1">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row>
    <row r="410" spans="1:25" ht="15.75" customHeight="1">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row>
    <row r="411" spans="1:25" ht="15.75" customHeight="1">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row>
    <row r="412" spans="1:25" ht="15.75" customHeight="1">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row>
    <row r="413" spans="1:25" ht="15.75" customHeight="1">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row>
    <row r="414" spans="1:25" ht="15.75" customHeight="1">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row>
    <row r="415" spans="1:25" ht="15.75" customHeight="1">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row>
    <row r="416" spans="1:25" ht="15.75" customHeight="1">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row>
    <row r="417" spans="1:25" ht="15.75" customHeight="1">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row>
    <row r="418" spans="1:25" ht="15.75" customHeight="1">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row>
    <row r="419" spans="1:25" ht="15.75" customHeight="1">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row>
    <row r="420" spans="1:25" ht="15.75" customHeight="1">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row>
    <row r="421" spans="1:25" ht="15.75" customHeight="1">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row>
    <row r="422" spans="1:25" ht="15.75" customHeight="1">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row>
    <row r="423" spans="1:25" ht="15.75" customHeight="1">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row>
    <row r="424" spans="1:25" ht="15.75" customHeight="1">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row>
    <row r="425" spans="1:25" ht="15.75" customHeight="1">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row>
    <row r="426" spans="1:25" ht="15.75" customHeight="1">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row>
    <row r="427" spans="1:25" ht="15.75" customHeight="1">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row>
    <row r="428" spans="1:25" ht="15.75" customHeight="1">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row>
    <row r="429" spans="1:25" ht="15.75" customHeight="1">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row>
    <row r="430" spans="1:25" ht="15.75" customHeight="1">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row>
    <row r="431" spans="1:25" ht="15.75" customHeight="1">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row>
    <row r="432" spans="1:25" ht="15.75" customHeight="1">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row>
    <row r="433" spans="1:25" ht="15.75" customHeight="1">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row>
    <row r="434" spans="1:25" ht="15.75" customHeight="1">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row>
    <row r="435" spans="1:25" ht="15.75" customHeight="1">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row>
    <row r="436" spans="1:25" ht="15.75" customHeight="1">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row>
    <row r="437" spans="1:25" ht="15.75" customHeight="1">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row>
    <row r="438" spans="1:25" ht="15.75" customHeight="1">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row>
    <row r="439" spans="1:25" ht="15.75" customHeight="1">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row>
    <row r="440" spans="1:25" ht="15.75" customHeight="1">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row>
    <row r="441" spans="1:25" ht="15.75" customHeight="1">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row>
    <row r="442" spans="1:25" ht="15.75" customHeight="1">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row>
    <row r="443" spans="1:25" ht="15.75" customHeight="1">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row>
    <row r="444" spans="1:25" ht="15.75" customHeight="1">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row>
    <row r="445" spans="1:25" ht="15.75" customHeight="1">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row>
    <row r="446" spans="1:25" ht="15.75" customHeight="1">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row>
    <row r="447" spans="1:25" ht="15.75" customHeight="1">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row>
    <row r="448" spans="1:25" ht="15.75" customHeight="1">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row>
    <row r="449" spans="1:25" ht="15.75" customHeight="1">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row>
    <row r="450" spans="1:25" ht="15.75" customHeight="1">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row>
    <row r="451" spans="1:25" ht="15.75" customHeight="1">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row>
    <row r="452" spans="1:25" ht="15.75" customHeight="1">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row>
    <row r="453" spans="1:25" ht="15.75" customHeight="1">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row>
    <row r="454" spans="1:25" ht="15.75" customHeight="1">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row>
    <row r="455" spans="1:25" ht="15.75" customHeight="1">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row>
    <row r="456" spans="1:25" ht="15.75" customHeight="1">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row>
    <row r="457" spans="1:25" ht="15.75" customHeight="1">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row>
    <row r="458" spans="1:25" ht="15.75" customHeight="1">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row>
    <row r="459" spans="1:25" ht="15.75" customHeight="1">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row>
    <row r="460" spans="1:25" ht="15.75" customHeight="1">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row>
    <row r="461" spans="1:25" ht="15.75" customHeight="1">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row>
    <row r="462" spans="1:25" ht="15.75" customHeight="1">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row>
    <row r="463" spans="1:25" ht="15.75" customHeight="1">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row>
    <row r="464" spans="1:25" ht="15.75" customHeight="1">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row>
    <row r="465" spans="1:25" ht="15.75" customHeight="1">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row>
    <row r="466" spans="1:25" ht="15.75" customHeight="1">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row>
    <row r="467" spans="1:25" ht="15.75" customHeight="1">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row>
    <row r="468" spans="1:25" ht="15.75" customHeight="1">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row>
    <row r="469" spans="1:25" ht="15.75" customHeight="1">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row>
    <row r="470" spans="1:25" ht="15.75" customHeight="1">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row>
    <row r="471" spans="1:25" ht="15.75" customHeight="1">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row>
    <row r="472" spans="1:25" ht="15.75" customHeight="1">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row>
    <row r="473" spans="1:25" ht="15.75" customHeight="1">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row>
    <row r="474" spans="1:25" ht="15.75" customHeight="1">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row>
    <row r="475" spans="1:25" ht="15.75" customHeight="1">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row>
    <row r="476" spans="1:25" ht="15.75" customHeight="1">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row>
    <row r="477" spans="1:25" ht="15.75" customHeight="1">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row>
    <row r="478" spans="1:25" ht="15.75" customHeight="1">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row>
    <row r="479" spans="1:25" ht="15.75" customHeight="1">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row>
    <row r="480" spans="1:25" ht="15.75" customHeight="1">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row>
    <row r="481" spans="1:25" ht="15.75" customHeight="1">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row>
    <row r="482" spans="1:25" ht="15.75" customHeight="1">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row>
    <row r="483" spans="1:25" ht="15.75" customHeight="1">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row>
    <row r="484" spans="1:25" ht="15.75" customHeight="1">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row>
    <row r="485" spans="1:25" ht="15.75" customHeight="1">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row>
    <row r="486" spans="1:25" ht="15.75" customHeight="1">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row>
    <row r="487" spans="1:25" ht="15.75" customHeight="1">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row>
    <row r="488" spans="1:25" ht="15.75" customHeight="1">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row>
    <row r="489" spans="1:25" ht="15.75" customHeight="1">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row>
    <row r="490" spans="1:25" ht="15.75" customHeight="1">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row>
    <row r="491" spans="1:25" ht="15.75" customHeight="1">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row>
    <row r="492" spans="1:25" ht="15.75" customHeight="1">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row>
    <row r="493" spans="1:25" ht="15.75" customHeight="1">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row>
    <row r="494" spans="1:25" ht="15.75" customHeight="1">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row>
    <row r="495" spans="1:25" ht="15.75" customHeight="1">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row>
    <row r="496" spans="1:25" ht="15.75" customHeight="1">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row>
    <row r="497" spans="1:25" ht="15.75" customHeight="1">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row>
    <row r="498" spans="1:25" ht="15.75" customHeight="1">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row>
    <row r="499" spans="1:25" ht="15.75" customHeight="1">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row>
    <row r="500" spans="1:25" ht="15.75" customHeight="1">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row>
    <row r="501" spans="1:25" ht="15.75" customHeight="1">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row>
    <row r="502" spans="1:25" ht="15.75" customHeight="1">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row>
    <row r="503" spans="1:25" ht="15.75" customHeight="1">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row>
    <row r="504" spans="1:25" ht="15.75" customHeight="1">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row>
    <row r="505" spans="1:25" ht="15.75" customHeight="1">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row>
    <row r="506" spans="1:25" ht="15.75" customHeight="1">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row>
    <row r="507" spans="1:25" ht="15.75" customHeight="1">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row>
    <row r="508" spans="1:25" ht="15.75" customHeight="1">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row>
    <row r="509" spans="1:25" ht="15.75" customHeight="1">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row>
    <row r="510" spans="1:25" ht="15.75" customHeight="1">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row>
    <row r="511" spans="1:25" ht="15.75" customHeight="1">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row>
    <row r="512" spans="1:25" ht="15.75" customHeight="1">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row>
    <row r="513" spans="1:25" ht="15.75" customHeight="1">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row>
    <row r="514" spans="1:25" ht="15.75" customHeight="1">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row>
    <row r="515" spans="1:25" ht="15.75" customHeight="1">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row>
    <row r="516" spans="1:25" ht="15.75" customHeight="1">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row>
    <row r="517" spans="1:25" ht="15.75" customHeight="1">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row>
    <row r="518" spans="1:25" ht="15.75" customHeight="1">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row>
    <row r="519" spans="1:25" ht="15.75" customHeight="1">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row>
    <row r="520" spans="1:25" ht="15.75" customHeight="1">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row>
    <row r="521" spans="1:25" ht="15.75" customHeight="1">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row>
    <row r="522" spans="1:25" ht="15.75" customHeight="1">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row>
    <row r="523" spans="1:25" ht="15.75" customHeight="1">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row>
    <row r="524" spans="1:25" ht="15.75" customHeight="1">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row>
    <row r="525" spans="1:25" ht="15.75" customHeight="1">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row>
    <row r="526" spans="1:25" ht="15.75" customHeight="1">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row>
    <row r="527" spans="1:25" ht="15.75" customHeight="1">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row>
    <row r="528" spans="1:25" ht="15.75" customHeight="1">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row>
    <row r="529" spans="1:25" ht="15.75" customHeight="1">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row>
    <row r="530" spans="1:25" ht="15.75" customHeight="1">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row>
    <row r="531" spans="1:25" ht="15.75" customHeight="1">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row>
    <row r="532" spans="1:25" ht="15.75" customHeight="1">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row>
    <row r="533" spans="1:25" ht="15.75" customHeight="1">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row>
    <row r="534" spans="1:25" ht="15.75" customHeight="1">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row>
    <row r="535" spans="1:25" ht="15.75" customHeight="1">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row>
    <row r="536" spans="1:25" ht="15.75" customHeight="1">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row>
    <row r="537" spans="1:25" ht="15.75" customHeight="1">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row>
    <row r="538" spans="1:25" ht="15.75" customHeight="1">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row>
    <row r="539" spans="1:25" ht="15.75" customHeight="1">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row>
    <row r="540" spans="1:25" ht="15.75" customHeight="1">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row>
    <row r="541" spans="1:25" ht="15.75" customHeight="1">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row>
    <row r="542" spans="1:25" ht="15.75" customHeight="1">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row>
    <row r="543" spans="1:25" ht="15.75" customHeight="1">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row>
    <row r="544" spans="1:25" ht="15.75" customHeight="1">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row>
    <row r="545" spans="1:25" ht="15.75" customHeight="1">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row>
    <row r="546" spans="1:25" ht="15.75" customHeight="1">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row>
    <row r="547" spans="1:25" ht="15.75" customHeight="1">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row>
    <row r="548" spans="1:25" ht="15.75" customHeight="1">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row>
    <row r="549" spans="1:25" ht="15.75" customHeight="1">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row>
    <row r="550" spans="1:25" ht="15.75" customHeight="1">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row>
    <row r="551" spans="1:25" ht="15.75" customHeight="1">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row>
    <row r="552" spans="1:25" ht="15.75" customHeight="1">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row>
    <row r="553" spans="1:25" ht="15.75" customHeight="1">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row>
    <row r="554" spans="1:25" ht="15.75" customHeight="1">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row>
    <row r="555" spans="1:25" ht="15.75" customHeight="1">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row>
    <row r="556" spans="1:25" ht="15.75" customHeight="1">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row>
    <row r="557" spans="1:25" ht="15.75" customHeight="1">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row>
    <row r="558" spans="1:25" ht="15.75" customHeight="1">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row>
    <row r="559" spans="1:25" ht="15.75" customHeight="1">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row>
    <row r="560" spans="1:25" ht="15.75" customHeight="1">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row>
    <row r="561" spans="1:25" ht="15.75" customHeight="1">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row>
    <row r="562" spans="1:25" ht="15.75" customHeight="1">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row>
    <row r="563" spans="1:25" ht="15.75" customHeight="1">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row>
    <row r="564" spans="1:25" ht="15.75" customHeight="1">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row>
    <row r="565" spans="1:25" ht="15.75" customHeight="1">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row>
    <row r="566" spans="1:25" ht="15.75" customHeight="1">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row>
    <row r="567" spans="1:25" ht="15.75" customHeight="1">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row>
    <row r="568" spans="1:25" ht="15.75" customHeight="1">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row>
    <row r="569" spans="1:25" ht="15.75" customHeight="1">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row>
    <row r="570" spans="1:25" ht="15.75" customHeight="1">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row>
    <row r="571" spans="1:25" ht="15.75" customHeight="1">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row>
    <row r="572" spans="1:25" ht="15.75" customHeight="1">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row>
    <row r="573" spans="1:25" ht="15.75" customHeight="1">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row>
    <row r="574" spans="1:25" ht="15.75" customHeight="1">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row>
    <row r="575" spans="1:25" ht="15.75" customHeight="1">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row>
    <row r="576" spans="1:25" ht="15.75" customHeight="1">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row>
    <row r="577" spans="1:25" ht="15.75" customHeight="1">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row>
    <row r="578" spans="1:25" ht="15.75" customHeight="1">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row>
    <row r="579" spans="1:25" ht="15.75" customHeight="1">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row>
    <row r="580" spans="1:25" ht="15.75" customHeight="1">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row>
    <row r="581" spans="1:25" ht="15.75" customHeight="1">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row>
    <row r="582" spans="1:25" ht="15.75" customHeight="1">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row>
    <row r="583" spans="1:25" ht="15.75" customHeight="1">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row>
    <row r="584" spans="1:25" ht="15.75" customHeight="1">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row>
    <row r="585" spans="1:25" ht="15.75" customHeight="1">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row>
    <row r="586" spans="1:25" ht="15.75" customHeight="1">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row>
    <row r="587" spans="1:25" ht="15.75" customHeight="1">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row>
    <row r="588" spans="1:25" ht="15.75" customHeight="1">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row>
    <row r="589" spans="1:25" ht="15.75" customHeight="1">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row>
    <row r="590" spans="1:25" ht="15.75" customHeight="1">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row>
    <row r="591" spans="1:25" ht="15.75" customHeight="1">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row>
    <row r="592" spans="1:25" ht="15.75" customHeight="1">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row>
    <row r="593" spans="1:25" ht="15.75" customHeight="1">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row>
    <row r="594" spans="1:25" ht="15.75" customHeight="1">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row>
    <row r="595" spans="1:25" ht="15.75" customHeight="1">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row>
    <row r="596" spans="1:25" ht="15.75" customHeight="1">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row>
    <row r="597" spans="1:25" ht="15.75" customHeight="1">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row>
    <row r="598" spans="1:25" ht="15.75" customHeight="1">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row>
    <row r="599" spans="1:25" ht="15.75" customHeight="1">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row>
    <row r="600" spans="1:25" ht="15.75" customHeight="1">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row>
    <row r="601" spans="1:25" ht="15.75" customHeight="1">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row>
    <row r="602" spans="1:25" ht="15.75" customHeight="1">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row>
    <row r="603" spans="1:25" ht="15.75" customHeight="1">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row>
    <row r="604" spans="1:25" ht="15.75" customHeight="1">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row>
    <row r="605" spans="1:25" ht="15.75" customHeight="1">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row>
    <row r="606" spans="1:25" ht="15.75" customHeight="1">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row>
    <row r="607" spans="1:25" ht="15.75" customHeight="1">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row>
    <row r="608" spans="1:25" ht="15.75" customHeight="1">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row>
    <row r="609" spans="1:25" ht="15.75" customHeight="1">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row>
    <row r="610" spans="1:25" ht="15.75" customHeight="1">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row>
    <row r="611" spans="1:25" ht="15.75" customHeight="1">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row>
    <row r="612" spans="1:25" ht="15.75" customHeight="1">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row>
    <row r="613" spans="1:25" ht="15.75" customHeight="1">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row>
    <row r="614" spans="1:25" ht="15.75" customHeight="1">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row>
    <row r="615" spans="1:25" ht="15.75" customHeight="1">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row>
    <row r="616" spans="1:25" ht="15.75" customHeight="1">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row>
    <row r="617" spans="1:25" ht="15.75" customHeight="1">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row>
    <row r="618" spans="1:25" ht="15.75" customHeight="1">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row>
    <row r="619" spans="1:25" ht="15.75" customHeight="1">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row>
    <row r="620" spans="1:25" ht="15.75" customHeight="1">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row>
    <row r="621" spans="1:25" ht="15.75" customHeight="1">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row>
    <row r="622" spans="1:25" ht="15.75" customHeight="1">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row>
    <row r="623" spans="1:25" ht="15.75" customHeight="1">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row>
    <row r="624" spans="1:25" ht="15.75" customHeight="1">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row>
    <row r="625" spans="1:25" ht="15.75" customHeight="1">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row>
    <row r="626" spans="1:25" ht="15.75" customHeight="1">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row>
    <row r="627" spans="1:25" ht="15.75" customHeight="1">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row>
    <row r="628" spans="1:25" ht="15.75" customHeight="1">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row>
    <row r="629" spans="1:25" ht="15.75" customHeight="1">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row>
    <row r="630" spans="1:25" ht="15.75" customHeight="1">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row>
    <row r="631" spans="1:25" ht="15.75" customHeight="1">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row>
    <row r="632" spans="1:25" ht="15.75" customHeight="1">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row>
    <row r="633" spans="1:25" ht="15.75" customHeight="1">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row>
    <row r="634" spans="1:25" ht="15.75" customHeight="1">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row>
    <row r="635" spans="1:25" ht="15.75" customHeight="1">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row>
    <row r="636" spans="1:25" ht="15.75" customHeight="1">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row>
    <row r="637" spans="1:25" ht="15.75" customHeight="1">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row>
    <row r="638" spans="1:25" ht="15.75" customHeight="1">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row>
    <row r="639" spans="1:25" ht="15.75" customHeight="1">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row>
    <row r="640" spans="1:25" ht="15.75" customHeight="1">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row>
    <row r="641" spans="1:25" ht="15.75" customHeight="1">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row>
    <row r="642" spans="1:25" ht="15.75" customHeight="1">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row>
    <row r="643" spans="1:25" ht="15.75" customHeight="1">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row>
    <row r="644" spans="1:25" ht="15.75" customHeight="1">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row>
    <row r="645" spans="1:25" ht="15.75" customHeight="1">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row>
    <row r="646" spans="1:25" ht="15.75" customHeight="1">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row>
    <row r="647" spans="1:25" ht="15.75" customHeight="1">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row>
    <row r="648" spans="1:25" ht="15.75" customHeight="1">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row>
    <row r="649" spans="1:25" ht="15.75" customHeight="1">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row>
    <row r="650" spans="1:25" ht="15.75" customHeight="1">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row>
    <row r="651" spans="1:25" ht="15.75" customHeight="1">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row>
    <row r="652" spans="1:25" ht="15.75" customHeight="1">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row>
    <row r="653" spans="1:25" ht="15.75" customHeight="1">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row>
    <row r="654" spans="1:25" ht="15.75" customHeight="1">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row>
    <row r="655" spans="1:25" ht="15.75" customHeight="1">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row>
    <row r="656" spans="1:25" ht="15.75" customHeight="1">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row>
    <row r="657" spans="1:25" ht="15.75" customHeight="1">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row>
    <row r="658" spans="1:25" ht="15.75" customHeight="1">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row>
    <row r="659" spans="1:25" ht="15.75" customHeight="1">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row>
    <row r="660" spans="1:25" ht="15.75" customHeight="1">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row>
    <row r="661" spans="1:25" ht="15.75" customHeight="1">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row>
    <row r="662" spans="1:25" ht="15.75" customHeight="1">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row>
    <row r="663" spans="1:25" ht="15.75" customHeight="1">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row>
    <row r="664" spans="1:25" ht="15.75" customHeight="1">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row>
    <row r="665" spans="1:25" ht="15.75" customHeight="1">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row>
    <row r="666" spans="1:25" ht="15.75" customHeight="1">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row>
    <row r="667" spans="1:25" ht="15.75" customHeight="1">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row>
    <row r="668" spans="1:25" ht="15.75" customHeight="1">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row>
    <row r="669" spans="1:25" ht="15.75" customHeight="1">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row>
    <row r="670" spans="1:25" ht="15.75" customHeight="1">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row>
    <row r="671" spans="1:25" ht="15.75" customHeight="1">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row>
    <row r="672" spans="1:25" ht="15.75" customHeight="1">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row>
    <row r="673" spans="1:25" ht="15.75" customHeight="1">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row>
    <row r="674" spans="1:25" ht="15.75" customHeight="1">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row>
    <row r="675" spans="1:25" ht="15.75" customHeight="1">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row>
    <row r="676" spans="1:25" ht="15.75" customHeight="1">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row>
    <row r="677" spans="1:25" ht="15.75" customHeight="1">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row>
    <row r="678" spans="1:25" ht="15.75" customHeight="1">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row>
    <row r="679" spans="1:25" ht="15.75" customHeight="1">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row>
    <row r="680" spans="1:25" ht="15.75" customHeight="1">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row>
    <row r="681" spans="1:25" ht="15.75" customHeight="1">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row>
    <row r="682" spans="1:25" ht="15.75" customHeight="1">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row>
    <row r="683" spans="1:25" ht="15.75" customHeight="1">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row>
    <row r="684" spans="1:25" ht="15.75" customHeight="1">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row>
    <row r="685" spans="1:25" ht="15.75" customHeight="1">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row>
    <row r="686" spans="1:25" ht="15.75" customHeight="1">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row>
    <row r="687" spans="1:25" ht="15.75" customHeight="1">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row>
    <row r="688" spans="1:25" ht="15.75" customHeight="1">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row>
    <row r="689" spans="1:25" ht="15.75" customHeight="1">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row>
    <row r="690" spans="1:25" ht="15.75" customHeight="1">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row>
    <row r="691" spans="1:25" ht="15.75" customHeight="1">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row>
    <row r="692" spans="1:25" ht="15.75" customHeight="1">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row>
    <row r="693" spans="1:25" ht="15.75" customHeight="1">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row>
    <row r="694" spans="1:25" ht="15.75" customHeight="1">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row>
    <row r="695" spans="1:25" ht="15.75" customHeight="1">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row>
    <row r="696" spans="1:25" ht="15.75" customHeight="1">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row>
    <row r="697" spans="1:25" ht="15.75" customHeight="1">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row>
    <row r="698" spans="1:25" ht="15.75" customHeight="1">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row>
    <row r="699" spans="1:25" ht="15.75" customHeight="1">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row>
    <row r="700" spans="1:25" ht="15.75" customHeight="1">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row>
    <row r="701" spans="1:25" ht="15.75" customHeight="1">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row>
    <row r="702" spans="1:25" ht="15.75" customHeight="1">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row>
    <row r="703" spans="1:25" ht="15.75" customHeight="1">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row>
    <row r="704" spans="1:25" ht="15.75" customHeight="1">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row>
    <row r="705" spans="1:25" ht="15.75" customHeight="1">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row>
    <row r="706" spans="1:25" ht="15.75" customHeight="1">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row>
    <row r="707" spans="1:25" ht="15.75" customHeight="1">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row>
    <row r="708" spans="1:25" ht="15.75" customHeight="1">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row>
    <row r="709" spans="1:25" ht="15.75" customHeight="1">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row>
    <row r="710" spans="1:25" ht="15.75" customHeight="1">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row>
    <row r="711" spans="1:25" ht="15.75" customHeight="1">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row>
    <row r="712" spans="1:25" ht="15.75" customHeight="1">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row>
    <row r="713" spans="1:25" ht="15.75" customHeight="1">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row>
    <row r="714" spans="1:25" ht="15.75" customHeight="1">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row>
    <row r="715" spans="1:25" ht="15.75" customHeight="1">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row>
    <row r="716" spans="1:25" ht="15.75" customHeight="1">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row>
    <row r="717" spans="1:25" ht="15.75" customHeight="1">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row>
    <row r="718" spans="1:25" ht="15.75" customHeight="1">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row>
    <row r="719" spans="1:25" ht="15.75" customHeight="1">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row>
    <row r="720" spans="1:25" ht="15.75" customHeight="1">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row>
    <row r="721" spans="1:25" ht="15.75" customHeight="1">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row>
    <row r="722" spans="1:25" ht="15.75" customHeight="1">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row>
    <row r="723" spans="1:25" ht="15.75" customHeight="1">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row>
    <row r="724" spans="1:25" ht="15.75" customHeight="1">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row>
    <row r="725" spans="1:25" ht="15.75" customHeight="1">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row>
    <row r="726" spans="1:25" ht="15.75" customHeight="1">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row>
    <row r="727" spans="1:25" ht="15.75" customHeight="1">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row>
    <row r="728" spans="1:25" ht="15.75" customHeight="1">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row>
    <row r="729" spans="1:25" ht="15.75" customHeight="1">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row>
    <row r="730" spans="1:25" ht="15.75" customHeight="1">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row>
    <row r="731" spans="1:25" ht="15.75" customHeight="1">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row>
    <row r="732" spans="1:25" ht="15.75" customHeight="1">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row>
    <row r="733" spans="1:25" ht="15.75" customHeight="1">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row>
    <row r="734" spans="1:25" ht="15.75" customHeight="1">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row>
    <row r="735" spans="1:25" ht="15.75" customHeight="1">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row>
    <row r="736" spans="1:25" ht="15.75" customHeight="1">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row>
    <row r="737" spans="1:25" ht="15.75" customHeight="1">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row>
    <row r="738" spans="1:25" ht="15.75" customHeight="1">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row>
    <row r="739" spans="1:25" ht="15.75" customHeight="1">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row>
    <row r="740" spans="1:25" ht="15.75" customHeight="1">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row>
    <row r="741" spans="1:25" ht="15.75" customHeight="1">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row>
    <row r="742" spans="1:25" ht="15.75" customHeight="1">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row>
    <row r="743" spans="1:25" ht="15.75" customHeight="1">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row>
    <row r="744" spans="1:25" ht="15.75" customHeight="1">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row>
    <row r="745" spans="1:25" ht="15.75" customHeight="1">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row>
    <row r="746" spans="1:25" ht="15.75" customHeight="1">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row>
    <row r="747" spans="1:25" ht="15.75" customHeight="1">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row>
    <row r="748" spans="1:25" ht="15.75" customHeight="1">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row>
    <row r="749" spans="1:25" ht="15.75" customHeight="1">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row>
    <row r="750" spans="1:25" ht="15.75" customHeight="1">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row>
    <row r="751" spans="1:25" ht="15.75" customHeight="1">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row>
    <row r="752" spans="1:25" ht="15.75" customHeight="1">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row>
    <row r="753" spans="1:25" ht="15.75" customHeight="1">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row>
    <row r="754" spans="1:25" ht="15.75" customHeight="1">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row>
    <row r="755" spans="1:25" ht="15.75" customHeight="1">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row>
    <row r="756" spans="1:25" ht="15.75" customHeight="1">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row>
    <row r="757" spans="1:25" ht="15.75" customHeight="1">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row>
    <row r="758" spans="1:25" ht="15.75" customHeight="1">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row>
    <row r="759" spans="1:25" ht="15.75" customHeight="1">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row>
    <row r="760" spans="1:25" ht="15.75" customHeight="1">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row>
    <row r="761" spans="1:25" ht="15.75" customHeight="1">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row>
    <row r="762" spans="1:25" ht="15.75" customHeight="1">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row>
    <row r="763" spans="1:25" ht="15.75" customHeight="1">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row>
    <row r="764" spans="1:25" ht="15.75" customHeight="1">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row>
    <row r="765" spans="1:25" ht="15.75" customHeight="1">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row>
    <row r="766" spans="1:25" ht="15.75" customHeight="1">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row>
    <row r="767" spans="1:25" ht="15.75" customHeight="1">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row>
    <row r="768" spans="1:25" ht="15.75" customHeight="1">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row>
    <row r="769" spans="1:25" ht="15.75" customHeight="1">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row>
    <row r="770" spans="1:25" ht="15.75" customHeight="1">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row>
    <row r="771" spans="1:25" ht="15.75" customHeight="1">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row>
    <row r="772" spans="1:25" ht="15.75" customHeight="1">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row>
    <row r="773" spans="1:25" ht="15.75" customHeight="1">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row>
    <row r="774" spans="1:25" ht="15.75" customHeight="1">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row>
    <row r="775" spans="1:25" ht="15.75" customHeight="1">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row>
    <row r="776" spans="1:25" ht="15.75" customHeight="1">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row>
    <row r="777" spans="1:25" ht="15.75" customHeight="1">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row>
    <row r="778" spans="1:25" ht="15.75" customHeight="1">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row>
    <row r="779" spans="1:25" ht="15.75" customHeight="1">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row>
    <row r="780" spans="1:25" ht="15.75" customHeight="1">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row>
    <row r="781" spans="1:25" ht="15.75" customHeight="1">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row>
    <row r="782" spans="1:25" ht="15.75" customHeight="1">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row>
    <row r="783" spans="1:25" ht="15.75" customHeight="1">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row>
    <row r="784" spans="1:25" ht="15.75" customHeight="1">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row>
    <row r="785" spans="1:25" ht="15.75" customHeight="1">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row>
    <row r="786" spans="1:25" ht="15.75" customHeight="1">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row>
    <row r="787" spans="1:25" ht="15.75" customHeight="1">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row>
    <row r="788" spans="1:25" ht="15.75" customHeight="1">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row>
    <row r="789" spans="1:25" ht="15.75" customHeight="1">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row>
    <row r="790" spans="1:25" ht="15.75" customHeight="1">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row>
    <row r="791" spans="1:25" ht="15.75" customHeight="1">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row>
    <row r="792" spans="1:25" ht="15.75" customHeight="1">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row>
    <row r="793" spans="1:25" ht="15.75" customHeight="1">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row>
    <row r="794" spans="1:25" ht="15.75" customHeight="1">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row>
    <row r="795" spans="1:25" ht="15.75" customHeight="1">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row>
    <row r="796" spans="1:25" ht="15.75" customHeight="1">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row>
    <row r="797" spans="1:25" ht="15.75" customHeight="1">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row>
    <row r="798" spans="1:25" ht="15.75" customHeight="1">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row>
    <row r="799" spans="1:25" ht="15.75" customHeight="1">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row>
    <row r="800" spans="1:25" ht="15.75" customHeight="1">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row>
    <row r="801" spans="1:25" ht="15.75" customHeight="1">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row>
    <row r="802" spans="1:25" ht="15.75" customHeight="1">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row>
    <row r="803" spans="1:25" ht="15.75" customHeight="1">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row>
    <row r="804" spans="1:25" ht="15.75" customHeight="1">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row>
    <row r="805" spans="1:25" ht="15.75" customHeight="1">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row>
    <row r="806" spans="1:25" ht="15.75" customHeight="1">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row>
    <row r="807" spans="1:25" ht="15.75" customHeight="1">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row>
    <row r="808" spans="1:25" ht="15.75" customHeight="1">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row>
    <row r="809" spans="1:25" ht="15.75" customHeight="1">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row>
    <row r="810" spans="1:25" ht="15.75" customHeight="1">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row>
    <row r="811" spans="1:25" ht="15.75" customHeight="1">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row>
    <row r="812" spans="1:25" ht="15.75" customHeight="1">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row>
    <row r="813" spans="1:25" ht="15.75" customHeight="1">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row>
    <row r="814" spans="1:25" ht="15.75" customHeight="1">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row>
    <row r="815" spans="1:25" ht="15.75" customHeight="1">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row>
    <row r="816" spans="1:25" ht="15.75" customHeight="1">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row>
    <row r="817" spans="1:25" ht="15.75" customHeight="1">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row>
    <row r="818" spans="1:25" ht="15.75" customHeight="1">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row>
    <row r="819" spans="1:25" ht="15.75" customHeight="1">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row>
    <row r="820" spans="1:25" ht="15.75" customHeight="1">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row>
    <row r="821" spans="1:25" ht="15.75" customHeight="1">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row>
    <row r="822" spans="1:25" ht="15.75" customHeight="1">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row>
    <row r="823" spans="1:25" ht="15.75" customHeight="1">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row>
    <row r="824" spans="1:25" ht="15.75" customHeight="1">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row>
    <row r="825" spans="1:25" ht="15.75" customHeight="1">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row>
    <row r="826" spans="1:25" ht="15.75" customHeight="1">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row>
    <row r="827" spans="1:25" ht="15.75" customHeight="1">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row>
    <row r="828" spans="1:25" ht="15.75" customHeight="1">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row>
    <row r="829" spans="1:25" ht="15.75" customHeight="1">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row>
    <row r="830" spans="1:25" ht="15.75" customHeight="1">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row>
    <row r="831" spans="1:25" ht="15.75" customHeight="1">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row>
    <row r="832" spans="1:25" ht="15.75" customHeight="1">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row>
    <row r="833" spans="1:25" ht="15.75" customHeight="1">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row>
    <row r="834" spans="1:25" ht="15.75" customHeight="1">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row>
    <row r="835" spans="1:25" ht="15.75" customHeight="1">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row>
    <row r="836" spans="1:25" ht="15.75" customHeight="1">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row>
    <row r="837" spans="1:25" ht="15.75" customHeight="1">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row>
    <row r="838" spans="1:25" ht="15.75" customHeight="1">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row>
    <row r="839" spans="1:25" ht="15.75" customHeight="1">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row>
    <row r="840" spans="1:25" ht="15.75" customHeight="1">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row>
    <row r="841" spans="1:25" ht="15.75" customHeight="1">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row>
    <row r="842" spans="1:25" ht="15.75" customHeight="1">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row>
    <row r="843" spans="1:25" ht="15.75" customHeight="1">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row>
    <row r="844" spans="1:25" ht="15.75" customHeight="1">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row>
    <row r="845" spans="1:25" ht="15.75" customHeight="1">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row>
    <row r="846" spans="1:25" ht="15.75" customHeight="1">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row>
    <row r="847" spans="1:25" ht="15.75" customHeight="1">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row>
    <row r="848" spans="1:25" ht="15.75" customHeight="1">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row>
    <row r="849" spans="1:25" ht="15.75" customHeight="1">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row>
    <row r="850" spans="1:25" ht="15.75" customHeight="1">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row>
    <row r="851" spans="1:25" ht="15.75" customHeight="1">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row>
    <row r="852" spans="1:25" ht="15.75" customHeight="1">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row>
    <row r="853" spans="1:25" ht="15.75" customHeight="1">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row>
    <row r="854" spans="1:25" ht="15.75" customHeight="1">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row>
    <row r="855" spans="1:25" ht="15.75" customHeight="1">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row>
    <row r="856" spans="1:25" ht="15.75" customHeight="1">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row>
    <row r="857" spans="1:25" ht="15.75" customHeight="1">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row>
    <row r="858" spans="1:25" ht="15.75" customHeight="1">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row>
    <row r="859" spans="1:25" ht="15.75" customHeight="1">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row>
    <row r="860" spans="1:25" ht="15.75" customHeight="1">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row>
    <row r="861" spans="1:25" ht="15.75" customHeight="1">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row>
    <row r="862" spans="1:25" ht="15.75" customHeight="1">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row>
    <row r="863" spans="1:25" ht="15.75" customHeight="1">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row>
    <row r="864" spans="1:25" ht="15.75" customHeight="1">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row>
    <row r="865" spans="1:25" ht="15.75" customHeight="1">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row>
    <row r="866" spans="1:25" ht="15.75" customHeight="1">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row>
    <row r="867" spans="1:25" ht="15.75" customHeight="1">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row>
    <row r="868" spans="1:25" ht="15.75" customHeight="1">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row>
    <row r="869" spans="1:25" ht="15.75" customHeight="1">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row>
    <row r="870" spans="1:25" ht="15.75" customHeight="1">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row>
    <row r="871" spans="1:25" ht="15.75" customHeight="1">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row>
    <row r="872" spans="1:25" ht="15.75" customHeight="1">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row>
    <row r="873" spans="1:25" ht="15.75" customHeight="1">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row>
    <row r="874" spans="1:25" ht="15.75" customHeight="1">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row>
    <row r="875" spans="1:25" ht="15.75" customHeight="1">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row>
    <row r="876" spans="1:25" ht="15.75" customHeight="1">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row>
    <row r="877" spans="1:25" ht="15.75" customHeight="1">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row>
    <row r="878" spans="1:25" ht="15.75" customHeight="1">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row>
    <row r="879" spans="1:25" ht="15.75" customHeight="1">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row>
    <row r="880" spans="1:25" ht="15.75" customHeight="1">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row>
    <row r="881" spans="1:25" ht="15.75" customHeight="1">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row>
    <row r="882" spans="1:25" ht="15.75" customHeight="1">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row>
    <row r="883" spans="1:25" ht="15.75" customHeight="1">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row>
    <row r="884" spans="1:25" ht="15.75" customHeight="1">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row>
    <row r="885" spans="1:25" ht="15.75" customHeight="1">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row>
    <row r="886" spans="1:25" ht="15.75" customHeight="1">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row>
    <row r="887" spans="1:25" ht="15.75" customHeight="1">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row>
    <row r="888" spans="1:25" ht="15.75" customHeight="1">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row>
    <row r="889" spans="1:25" ht="15.75" customHeight="1">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row>
    <row r="890" spans="1:25" ht="15.75" customHeight="1">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row>
    <row r="891" spans="1:25" ht="15.75" customHeight="1">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row>
    <row r="892" spans="1:25" ht="15.75" customHeight="1">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row>
    <row r="893" spans="1:25" ht="15.75" customHeight="1">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row>
    <row r="894" spans="1:25" ht="15.75" customHeight="1">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row>
    <row r="895" spans="1:25" ht="15.75" customHeight="1">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row>
    <row r="896" spans="1:25" ht="15.75" customHeight="1">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row>
    <row r="897" spans="1:25" ht="15.75" customHeight="1">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row>
    <row r="898" spans="1:25" ht="15.75" customHeight="1">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row>
    <row r="899" spans="1:25" ht="15.75" customHeight="1">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row>
    <row r="900" spans="1:25" ht="15.75" customHeight="1">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row>
    <row r="901" spans="1:25" ht="15.75" customHeight="1">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row>
    <row r="902" spans="1:25" ht="15.75" customHeight="1">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row>
    <row r="903" spans="1:25" ht="15.75" customHeight="1">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row>
    <row r="904" spans="1:25" ht="15.75" customHeight="1">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row>
    <row r="905" spans="1:25" ht="15.75" customHeight="1">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row>
    <row r="906" spans="1:25" ht="15.75" customHeight="1">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row>
    <row r="907" spans="1:25" ht="15.75" customHeight="1">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row>
    <row r="908" spans="1:25" ht="15.75" customHeight="1">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row>
    <row r="909" spans="1:25" ht="15.75" customHeight="1">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row>
    <row r="910" spans="1:25" ht="15.75" customHeight="1">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row>
    <row r="911" spans="1:25" ht="15.75" customHeight="1">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row>
    <row r="912" spans="1:25" ht="15.75" customHeight="1">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row>
    <row r="913" spans="1:25" ht="15.75" customHeight="1">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row>
    <row r="914" spans="1:25" ht="15.75" customHeight="1">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row>
    <row r="915" spans="1:25" ht="15.75" customHeight="1">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row>
    <row r="916" spans="1:25" ht="15.75" customHeight="1">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row>
    <row r="917" spans="1:25" ht="15.75" customHeight="1">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row>
    <row r="918" spans="1:25" ht="15.75" customHeight="1">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row>
    <row r="919" spans="1:25" ht="15.75" customHeight="1">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row>
    <row r="920" spans="1:25" ht="15.75" customHeight="1">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row>
    <row r="921" spans="1:25" ht="15.75" customHeight="1">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row>
    <row r="922" spans="1:25" ht="15.75" customHeight="1">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row>
    <row r="923" spans="1:25" ht="15.75" customHeight="1">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row>
    <row r="924" spans="1:25" ht="15.75" customHeight="1">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row>
    <row r="925" spans="1:25" ht="15.75" customHeight="1">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row>
    <row r="926" spans="1:25" ht="15.75" customHeight="1">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row>
    <row r="927" spans="1:25" ht="15.75" customHeight="1">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row>
    <row r="928" spans="1:25" ht="15.75" customHeight="1">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row>
    <row r="929" spans="1:25" ht="15.75" customHeight="1">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row>
    <row r="930" spans="1:25" ht="15.75" customHeight="1">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row>
    <row r="931" spans="1:25" ht="15.75" customHeight="1">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row>
    <row r="932" spans="1:25" ht="15.75" customHeight="1">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row>
    <row r="933" spans="1:25" ht="15.75" customHeight="1">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row>
    <row r="934" spans="1:25" ht="15.75" customHeight="1">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row>
    <row r="935" spans="1:25" ht="15.75" customHeight="1">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row>
    <row r="936" spans="1:25" ht="15.75" customHeight="1">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row>
    <row r="937" spans="1:25" ht="15.75" customHeight="1">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row>
    <row r="938" spans="1:25" ht="15.75" customHeight="1">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row>
    <row r="939" spans="1:25" ht="15.75" customHeight="1">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row>
    <row r="940" spans="1:25" ht="15.75" customHeight="1">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row>
    <row r="941" spans="1:25" ht="15.75" customHeight="1">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row>
    <row r="942" spans="1:25" ht="15.75" customHeight="1">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row>
    <row r="943" spans="1:25" ht="15.75" customHeight="1">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row>
    <row r="944" spans="1:25" ht="15.75" customHeight="1">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row>
    <row r="945" spans="1:25" ht="15.75" customHeight="1">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row>
    <row r="946" spans="1:25" ht="15.75" customHeight="1">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row>
    <row r="947" spans="1:25" ht="15.75" customHeight="1">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row>
    <row r="948" spans="1:25" ht="15.75" customHeight="1">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row>
    <row r="949" spans="1:25" ht="15.75" customHeight="1">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row>
    <row r="950" spans="1:25" ht="15.75" customHeight="1">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row>
    <row r="951" spans="1:25" ht="15.75" customHeight="1">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row>
    <row r="952" spans="1:25" ht="15.75" customHeight="1">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row>
    <row r="953" spans="1:25" ht="15.75" customHeight="1">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row>
    <row r="954" spans="1:25" ht="15.75" customHeight="1">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row>
    <row r="955" spans="1:25" ht="15.75" customHeight="1">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row>
    <row r="956" spans="1:25" ht="15.75" customHeight="1">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row>
    <row r="957" spans="1:25" ht="15.75" customHeight="1">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row>
    <row r="958" spans="1:25" ht="15.75" customHeight="1">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row>
    <row r="959" spans="1:25" ht="15.75" customHeight="1">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row>
    <row r="960" spans="1:25" ht="15.75" customHeight="1">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row>
    <row r="961" spans="1:25" ht="15.75" customHeight="1">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row>
    <row r="962" spans="1:25" ht="15.75" customHeight="1">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row>
    <row r="963" spans="1:25" ht="15.75" customHeight="1">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row>
    <row r="964" spans="1:25" ht="15.75" customHeight="1">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row>
    <row r="965" spans="1:25" ht="15.75" customHeight="1">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row>
    <row r="966" spans="1:25" ht="15.75" customHeight="1">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row>
    <row r="967" spans="1:25" ht="15.75" customHeight="1">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row>
    <row r="968" spans="1:25" ht="15.75" customHeight="1">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row>
    <row r="969" spans="1:25" ht="15.75" customHeight="1">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row>
    <row r="970" spans="1:25" ht="15.75" customHeight="1">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row>
    <row r="971" spans="1:25" ht="15.75" customHeight="1">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row>
    <row r="972" spans="1:25" ht="15.75" customHeight="1">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row>
    <row r="973" spans="1:25" ht="15.75" customHeight="1">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row>
    <row r="974" spans="1:25" ht="15.75" customHeight="1">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row>
    <row r="975" spans="1:25" ht="15.75" customHeight="1">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row>
    <row r="976" spans="1:25" ht="15.75" customHeight="1">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row>
    <row r="977" spans="1:25" ht="15.75" customHeight="1">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row>
    <row r="978" spans="1:25" ht="15.75" customHeight="1">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row>
    <row r="979" spans="1:25" ht="15.75" customHeight="1">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row>
    <row r="980" spans="1:25" ht="15.75" customHeight="1">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row>
    <row r="981" spans="1:25" ht="15.75" customHeight="1">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row>
    <row r="982" spans="1:25" ht="15.75" customHeight="1">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row>
    <row r="983" spans="1:25" ht="15.75" customHeight="1">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row>
    <row r="984" spans="1:25" ht="15.75" customHeight="1">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row>
    <row r="985" spans="1:25" ht="15.75" customHeight="1">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row>
    <row r="986" spans="1:25" ht="15.75" customHeight="1">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row>
    <row r="987" spans="1:25" ht="15.75" customHeight="1">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row>
    <row r="988" spans="1:25" ht="15.75" customHeight="1">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row>
    <row r="989" spans="1:25" ht="15.75" customHeight="1">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row>
    <row r="990" spans="1:25" ht="15.75" customHeight="1">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row>
    <row r="991" spans="1:25" ht="15.75" customHeight="1">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row>
    <row r="992" spans="1:25" ht="15.75" customHeight="1">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row>
    <row r="993" spans="1:25" ht="15.75" customHeight="1">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row>
    <row r="994" spans="1:25" ht="15.75" customHeight="1">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row>
    <row r="995" spans="1:25" ht="15.75" customHeight="1">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row>
    <row r="996" spans="1:25" ht="15.75" customHeight="1">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row>
    <row r="997" spans="1:25" ht="15.75" customHeight="1">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row>
    <row r="998" spans="1:25" ht="15.75" customHeight="1">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row>
    <row r="999" spans="1:25" ht="15.75" customHeight="1">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row>
    <row r="1000" spans="1:25" ht="15.75" customHeight="1">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row>
    <row r="1001" spans="1:25" ht="15.75" customHeight="1">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row>
    <row r="1002" spans="1:25" ht="15.75" customHeight="1">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row>
    <row r="1003" spans="1:25" ht="15.75" customHeight="1">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row>
    <row r="1004" spans="1:25" ht="15.75" customHeight="1">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row>
    <row r="1005" spans="1:25" ht="15.75" customHeight="1">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row>
    <row r="1006" spans="1:25" ht="15.75" customHeight="1">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row>
    <row r="1007" spans="1:25" ht="15.75" customHeight="1">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row>
    <row r="1008" spans="1:25" ht="15.75" customHeight="1">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row>
    <row r="1009" spans="1:25" ht="15.75" customHeight="1">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row>
    <row r="1010" spans="1:25" ht="15.75" customHeight="1">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row>
    <row r="1011" spans="1:25" ht="15.75" customHeight="1">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row>
    <row r="1012" spans="1:25" ht="15.75" customHeight="1">
      <c r="A1012" s="150"/>
      <c r="B1012" s="150"/>
      <c r="C1012" s="150"/>
      <c r="D1012" s="150"/>
      <c r="E1012" s="150"/>
      <c r="F1012" s="150"/>
      <c r="G1012" s="150"/>
      <c r="H1012" s="150"/>
      <c r="I1012" s="150"/>
      <c r="J1012" s="150"/>
      <c r="K1012" s="150"/>
      <c r="L1012" s="150"/>
      <c r="M1012" s="150"/>
      <c r="N1012" s="150"/>
      <c r="O1012" s="150"/>
      <c r="P1012" s="150"/>
      <c r="Q1012" s="150"/>
      <c r="R1012" s="150"/>
      <c r="S1012" s="150"/>
      <c r="T1012" s="150"/>
      <c r="U1012" s="150"/>
      <c r="V1012" s="150"/>
      <c r="W1012" s="150"/>
      <c r="X1012" s="150"/>
      <c r="Y1012" s="150"/>
    </row>
  </sheetData>
  <mergeCells count="20">
    <mergeCell ref="P55:U55"/>
    <mergeCell ref="A3:J3"/>
    <mergeCell ref="A1:L1"/>
    <mergeCell ref="H8:L8"/>
    <mergeCell ref="B8:F8"/>
    <mergeCell ref="A30:L30"/>
    <mergeCell ref="A27:L27"/>
    <mergeCell ref="A21:L21"/>
    <mergeCell ref="A16:L16"/>
    <mergeCell ref="A10:L10"/>
    <mergeCell ref="B59:H61"/>
    <mergeCell ref="A59:A61"/>
    <mergeCell ref="A41:L41"/>
    <mergeCell ref="A37:L37"/>
    <mergeCell ref="A33:L33"/>
    <mergeCell ref="A51:H51"/>
    <mergeCell ref="A52:A54"/>
    <mergeCell ref="B52:H54"/>
    <mergeCell ref="A55:A56"/>
    <mergeCell ref="B55:H56"/>
  </mergeCells>
  <phoneticPr fontId="40" type="noConversion"/>
  <hyperlinks>
    <hyperlink ref="I4" r:id="rId1" xr:uid="{344679AA-5C85-4947-934D-464BA7434141}"/>
    <hyperlink ref="I6" r:id="rId2" xr:uid="{D86514AA-C8D5-984B-9260-680AC706867E}"/>
    <hyperlink ref="I5" r:id="rId3" xr:uid="{DDF4A576-962B-1F48-A06C-9E041DB92673}"/>
  </hyperlinks>
  <pageMargins left="0.7" right="0.7" top="0.75" bottom="0.75" header="0" footer="0"/>
  <pageSetup orientation="landscape"/>
  <drawing r:id="rId4"/>
  <legacy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E377-9778-BB4F-A073-99C46F8057CD}">
  <sheetPr>
    <tabColor theme="5" tint="-0.499984740745262"/>
  </sheetPr>
  <dimension ref="A1:H20"/>
  <sheetViews>
    <sheetView workbookViewId="0">
      <selection activeCell="A2" sqref="A2"/>
    </sheetView>
  </sheetViews>
  <sheetFormatPr baseColWidth="10" defaultColWidth="10.83203125" defaultRowHeight="16"/>
  <cols>
    <col min="1" max="1" width="29.5" style="35" bestFit="1" customWidth="1"/>
    <col min="2" max="6" width="23.33203125" style="35" customWidth="1"/>
    <col min="7" max="16384" width="10.83203125" style="35"/>
  </cols>
  <sheetData>
    <row r="1" spans="1:8" s="2" customFormat="1" ht="25">
      <c r="A1" s="661" t="s">
        <v>668</v>
      </c>
      <c r="B1" s="661"/>
      <c r="C1" s="661"/>
      <c r="D1" s="661"/>
      <c r="E1" s="661"/>
      <c r="F1" s="661"/>
    </row>
    <row r="2" spans="1:8" s="2" customFormat="1" ht="17">
      <c r="A2" s="1"/>
      <c r="B2" s="17"/>
      <c r="C2" s="18"/>
      <c r="D2" s="19"/>
      <c r="E2" s="17"/>
      <c r="F2" s="18"/>
    </row>
    <row r="3" spans="1:8" s="2" customFormat="1" ht="17">
      <c r="A3" s="662" t="s">
        <v>95</v>
      </c>
      <c r="B3" s="662"/>
      <c r="C3" s="662"/>
      <c r="D3" s="662"/>
      <c r="E3" s="662"/>
      <c r="F3" s="662"/>
    </row>
    <row r="4" spans="1:8" s="2" customFormat="1" ht="17">
      <c r="A4" s="20" t="s">
        <v>86</v>
      </c>
      <c r="B4" s="21" t="s">
        <v>87</v>
      </c>
      <c r="C4" s="7"/>
      <c r="D4" s="20" t="s">
        <v>102</v>
      </c>
      <c r="E4" s="23" t="s">
        <v>91</v>
      </c>
      <c r="F4" s="7"/>
    </row>
    <row r="5" spans="1:8" s="2" customFormat="1" ht="17">
      <c r="A5" s="20" t="s">
        <v>88</v>
      </c>
      <c r="B5" s="21" t="s">
        <v>85</v>
      </c>
      <c r="C5" s="7"/>
      <c r="D5" s="50" t="s">
        <v>129</v>
      </c>
      <c r="E5" s="23" t="s">
        <v>90</v>
      </c>
      <c r="F5" s="23"/>
      <c r="H5" s="24"/>
    </row>
    <row r="6" spans="1:8" s="2" customFormat="1" ht="17">
      <c r="A6" s="20" t="s">
        <v>89</v>
      </c>
      <c r="B6" s="21" t="s">
        <v>693</v>
      </c>
      <c r="C6" s="7"/>
      <c r="D6" s="22"/>
      <c r="E6" s="23" t="s">
        <v>92</v>
      </c>
      <c r="F6" s="23"/>
      <c r="G6" s="24"/>
      <c r="H6" s="24"/>
    </row>
    <row r="10" spans="1:8">
      <c r="A10" s="706" t="s">
        <v>691</v>
      </c>
      <c r="B10" s="706"/>
      <c r="C10" s="706"/>
      <c r="D10" s="706"/>
      <c r="E10" s="706"/>
      <c r="F10" s="706"/>
    </row>
    <row r="11" spans="1:8">
      <c r="A11" s="11"/>
      <c r="B11" s="198" t="s">
        <v>672</v>
      </c>
      <c r="C11" s="198" t="s">
        <v>673</v>
      </c>
      <c r="D11" s="198" t="s">
        <v>690</v>
      </c>
      <c r="E11" s="198" t="s">
        <v>674</v>
      </c>
      <c r="F11" s="11"/>
    </row>
    <row r="12" spans="1:8">
      <c r="A12" s="84" t="s">
        <v>669</v>
      </c>
      <c r="B12" s="447">
        <f>'FULL Proforma_Revised &amp; DCF'!B142</f>
        <v>144.02919309308641</v>
      </c>
      <c r="C12" s="447">
        <f>'FULL Proforma_Revised &amp; DCF'!B143</f>
        <v>206.75354394648406</v>
      </c>
      <c r="D12" s="447">
        <f ca="1">'FULL Proforma_Revised &amp; DCF'!B141</f>
        <v>174.18689004199973</v>
      </c>
      <c r="E12" s="421">
        <v>0.42499999999999999</v>
      </c>
      <c r="F12" s="11"/>
    </row>
    <row r="13" spans="1:8">
      <c r="A13" s="84" t="s">
        <v>670</v>
      </c>
      <c r="B13" s="447">
        <f>'Simple Proforma DCF Approach'!C31</f>
        <v>230.65101034806432</v>
      </c>
      <c r="C13" s="447">
        <f>'Simple Proforma DCF Approach'!C32</f>
        <v>321.32429991956087</v>
      </c>
      <c r="D13" s="447">
        <f ca="1">'Simple Proforma DCF Approach'!C30</f>
        <v>274.24647981850893</v>
      </c>
      <c r="E13" s="421">
        <f>1-E12-E14</f>
        <v>0.14999999999999997</v>
      </c>
      <c r="F13" s="11"/>
    </row>
    <row r="14" spans="1:8">
      <c r="A14" s="84" t="s">
        <v>671</v>
      </c>
      <c r="B14" s="447">
        <f>'Multiples Valuation'!B66</f>
        <v>147.96419469365972</v>
      </c>
      <c r="C14" s="447">
        <f>'Multiples Valuation'!B68</f>
        <v>173.44233351236173</v>
      </c>
      <c r="D14" s="447">
        <f>'Multiples Valuation'!B64</f>
        <v>158.86547849097127</v>
      </c>
      <c r="E14" s="421">
        <v>0.42499999999999999</v>
      </c>
      <c r="F14" s="11"/>
    </row>
    <row r="15" spans="1:8" ht="17" thickBot="1">
      <c r="A15" s="84" t="s">
        <v>692</v>
      </c>
      <c r="B15" s="11"/>
      <c r="C15" s="11"/>
      <c r="D15" s="11"/>
      <c r="E15" s="421">
        <f>SUM(E12:E14)</f>
        <v>1</v>
      </c>
      <c r="F15" s="11"/>
    </row>
    <row r="16" spans="1:8">
      <c r="A16" s="543" t="s">
        <v>1311</v>
      </c>
      <c r="B16" s="544">
        <v>148.91</v>
      </c>
      <c r="C16" s="544"/>
      <c r="D16" s="545"/>
      <c r="E16" s="11"/>
      <c r="F16" s="11"/>
    </row>
    <row r="17" spans="1:6">
      <c r="A17" s="140" t="s">
        <v>1312</v>
      </c>
      <c r="B17" s="546">
        <f>(B18-$B$16)/$B$16</f>
        <v>6.5709766715309412E-2</v>
      </c>
      <c r="C17" s="546">
        <f t="shared" ref="C17:D17" si="0">(C18-$B$16)/$B$16</f>
        <v>0.4087831099855187</v>
      </c>
      <c r="D17" s="547">
        <f t="shared" ca="1" si="0"/>
        <v>0.22680967429513793</v>
      </c>
      <c r="E17" s="11"/>
      <c r="F17" s="11"/>
    </row>
    <row r="18" spans="1:6" ht="17" thickBot="1">
      <c r="A18" s="548" t="s">
        <v>675</v>
      </c>
      <c r="B18" s="549">
        <f>SUMPRODUCT(B12:B14,E12:E14)</f>
        <v>158.69484136157672</v>
      </c>
      <c r="C18" s="549">
        <f>SUMPRODUCT(C12:C14,E12:E14)</f>
        <v>209.78189290794359</v>
      </c>
      <c r="D18" s="550">
        <f ca="1">SUMPRODUCT(D12:D14,E12:E14)</f>
        <v>182.68422859928899</v>
      </c>
      <c r="E18" s="84"/>
      <c r="F18" s="11"/>
    </row>
    <row r="19" spans="1:6">
      <c r="A19" s="3"/>
      <c r="B19" s="3"/>
      <c r="C19" s="3"/>
      <c r="D19" s="3"/>
      <c r="E19" s="3"/>
      <c r="F19" s="3"/>
    </row>
    <row r="20" spans="1:6">
      <c r="A20" s="3"/>
      <c r="B20" s="3"/>
      <c r="C20" s="3"/>
      <c r="D20" s="3"/>
      <c r="E20" s="3"/>
      <c r="F20" s="3"/>
    </row>
  </sheetData>
  <mergeCells count="3">
    <mergeCell ref="A1:F1"/>
    <mergeCell ref="A3:F3"/>
    <mergeCell ref="A10:F10"/>
  </mergeCells>
  <hyperlinks>
    <hyperlink ref="E4" r:id="rId1" xr:uid="{61FC7A6C-D630-5746-B957-73B862F566B9}"/>
    <hyperlink ref="E6" r:id="rId2" xr:uid="{8C408E8B-DFAC-4546-8F4E-5D8E47F51F48}"/>
    <hyperlink ref="E5" r:id="rId3" xr:uid="{248C52B0-5B71-B14B-A074-9C0C043349EE}"/>
  </hyperlinks>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2BE3B-99EE-9042-AF1B-36BDB2136100}">
  <sheetPr>
    <tabColor theme="5" tint="-0.499984740745262"/>
  </sheetPr>
  <dimension ref="A1:S54"/>
  <sheetViews>
    <sheetView zoomScale="64" workbookViewId="0">
      <selection activeCell="C18" sqref="C18"/>
    </sheetView>
  </sheetViews>
  <sheetFormatPr baseColWidth="10" defaultColWidth="10.83203125" defaultRowHeight="16"/>
  <cols>
    <col min="1" max="1" width="26.6640625" style="35" bestFit="1" customWidth="1"/>
    <col min="2" max="6" width="23.33203125" style="35" customWidth="1"/>
    <col min="7" max="11" width="10.83203125" style="35"/>
    <col min="12" max="12" width="21.1640625" style="35" customWidth="1"/>
    <col min="13" max="13" width="21.33203125" style="35" customWidth="1"/>
    <col min="14" max="14" width="21.33203125" style="631" customWidth="1"/>
    <col min="15" max="15" width="17.6640625" style="35" customWidth="1"/>
    <col min="16" max="16" width="17.6640625" style="631" customWidth="1"/>
    <col min="17" max="17" width="18.33203125" style="35" customWidth="1"/>
    <col min="18" max="21" width="10.83203125" style="35" customWidth="1"/>
    <col min="22" max="16384" width="10.83203125" style="35"/>
  </cols>
  <sheetData>
    <row r="1" spans="1:16" s="2" customFormat="1" ht="25">
      <c r="A1" s="661" t="s">
        <v>1302</v>
      </c>
      <c r="B1" s="661"/>
      <c r="C1" s="661"/>
      <c r="D1" s="661"/>
      <c r="E1" s="661"/>
      <c r="F1" s="661"/>
      <c r="N1" s="632"/>
      <c r="P1" s="632"/>
    </row>
    <row r="2" spans="1:16" s="2" customFormat="1" ht="17">
      <c r="A2" s="1"/>
      <c r="B2" s="17"/>
      <c r="C2" s="18"/>
      <c r="D2" s="19"/>
      <c r="E2" s="17"/>
      <c r="F2" s="18"/>
      <c r="N2" s="632"/>
      <c r="P2" s="632"/>
    </row>
    <row r="3" spans="1:16" s="2" customFormat="1" ht="17">
      <c r="A3" s="662" t="s">
        <v>95</v>
      </c>
      <c r="B3" s="662"/>
      <c r="C3" s="662"/>
      <c r="D3" s="662"/>
      <c r="E3" s="662"/>
      <c r="F3" s="662"/>
      <c r="N3" s="632"/>
      <c r="P3" s="632"/>
    </row>
    <row r="4" spans="1:16" s="2" customFormat="1" ht="17">
      <c r="A4" s="20" t="s">
        <v>86</v>
      </c>
      <c r="B4" s="21" t="s">
        <v>87</v>
      </c>
      <c r="C4" s="7"/>
      <c r="D4" s="20" t="s">
        <v>102</v>
      </c>
      <c r="E4" s="23" t="s">
        <v>91</v>
      </c>
      <c r="F4" s="7"/>
      <c r="N4" s="632"/>
      <c r="P4" s="632"/>
    </row>
    <row r="5" spans="1:16" s="2" customFormat="1" ht="17">
      <c r="A5" s="20" t="s">
        <v>88</v>
      </c>
      <c r="B5" s="21" t="s">
        <v>85</v>
      </c>
      <c r="C5" s="7"/>
      <c r="D5" s="50" t="s">
        <v>129</v>
      </c>
      <c r="E5" s="23" t="s">
        <v>90</v>
      </c>
      <c r="F5" s="23"/>
      <c r="H5" s="24"/>
      <c r="N5" s="632"/>
      <c r="P5" s="632"/>
    </row>
    <row r="6" spans="1:16" s="2" customFormat="1" ht="17">
      <c r="A6" s="20" t="s">
        <v>89</v>
      </c>
      <c r="B6" s="21" t="s">
        <v>693</v>
      </c>
      <c r="C6" s="7"/>
      <c r="D6" s="22"/>
      <c r="E6" s="23" t="s">
        <v>92</v>
      </c>
      <c r="F6" s="23"/>
      <c r="G6" s="24"/>
      <c r="H6" s="24"/>
      <c r="N6" s="632"/>
      <c r="P6" s="632"/>
    </row>
    <row r="7" spans="1:16" s="2" customFormat="1" ht="17">
      <c r="A7" s="20" t="s">
        <v>265</v>
      </c>
      <c r="B7" s="536" t="s">
        <v>1303</v>
      </c>
      <c r="C7" s="537" t="s">
        <v>1304</v>
      </c>
      <c r="D7" s="22"/>
      <c r="E7" s="23"/>
      <c r="F7" s="23"/>
      <c r="G7" s="24"/>
      <c r="H7" s="24"/>
      <c r="N7" s="632"/>
      <c r="P7" s="632"/>
    </row>
    <row r="11" spans="1:16">
      <c r="A11" s="706" t="s">
        <v>691</v>
      </c>
      <c r="B11" s="706"/>
      <c r="C11" s="706"/>
      <c r="D11" s="706"/>
      <c r="E11" s="706"/>
      <c r="F11" s="706"/>
    </row>
    <row r="12" spans="1:16">
      <c r="A12" s="11"/>
      <c r="B12" s="198" t="s">
        <v>672</v>
      </c>
      <c r="C12" s="198" t="s">
        <v>673</v>
      </c>
      <c r="D12" s="198" t="s">
        <v>690</v>
      </c>
      <c r="E12" s="198" t="s">
        <v>674</v>
      </c>
      <c r="F12" s="11"/>
    </row>
    <row r="13" spans="1:16">
      <c r="A13" s="84" t="s">
        <v>669</v>
      </c>
      <c r="B13" s="338">
        <f>'FULL Proforma_Revised &amp; DCF'!B142</f>
        <v>144.02919309308641</v>
      </c>
      <c r="C13" s="338">
        <f>'FULL Proforma_Revised &amp; DCF'!B143</f>
        <v>206.75354394648406</v>
      </c>
      <c r="D13" s="338">
        <f ca="1">'FULL Proforma_Revised &amp; DCF'!B141</f>
        <v>174.18689004199973</v>
      </c>
      <c r="E13" s="535">
        <v>0.42499999999999999</v>
      </c>
      <c r="F13" s="11"/>
    </row>
    <row r="14" spans="1:16">
      <c r="A14" s="84" t="s">
        <v>670</v>
      </c>
      <c r="B14" s="447">
        <f>'Simple Proforma DCF Approach'!C31</f>
        <v>230.65101034806432</v>
      </c>
      <c r="C14" s="447">
        <f>'Simple Proforma DCF Approach'!C32</f>
        <v>321.32429991956087</v>
      </c>
      <c r="D14" s="447">
        <f ca="1">'Simple Proforma DCF Approach'!C30</f>
        <v>274.24647981850893</v>
      </c>
      <c r="E14" s="421">
        <f>1-E13-E15</f>
        <v>0.14999999999999997</v>
      </c>
      <c r="F14" s="11"/>
    </row>
    <row r="15" spans="1:16">
      <c r="A15" s="84" t="s">
        <v>671</v>
      </c>
      <c r="B15" s="447">
        <f>'Multiples Valuation'!B66</f>
        <v>147.96419469365972</v>
      </c>
      <c r="C15" s="447">
        <f>'Multiples Valuation'!B68</f>
        <v>173.44233351236173</v>
      </c>
      <c r="D15" s="447">
        <f>'Multiples Valuation'!B64</f>
        <v>158.86547849097127</v>
      </c>
      <c r="E15" s="535">
        <v>0.42499999999999999</v>
      </c>
      <c r="F15" s="11"/>
    </row>
    <row r="16" spans="1:16">
      <c r="A16" s="84" t="s">
        <v>692</v>
      </c>
      <c r="B16" s="11"/>
      <c r="C16" s="11"/>
      <c r="D16" s="11"/>
      <c r="E16" s="421">
        <f>SUM(E13:E15)</f>
        <v>1</v>
      </c>
      <c r="F16" s="11"/>
    </row>
    <row r="17" spans="1:6">
      <c r="A17" s="11"/>
      <c r="B17" s="11"/>
      <c r="C17" s="11"/>
      <c r="D17" s="11"/>
      <c r="E17" s="11"/>
      <c r="F17" s="11"/>
    </row>
    <row r="18" spans="1:6" ht="17" thickBot="1">
      <c r="A18" s="448" t="s">
        <v>675</v>
      </c>
      <c r="B18" s="534">
        <f>SUMPRODUCT(B13:B15,E13:E15)</f>
        <v>158.69484136157672</v>
      </c>
      <c r="C18" s="534">
        <f>SUMPRODUCT(C13:C15,E13:E15)</f>
        <v>209.78189290794359</v>
      </c>
      <c r="D18" s="534">
        <f ca="1">SUMPRODUCT(D13:D15,E13:E15)</f>
        <v>182.68422859928899</v>
      </c>
      <c r="E18" s="84"/>
      <c r="F18" s="11"/>
    </row>
    <row r="19" spans="1:6" ht="17" thickTop="1">
      <c r="A19" s="3"/>
      <c r="B19" s="3"/>
      <c r="C19" s="3"/>
      <c r="D19" s="3"/>
      <c r="E19" s="3"/>
      <c r="F19" s="3"/>
    </row>
    <row r="20" spans="1:6">
      <c r="A20" s="3"/>
      <c r="B20" s="3"/>
      <c r="C20" s="3"/>
      <c r="D20" s="3"/>
      <c r="E20" s="3"/>
      <c r="F20" s="3"/>
    </row>
    <row r="33" spans="12:19">
      <c r="L33" s="3"/>
      <c r="M33" s="3"/>
      <c r="N33" s="633"/>
      <c r="O33" s="3"/>
      <c r="P33" s="633"/>
      <c r="Q33" s="3"/>
      <c r="R33" s="3"/>
      <c r="S33" s="3"/>
    </row>
    <row r="34" spans="12:19">
      <c r="L34" s="3"/>
      <c r="M34" s="3"/>
      <c r="N34" s="633"/>
      <c r="O34" s="3"/>
      <c r="P34" s="633"/>
      <c r="Q34" s="3"/>
      <c r="R34" s="3"/>
      <c r="S34" s="3"/>
    </row>
    <row r="35" spans="12:19">
      <c r="L35" s="707" t="s">
        <v>1360</v>
      </c>
      <c r="M35" s="707"/>
      <c r="N35" s="707"/>
      <c r="O35" s="707"/>
      <c r="P35" s="707"/>
      <c r="Q35" s="707"/>
      <c r="R35" s="707"/>
      <c r="S35" s="707"/>
    </row>
    <row r="36" spans="12:19">
      <c r="L36" s="3"/>
      <c r="M36" s="3"/>
      <c r="N36" s="633"/>
      <c r="O36" s="3"/>
      <c r="P36" s="633"/>
      <c r="Q36" s="3"/>
      <c r="R36" s="3"/>
      <c r="S36" s="3"/>
    </row>
    <row r="37" spans="12:19">
      <c r="L37" s="3"/>
      <c r="M37" s="3"/>
      <c r="N37" s="633"/>
      <c r="O37" s="3"/>
      <c r="P37" s="633"/>
      <c r="Q37" s="3"/>
      <c r="R37" s="3"/>
      <c r="S37" s="3"/>
    </row>
    <row r="38" spans="12:19">
      <c r="L38" s="11"/>
      <c r="M38" s="11" t="s">
        <v>1352</v>
      </c>
      <c r="N38" s="447" t="s">
        <v>1355</v>
      </c>
      <c r="O38" s="11" t="s">
        <v>1353</v>
      </c>
      <c r="P38" s="447" t="s">
        <v>1356</v>
      </c>
      <c r="Q38" s="634" t="s">
        <v>1354</v>
      </c>
      <c r="R38" s="11" t="s">
        <v>1357</v>
      </c>
      <c r="S38" s="11"/>
    </row>
    <row r="39" spans="12:19">
      <c r="L39" s="11" t="s">
        <v>1351</v>
      </c>
      <c r="M39" s="81">
        <v>-0.41399999999999998</v>
      </c>
      <c r="N39" s="447">
        <v>-0.64</v>
      </c>
      <c r="O39" s="81">
        <v>-0.55900000000000005</v>
      </c>
      <c r="P39" s="447">
        <v>-0.74</v>
      </c>
      <c r="Q39" s="11">
        <v>0</v>
      </c>
      <c r="R39" s="11">
        <v>0</v>
      </c>
      <c r="S39" s="11"/>
    </row>
    <row r="40" spans="12:19">
      <c r="L40" s="11" t="s">
        <v>673</v>
      </c>
      <c r="M40" s="81">
        <v>-0.36</v>
      </c>
      <c r="N40" s="447">
        <v>-0.6</v>
      </c>
      <c r="O40" s="80">
        <v>-0.60799999999999998</v>
      </c>
      <c r="P40" s="447">
        <v>-0.78</v>
      </c>
      <c r="Q40" s="11">
        <v>0</v>
      </c>
      <c r="R40" s="11">
        <v>0</v>
      </c>
      <c r="S40" s="11"/>
    </row>
    <row r="41" spans="12:19">
      <c r="L41" s="11" t="s">
        <v>672</v>
      </c>
      <c r="M41" s="80">
        <v>-0.52500000000000002</v>
      </c>
      <c r="N41" s="447">
        <v>-0.71</v>
      </c>
      <c r="O41" s="80">
        <v>-0.44800000000000001</v>
      </c>
      <c r="P41" s="447">
        <v>-0.66</v>
      </c>
      <c r="Q41" s="11">
        <v>0</v>
      </c>
      <c r="R41" s="11">
        <v>0</v>
      </c>
      <c r="S41" s="11"/>
    </row>
    <row r="42" spans="12:19">
      <c r="L42" s="11"/>
      <c r="M42" s="11"/>
      <c r="N42" s="447"/>
      <c r="O42" s="11"/>
      <c r="P42" s="447"/>
      <c r="Q42" s="11"/>
      <c r="R42" s="11"/>
      <c r="S42" s="11"/>
    </row>
    <row r="43" spans="12:19">
      <c r="L43" s="11"/>
      <c r="M43" s="11"/>
      <c r="N43" s="447"/>
      <c r="O43" s="11"/>
      <c r="P43" s="447"/>
      <c r="Q43" s="11"/>
      <c r="R43" s="11"/>
      <c r="S43" s="11"/>
    </row>
    <row r="44" spans="12:19">
      <c r="L44" s="11"/>
      <c r="M44" s="11"/>
      <c r="N44" s="447"/>
      <c r="O44" s="11"/>
      <c r="P44" s="447"/>
      <c r="Q44" s="11"/>
      <c r="R44" s="11"/>
      <c r="S44" s="11"/>
    </row>
    <row r="45" spans="12:19">
      <c r="L45" s="11"/>
      <c r="M45" s="11"/>
      <c r="N45" s="447"/>
      <c r="O45" s="11"/>
      <c r="P45" s="447"/>
      <c r="Q45" s="11"/>
      <c r="R45" s="11"/>
      <c r="S45" s="11"/>
    </row>
    <row r="46" spans="12:19">
      <c r="L46" s="11"/>
      <c r="M46" s="11" t="s">
        <v>1351</v>
      </c>
      <c r="N46" s="11" t="s">
        <v>673</v>
      </c>
      <c r="O46" s="11" t="s">
        <v>672</v>
      </c>
      <c r="P46" s="447"/>
      <c r="Q46" s="11"/>
      <c r="R46" s="11"/>
      <c r="S46" s="11"/>
    </row>
    <row r="47" spans="12:19">
      <c r="L47" s="11" t="s">
        <v>1359</v>
      </c>
      <c r="M47" s="81">
        <v>-0.41399999999999998</v>
      </c>
      <c r="N47" s="81">
        <v>-0.36</v>
      </c>
      <c r="O47" s="80">
        <v>-0.52500000000000002</v>
      </c>
      <c r="P47" s="447"/>
      <c r="Q47" s="11"/>
      <c r="R47" s="11"/>
      <c r="S47" s="11"/>
    </row>
    <row r="48" spans="12:19">
      <c r="L48" s="447" t="s">
        <v>1355</v>
      </c>
      <c r="M48" s="447">
        <v>-0.64</v>
      </c>
      <c r="N48" s="447">
        <v>-0.6</v>
      </c>
      <c r="O48" s="447">
        <v>-0.71</v>
      </c>
      <c r="P48" s="447"/>
      <c r="Q48" s="11"/>
      <c r="R48" s="11"/>
      <c r="S48" s="11"/>
    </row>
    <row r="49" spans="12:19">
      <c r="L49" s="11" t="s">
        <v>1353</v>
      </c>
      <c r="M49" s="81">
        <v>-0.55900000000000005</v>
      </c>
      <c r="N49" s="80">
        <v>-0.60799999999999998</v>
      </c>
      <c r="O49" s="80">
        <v>-0.44800000000000001</v>
      </c>
      <c r="P49" s="447"/>
      <c r="Q49" s="11"/>
      <c r="R49" s="11"/>
      <c r="S49" s="11"/>
    </row>
    <row r="50" spans="12:19">
      <c r="L50" s="447" t="s">
        <v>1358</v>
      </c>
      <c r="M50" s="447">
        <v>-0.74</v>
      </c>
      <c r="N50" s="447">
        <v>-0.78</v>
      </c>
      <c r="O50" s="447">
        <v>-0.66</v>
      </c>
      <c r="P50" s="447"/>
      <c r="Q50" s="11"/>
      <c r="R50" s="11"/>
      <c r="S50" s="11"/>
    </row>
    <row r="51" spans="12:19">
      <c r="L51" s="634" t="s">
        <v>1354</v>
      </c>
      <c r="M51" s="11">
        <v>0</v>
      </c>
      <c r="N51" s="11">
        <v>0</v>
      </c>
      <c r="O51" s="11">
        <v>0</v>
      </c>
      <c r="P51" s="447"/>
      <c r="Q51" s="11"/>
      <c r="R51" s="11"/>
      <c r="S51" s="11"/>
    </row>
    <row r="52" spans="12:19">
      <c r="L52" s="11" t="s">
        <v>1357</v>
      </c>
      <c r="M52" s="11">
        <v>0</v>
      </c>
      <c r="N52" s="11">
        <v>0</v>
      </c>
      <c r="O52" s="11">
        <v>0</v>
      </c>
      <c r="P52" s="447"/>
      <c r="Q52" s="11"/>
      <c r="R52" s="11"/>
      <c r="S52" s="11"/>
    </row>
    <row r="53" spans="12:19">
      <c r="L53" s="3"/>
      <c r="M53" s="3"/>
      <c r="N53" s="633"/>
      <c r="O53" s="3"/>
      <c r="P53" s="633"/>
      <c r="Q53" s="3"/>
      <c r="R53" s="3"/>
      <c r="S53" s="3"/>
    </row>
    <row r="54" spans="12:19">
      <c r="L54" s="3"/>
      <c r="M54" s="3"/>
      <c r="N54" s="633"/>
      <c r="O54" s="3"/>
      <c r="P54" s="633"/>
      <c r="Q54" s="3"/>
      <c r="R54" s="3"/>
      <c r="S54" s="3"/>
    </row>
  </sheetData>
  <mergeCells count="4">
    <mergeCell ref="A1:F1"/>
    <mergeCell ref="A3:F3"/>
    <mergeCell ref="A11:F11"/>
    <mergeCell ref="L35:S35"/>
  </mergeCells>
  <hyperlinks>
    <hyperlink ref="E4" r:id="rId1" xr:uid="{676EEBFC-FE7A-514C-AA29-EBBA4B5C6887}"/>
    <hyperlink ref="E6" r:id="rId2" xr:uid="{198206DE-81A7-B346-9601-3FCD6A1C610B}"/>
    <hyperlink ref="E5" r:id="rId3" xr:uid="{65D1FA6E-1AFE-CA41-9260-14202D633AC3}"/>
  </hyperlinks>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B45AB-F475-4D0A-A171-1AACF556779B}">
  <sheetPr>
    <tabColor theme="5" tint="-0.499984740745262"/>
  </sheetPr>
  <dimension ref="A1:J589"/>
  <sheetViews>
    <sheetView showGridLines="0" showRowColHeaders="0" workbookViewId="0">
      <selection activeCell="B52" sqref="B52:H54"/>
    </sheetView>
  </sheetViews>
  <sheetFormatPr baseColWidth="10" defaultColWidth="9" defaultRowHeight="13"/>
  <cols>
    <col min="1" max="2" width="1.6640625" style="453" customWidth="1"/>
    <col min="3" max="4" width="10.6640625" style="453" customWidth="1"/>
    <col min="5" max="5" width="16" style="453" customWidth="1"/>
    <col min="6" max="6" width="1.5" style="455" customWidth="1"/>
    <col min="7" max="7" width="4.6640625" style="453" customWidth="1"/>
    <col min="8" max="8" width="13.6640625" style="453" customWidth="1"/>
    <col min="9" max="9" width="9.6640625" style="453" customWidth="1"/>
    <col min="10" max="10" width="2.33203125" style="454" customWidth="1"/>
    <col min="11" max="11" width="70.6640625" style="453" customWidth="1"/>
    <col min="12" max="16384" width="9" style="453"/>
  </cols>
  <sheetData>
    <row r="1" spans="2:6">
      <c r="E1" s="471"/>
      <c r="F1" s="456" t="s">
        <v>1003</v>
      </c>
    </row>
    <row r="2" spans="2:6">
      <c r="F2" s="455" t="s">
        <v>1289</v>
      </c>
    </row>
    <row r="3" spans="2:6">
      <c r="F3" s="455" t="s">
        <v>1288</v>
      </c>
    </row>
    <row r="5" spans="2:6">
      <c r="B5" s="453" t="s">
        <v>1000</v>
      </c>
    </row>
    <row r="6" spans="2:6">
      <c r="C6" s="453" t="s">
        <v>999</v>
      </c>
      <c r="E6" s="467">
        <v>3000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511.57726500000001</v>
      </c>
    </row>
    <row r="14" spans="2:6">
      <c r="C14" s="453" t="s">
        <v>992</v>
      </c>
      <c r="E14" s="467">
        <v>5.8642168158117816</v>
      </c>
    </row>
    <row r="15" spans="2:6">
      <c r="C15" s="453" t="s">
        <v>991</v>
      </c>
      <c r="E15" s="467">
        <v>475.0015620807543</v>
      </c>
    </row>
    <row r="17" spans="1:10">
      <c r="B17" s="453" t="s">
        <v>990</v>
      </c>
    </row>
    <row r="18" spans="1:10">
      <c r="C18" s="453" t="s">
        <v>787</v>
      </c>
      <c r="E18" s="453">
        <v>81</v>
      </c>
    </row>
    <row r="19" spans="1:10">
      <c r="C19" s="453" t="s">
        <v>989</v>
      </c>
      <c r="E19" s="453">
        <v>0</v>
      </c>
    </row>
    <row r="20" spans="1:10">
      <c r="C20" s="453" t="s">
        <v>988</v>
      </c>
      <c r="E20" s="453">
        <v>0</v>
      </c>
    </row>
    <row r="21" spans="1:10">
      <c r="C21" s="453" t="s">
        <v>987</v>
      </c>
      <c r="E21" s="453">
        <v>0</v>
      </c>
    </row>
    <row r="22" spans="1:10">
      <c r="C22" s="453" t="s">
        <v>986</v>
      </c>
      <c r="E22" s="453">
        <v>4</v>
      </c>
    </row>
    <row r="24" spans="1:10">
      <c r="F24" s="456" t="s">
        <v>986</v>
      </c>
    </row>
    <row r="27" spans="1:10">
      <c r="A27" s="460" t="s">
        <v>1237</v>
      </c>
    </row>
    <row r="29" spans="1:10">
      <c r="A29" s="460" t="s">
        <v>985</v>
      </c>
      <c r="B29" s="460"/>
      <c r="C29" s="460"/>
      <c r="D29" s="460"/>
      <c r="E29" s="460"/>
      <c r="F29" s="456"/>
      <c r="G29" s="460"/>
      <c r="H29" s="460"/>
      <c r="I29" s="460"/>
      <c r="J29" s="459" t="s">
        <v>978</v>
      </c>
    </row>
    <row r="31" spans="1:10">
      <c r="B31" s="453" t="s">
        <v>976</v>
      </c>
    </row>
    <row r="32" spans="1:10">
      <c r="C32" s="453" t="s">
        <v>1287</v>
      </c>
    </row>
    <row r="33" spans="3:3">
      <c r="C33" s="453" t="s">
        <v>983</v>
      </c>
    </row>
    <row r="34" spans="3:3">
      <c r="C34" s="453" t="s">
        <v>1286</v>
      </c>
    </row>
    <row r="35" spans="3:3">
      <c r="C35" s="453" t="s">
        <v>1253</v>
      </c>
    </row>
    <row r="36" spans="3:3">
      <c r="C36" s="453" t="s">
        <v>1269</v>
      </c>
    </row>
    <row r="57" spans="1:10">
      <c r="A57" s="460" t="s">
        <v>979</v>
      </c>
      <c r="B57" s="460"/>
      <c r="C57" s="460"/>
      <c r="D57" s="460"/>
      <c r="E57" s="460"/>
      <c r="F57" s="456"/>
      <c r="G57" s="460"/>
      <c r="H57" s="460"/>
      <c r="I57" s="460"/>
      <c r="J57" s="459" t="s">
        <v>978</v>
      </c>
    </row>
    <row r="59" spans="1:10">
      <c r="B59" s="453" t="s">
        <v>968</v>
      </c>
      <c r="E59" s="457" t="s">
        <v>770</v>
      </c>
    </row>
    <row r="60" spans="1:10">
      <c r="C60" s="453" t="s">
        <v>772</v>
      </c>
      <c r="E60" s="467">
        <v>3000</v>
      </c>
    </row>
    <row r="61" spans="1:10">
      <c r="C61" s="453" t="s">
        <v>773</v>
      </c>
      <c r="E61" s="468">
        <v>174.18689004199973</v>
      </c>
    </row>
    <row r="62" spans="1:10">
      <c r="C62" s="453" t="s">
        <v>429</v>
      </c>
      <c r="E62" s="468">
        <v>210.75330017943193</v>
      </c>
    </row>
    <row r="63" spans="1:10">
      <c r="C63" s="453" t="s">
        <v>428</v>
      </c>
      <c r="E63" s="468">
        <v>210.52408773649415</v>
      </c>
    </row>
    <row r="64" spans="1:10">
      <c r="C64" s="453" t="s">
        <v>774</v>
      </c>
      <c r="E64" s="469" t="s">
        <v>967</v>
      </c>
    </row>
    <row r="65" spans="2:5">
      <c r="C65" s="453" t="s">
        <v>776</v>
      </c>
      <c r="E65" s="468">
        <v>123.34408526435791</v>
      </c>
    </row>
    <row r="66" spans="2:5">
      <c r="C66" s="453" t="s">
        <v>777</v>
      </c>
      <c r="E66" s="468">
        <v>15213.763369701197</v>
      </c>
    </row>
    <row r="67" spans="2:5">
      <c r="C67" s="453" t="s">
        <v>778</v>
      </c>
      <c r="E67" s="464">
        <v>0.35807091330838103</v>
      </c>
    </row>
    <row r="68" spans="2:5">
      <c r="C68" s="453" t="s">
        <v>779</v>
      </c>
      <c r="E68" s="465">
        <v>4.8598426208203298</v>
      </c>
    </row>
    <row r="69" spans="2:5">
      <c r="C69" s="453" t="s">
        <v>780</v>
      </c>
      <c r="E69" s="464">
        <v>0.58525339892350325</v>
      </c>
    </row>
    <row r="70" spans="2:5">
      <c r="C70" s="453" t="s">
        <v>781</v>
      </c>
      <c r="E70" s="468">
        <v>-182.88146067786607</v>
      </c>
    </row>
    <row r="71" spans="2:5">
      <c r="C71" s="453" t="s">
        <v>782</v>
      </c>
      <c r="E71" s="468">
        <v>1179.0459067042648</v>
      </c>
    </row>
    <row r="72" spans="2:5">
      <c r="C72" s="453" t="s">
        <v>966</v>
      </c>
      <c r="E72" s="468">
        <v>1361.9273673821308</v>
      </c>
    </row>
    <row r="73" spans="2:5">
      <c r="C73" s="453" t="s">
        <v>783</v>
      </c>
      <c r="E73" s="468">
        <v>2.2519445944709795</v>
      </c>
    </row>
    <row r="75" spans="2:5">
      <c r="B75" s="453" t="s">
        <v>965</v>
      </c>
      <c r="E75" s="457" t="s">
        <v>770</v>
      </c>
    </row>
    <row r="76" spans="2:5">
      <c r="C76" s="453" t="s">
        <v>964</v>
      </c>
      <c r="E76" s="468">
        <v>-182.88146067786607</v>
      </c>
    </row>
    <row r="77" spans="2:5">
      <c r="C77" s="453" t="s">
        <v>963</v>
      </c>
      <c r="E77" s="468">
        <v>56.628834422753229</v>
      </c>
    </row>
    <row r="78" spans="2:5">
      <c r="C78" s="453" t="s">
        <v>962</v>
      </c>
      <c r="E78" s="468">
        <v>107.99802667668078</v>
      </c>
    </row>
    <row r="79" spans="2:5">
      <c r="C79" s="453" t="s">
        <v>961</v>
      </c>
      <c r="E79" s="468">
        <v>146.67211877856067</v>
      </c>
    </row>
    <row r="80" spans="2:5">
      <c r="C80" s="453" t="s">
        <v>960</v>
      </c>
      <c r="E80" s="468">
        <v>180.105861665584</v>
      </c>
    </row>
    <row r="81" spans="1:10">
      <c r="C81" s="453" t="s">
        <v>959</v>
      </c>
      <c r="E81" s="468">
        <v>210.38037384348743</v>
      </c>
    </row>
    <row r="82" spans="1:10">
      <c r="C82" s="453" t="s">
        <v>958</v>
      </c>
      <c r="E82" s="468">
        <v>240.47353541129846</v>
      </c>
    </row>
    <row r="83" spans="1:10">
      <c r="C83" s="453" t="s">
        <v>957</v>
      </c>
      <c r="E83" s="468">
        <v>268.64244513723474</v>
      </c>
    </row>
    <row r="84" spans="1:10">
      <c r="C84" s="453" t="s">
        <v>956</v>
      </c>
      <c r="E84" s="468">
        <v>305.95128685171926</v>
      </c>
    </row>
    <row r="85" spans="1:10">
      <c r="C85" s="453" t="s">
        <v>955</v>
      </c>
      <c r="E85" s="468">
        <v>364.14224041434659</v>
      </c>
    </row>
    <row r="86" spans="1:10">
      <c r="C86" s="453" t="s">
        <v>954</v>
      </c>
      <c r="E86" s="468">
        <v>1179.0459067042648</v>
      </c>
    </row>
    <row r="88" spans="1:10">
      <c r="A88" s="460" t="s">
        <v>1236</v>
      </c>
    </row>
    <row r="90" spans="1:10">
      <c r="A90" s="460" t="s">
        <v>1053</v>
      </c>
      <c r="B90" s="460"/>
      <c r="C90" s="460"/>
      <c r="D90" s="460"/>
      <c r="E90" s="460"/>
      <c r="F90" s="456"/>
      <c r="G90" s="460"/>
      <c r="H90" s="460"/>
      <c r="I90" s="460"/>
      <c r="J90" s="459" t="s">
        <v>1048</v>
      </c>
    </row>
    <row r="92" spans="1:10">
      <c r="B92" s="453" t="s">
        <v>976</v>
      </c>
    </row>
    <row r="93" spans="1:10">
      <c r="C93" s="453" t="s">
        <v>1285</v>
      </c>
    </row>
    <row r="94" spans="1:10">
      <c r="C94" s="453" t="s">
        <v>1051</v>
      </c>
    </row>
    <row r="95" spans="1:10">
      <c r="C95" s="453" t="s">
        <v>1267</v>
      </c>
    </row>
    <row r="119" spans="2:5">
      <c r="B119" s="453" t="s">
        <v>968</v>
      </c>
      <c r="E119" s="457" t="s">
        <v>770</v>
      </c>
    </row>
    <row r="120" spans="2:5">
      <c r="C120" s="453" t="s">
        <v>772</v>
      </c>
      <c r="E120" s="467">
        <v>3000</v>
      </c>
    </row>
    <row r="121" spans="2:5">
      <c r="C121" s="453" t="s">
        <v>773</v>
      </c>
      <c r="E121" s="463">
        <v>158.86547849097127</v>
      </c>
    </row>
    <row r="122" spans="2:5">
      <c r="C122" s="453" t="s">
        <v>429</v>
      </c>
      <c r="E122" s="463">
        <v>165.35697677492772</v>
      </c>
    </row>
    <row r="123" spans="2:5">
      <c r="C123" s="453" t="s">
        <v>428</v>
      </c>
      <c r="E123" s="463">
        <v>163.43208740932906</v>
      </c>
    </row>
    <row r="124" spans="2:5">
      <c r="C124" s="453" t="s">
        <v>774</v>
      </c>
      <c r="E124" s="466" t="s">
        <v>967</v>
      </c>
    </row>
    <row r="125" spans="2:5">
      <c r="C125" s="453" t="s">
        <v>776</v>
      </c>
      <c r="E125" s="463">
        <v>53.167384608559829</v>
      </c>
    </row>
    <row r="126" spans="2:5">
      <c r="C126" s="453" t="s">
        <v>777</v>
      </c>
      <c r="E126" s="463">
        <v>2826.7707861145245</v>
      </c>
    </row>
    <row r="127" spans="2:5">
      <c r="C127" s="453" t="s">
        <v>778</v>
      </c>
      <c r="E127" s="464">
        <v>0.11588969629953423</v>
      </c>
    </row>
    <row r="128" spans="2:5">
      <c r="C128" s="453" t="s">
        <v>779</v>
      </c>
      <c r="E128" s="465">
        <v>2.6432177899475793</v>
      </c>
    </row>
    <row r="129" spans="1:10">
      <c r="C129" s="453" t="s">
        <v>780</v>
      </c>
      <c r="E129" s="464">
        <v>0.32153094260381604</v>
      </c>
    </row>
    <row r="130" spans="1:10">
      <c r="C130" s="453" t="s">
        <v>781</v>
      </c>
      <c r="E130" s="463">
        <v>16.874394925207099</v>
      </c>
    </row>
    <row r="131" spans="1:10">
      <c r="C131" s="453" t="s">
        <v>782</v>
      </c>
      <c r="E131" s="463">
        <v>316.75560681157907</v>
      </c>
    </row>
    <row r="132" spans="1:10">
      <c r="C132" s="453" t="s">
        <v>966</v>
      </c>
      <c r="E132" s="463">
        <v>299.88121188637194</v>
      </c>
    </row>
    <row r="133" spans="1:10">
      <c r="C133" s="453" t="s">
        <v>783</v>
      </c>
      <c r="E133" s="463">
        <v>0.97069919578870645</v>
      </c>
    </row>
    <row r="135" spans="1:10">
      <c r="A135" s="460" t="s">
        <v>1049</v>
      </c>
      <c r="B135" s="460"/>
      <c r="C135" s="460"/>
      <c r="D135" s="460"/>
      <c r="E135" s="460"/>
      <c r="F135" s="456"/>
      <c r="G135" s="460"/>
      <c r="H135" s="460"/>
      <c r="I135" s="460"/>
      <c r="J135" s="459" t="s">
        <v>1048</v>
      </c>
    </row>
    <row r="137" spans="1:10">
      <c r="B137" s="453" t="s">
        <v>965</v>
      </c>
      <c r="E137" s="457" t="s">
        <v>770</v>
      </c>
    </row>
    <row r="138" spans="1:10">
      <c r="C138" s="453" t="s">
        <v>964</v>
      </c>
      <c r="E138" s="463">
        <v>16.874394925207099</v>
      </c>
    </row>
    <row r="139" spans="1:10">
      <c r="C139" s="453" t="s">
        <v>963</v>
      </c>
      <c r="E139" s="463">
        <v>97.143111114014914</v>
      </c>
    </row>
    <row r="140" spans="1:10">
      <c r="C140" s="453" t="s">
        <v>962</v>
      </c>
      <c r="E140" s="463">
        <v>118.03731683838487</v>
      </c>
    </row>
    <row r="141" spans="1:10">
      <c r="C141" s="453" t="s">
        <v>961</v>
      </c>
      <c r="E141" s="463">
        <v>135.38525550501589</v>
      </c>
    </row>
    <row r="142" spans="1:10">
      <c r="C142" s="453" t="s">
        <v>960</v>
      </c>
      <c r="E142" s="463">
        <v>150.89370354684115</v>
      </c>
    </row>
    <row r="143" spans="1:10">
      <c r="C143" s="453" t="s">
        <v>959</v>
      </c>
      <c r="E143" s="463">
        <v>163.39887877141945</v>
      </c>
    </row>
    <row r="144" spans="1:10">
      <c r="C144" s="453" t="s">
        <v>958</v>
      </c>
      <c r="E144" s="463">
        <v>178.05567633539121</v>
      </c>
    </row>
    <row r="145" spans="1:10">
      <c r="C145" s="453" t="s">
        <v>957</v>
      </c>
      <c r="E145" s="463">
        <v>193.20444555377964</v>
      </c>
    </row>
    <row r="146" spans="1:10">
      <c r="C146" s="453" t="s">
        <v>956</v>
      </c>
      <c r="E146" s="463">
        <v>211.21397345666603</v>
      </c>
    </row>
    <row r="147" spans="1:10">
      <c r="C147" s="453" t="s">
        <v>955</v>
      </c>
      <c r="E147" s="463">
        <v>237.07802015415541</v>
      </c>
    </row>
    <row r="148" spans="1:10">
      <c r="C148" s="453" t="s">
        <v>954</v>
      </c>
      <c r="E148" s="463">
        <v>316.75560681157907</v>
      </c>
    </row>
    <row r="150" spans="1:10">
      <c r="A150" s="460" t="s">
        <v>1235</v>
      </c>
    </row>
    <row r="152" spans="1:10">
      <c r="A152" s="460" t="s">
        <v>977</v>
      </c>
      <c r="B152" s="460"/>
      <c r="C152" s="460"/>
      <c r="D152" s="460"/>
      <c r="E152" s="460"/>
      <c r="F152" s="456"/>
      <c r="G152" s="460"/>
      <c r="H152" s="460"/>
      <c r="I152" s="460"/>
      <c r="J152" s="459" t="s">
        <v>969</v>
      </c>
    </row>
    <row r="154" spans="1:10">
      <c r="B154" s="453" t="s">
        <v>976</v>
      </c>
    </row>
    <row r="155" spans="1:10">
      <c r="C155" s="453" t="s">
        <v>1284</v>
      </c>
    </row>
    <row r="156" spans="1:10">
      <c r="C156" s="453" t="s">
        <v>974</v>
      </c>
    </row>
    <row r="157" spans="1:10">
      <c r="C157" s="453" t="s">
        <v>1283</v>
      </c>
    </row>
    <row r="158" spans="1:10">
      <c r="C158" s="453" t="s">
        <v>1245</v>
      </c>
    </row>
    <row r="159" spans="1:10">
      <c r="C159" s="453" t="s">
        <v>1282</v>
      </c>
    </row>
    <row r="183" spans="1:10">
      <c r="A183" s="460" t="s">
        <v>970</v>
      </c>
      <c r="B183" s="460"/>
      <c r="C183" s="460"/>
      <c r="D183" s="460"/>
      <c r="E183" s="460"/>
      <c r="F183" s="456"/>
      <c r="G183" s="460"/>
      <c r="H183" s="460"/>
      <c r="I183" s="460"/>
      <c r="J183" s="459" t="s">
        <v>969</v>
      </c>
    </row>
    <row r="185" spans="1:10">
      <c r="B185" s="453" t="s">
        <v>968</v>
      </c>
      <c r="E185" s="457" t="s">
        <v>770</v>
      </c>
    </row>
    <row r="186" spans="1:10">
      <c r="C186" s="453" t="s">
        <v>772</v>
      </c>
      <c r="E186" s="467">
        <v>3000</v>
      </c>
    </row>
    <row r="187" spans="1:10">
      <c r="C187" s="453" t="s">
        <v>773</v>
      </c>
      <c r="E187" s="463">
        <v>274.24647981850893</v>
      </c>
    </row>
    <row r="188" spans="1:10">
      <c r="C188" s="453" t="s">
        <v>429</v>
      </c>
      <c r="E188" s="463">
        <v>287.80159850943767</v>
      </c>
    </row>
    <row r="189" spans="1:10">
      <c r="C189" s="453" t="s">
        <v>428</v>
      </c>
      <c r="E189" s="463">
        <v>272.2672142888236</v>
      </c>
    </row>
    <row r="190" spans="1:10">
      <c r="C190" s="453" t="s">
        <v>774</v>
      </c>
      <c r="E190" s="466" t="s">
        <v>967</v>
      </c>
    </row>
    <row r="191" spans="1:10">
      <c r="C191" s="453" t="s">
        <v>776</v>
      </c>
      <c r="E191" s="463">
        <v>74.132870451806127</v>
      </c>
    </row>
    <row r="192" spans="1:10">
      <c r="C192" s="453" t="s">
        <v>777</v>
      </c>
      <c r="E192" s="463">
        <v>5495.68248142427</v>
      </c>
    </row>
    <row r="193" spans="2:5">
      <c r="C193" s="453" t="s">
        <v>778</v>
      </c>
      <c r="E193" s="465">
        <v>1.8185307892446458</v>
      </c>
    </row>
    <row r="194" spans="2:5">
      <c r="C194" s="453" t="s">
        <v>779</v>
      </c>
      <c r="E194" s="465">
        <v>8.8896201532318155</v>
      </c>
    </row>
    <row r="195" spans="2:5">
      <c r="C195" s="453" t="s">
        <v>780</v>
      </c>
      <c r="E195" s="464">
        <v>0.25758324775036001</v>
      </c>
    </row>
    <row r="196" spans="2:5">
      <c r="C196" s="453" t="s">
        <v>781</v>
      </c>
      <c r="E196" s="463">
        <v>155.15392008480924</v>
      </c>
    </row>
    <row r="197" spans="2:5">
      <c r="C197" s="453" t="s">
        <v>782</v>
      </c>
      <c r="E197" s="463">
        <v>809.01866500867834</v>
      </c>
    </row>
    <row r="198" spans="2:5">
      <c r="C198" s="453" t="s">
        <v>966</v>
      </c>
      <c r="E198" s="463">
        <v>653.86474492386913</v>
      </c>
    </row>
    <row r="199" spans="2:5">
      <c r="C199" s="453" t="s">
        <v>783</v>
      </c>
      <c r="E199" s="463">
        <v>1.3534748466354136</v>
      </c>
    </row>
    <row r="201" spans="2:5">
      <c r="B201" s="453" t="s">
        <v>965</v>
      </c>
      <c r="E201" s="457" t="s">
        <v>770</v>
      </c>
    </row>
    <row r="202" spans="2:5">
      <c r="C202" s="453" t="s">
        <v>964</v>
      </c>
      <c r="E202" s="463">
        <v>155.15392008480924</v>
      </c>
    </row>
    <row r="203" spans="2:5">
      <c r="C203" s="453" t="s">
        <v>963</v>
      </c>
      <c r="E203" s="463">
        <v>213.87760261196465</v>
      </c>
    </row>
    <row r="204" spans="2:5">
      <c r="C204" s="453" t="s">
        <v>962</v>
      </c>
      <c r="E204" s="463">
        <v>231.35426342694527</v>
      </c>
    </row>
    <row r="205" spans="2:5">
      <c r="C205" s="453" t="s">
        <v>961</v>
      </c>
      <c r="E205" s="463">
        <v>244.88714711920753</v>
      </c>
    </row>
    <row r="206" spans="2:5">
      <c r="C206" s="453" t="s">
        <v>960</v>
      </c>
      <c r="E206" s="463">
        <v>257.32723525866328</v>
      </c>
    </row>
    <row r="207" spans="2:5">
      <c r="C207" s="453" t="s">
        <v>959</v>
      </c>
      <c r="E207" s="463">
        <v>272.26464858374135</v>
      </c>
    </row>
    <row r="208" spans="2:5">
      <c r="C208" s="453" t="s">
        <v>958</v>
      </c>
      <c r="E208" s="463">
        <v>288.62644925078285</v>
      </c>
    </row>
    <row r="209" spans="1:10">
      <c r="C209" s="453" t="s">
        <v>957</v>
      </c>
      <c r="E209" s="463">
        <v>306.57112014298991</v>
      </c>
    </row>
    <row r="210" spans="1:10">
      <c r="C210" s="453" t="s">
        <v>956</v>
      </c>
      <c r="E210" s="463">
        <v>333.3580791112592</v>
      </c>
    </row>
    <row r="211" spans="1:10">
      <c r="C211" s="453" t="s">
        <v>955</v>
      </c>
      <c r="E211" s="463">
        <v>381.36879511270575</v>
      </c>
    </row>
    <row r="212" spans="1:10">
      <c r="C212" s="453" t="s">
        <v>954</v>
      </c>
      <c r="E212" s="463">
        <v>809.01866500867845</v>
      </c>
    </row>
    <row r="214" spans="1:10">
      <c r="A214" s="460" t="s">
        <v>1234</v>
      </c>
    </row>
    <row r="216" spans="1:10">
      <c r="A216" s="460" t="s">
        <v>1281</v>
      </c>
      <c r="B216" s="460"/>
      <c r="C216" s="460"/>
      <c r="D216" s="460"/>
      <c r="E216" s="460"/>
      <c r="F216" s="456"/>
      <c r="G216" s="460"/>
      <c r="H216" s="460"/>
      <c r="I216" s="460"/>
      <c r="J216" s="459" t="s">
        <v>1274</v>
      </c>
    </row>
    <row r="218" spans="1:10">
      <c r="B218" s="453" t="s">
        <v>976</v>
      </c>
    </row>
    <row r="219" spans="1:10">
      <c r="C219" s="453" t="s">
        <v>1280</v>
      </c>
    </row>
    <row r="220" spans="1:10">
      <c r="C220" s="453" t="s">
        <v>1279</v>
      </c>
    </row>
    <row r="221" spans="1:10">
      <c r="C221" s="453" t="s">
        <v>1278</v>
      </c>
    </row>
    <row r="222" spans="1:10">
      <c r="C222" s="453" t="s">
        <v>1277</v>
      </c>
    </row>
    <row r="223" spans="1:10">
      <c r="C223" s="453" t="s">
        <v>1276</v>
      </c>
    </row>
    <row r="250" spans="1:10">
      <c r="A250" s="460" t="s">
        <v>1275</v>
      </c>
      <c r="B250" s="460"/>
      <c r="C250" s="460"/>
      <c r="D250" s="460"/>
      <c r="E250" s="460"/>
      <c r="F250" s="456"/>
      <c r="G250" s="460"/>
      <c r="H250" s="460"/>
      <c r="I250" s="460"/>
      <c r="J250" s="459" t="s">
        <v>1274</v>
      </c>
    </row>
    <row r="252" spans="1:10">
      <c r="B252" s="453" t="s">
        <v>968</v>
      </c>
      <c r="E252" s="457" t="s">
        <v>770</v>
      </c>
    </row>
    <row r="253" spans="1:10">
      <c r="C253" s="453" t="s">
        <v>772</v>
      </c>
      <c r="E253" s="467">
        <v>3000</v>
      </c>
    </row>
    <row r="254" spans="1:10">
      <c r="C254" s="453" t="s">
        <v>773</v>
      </c>
      <c r="E254" s="463">
        <v>158.69484136157672</v>
      </c>
    </row>
    <row r="255" spans="1:10">
      <c r="C255" s="453" t="s">
        <v>429</v>
      </c>
      <c r="E255" s="463">
        <v>158.67223362513704</v>
      </c>
    </row>
    <row r="256" spans="1:10">
      <c r="C256" s="453" t="s">
        <v>428</v>
      </c>
      <c r="E256" s="463">
        <v>158.61568170693445</v>
      </c>
    </row>
    <row r="257" spans="2:5">
      <c r="C257" s="453" t="s">
        <v>774</v>
      </c>
      <c r="E257" s="466" t="s">
        <v>967</v>
      </c>
    </row>
    <row r="258" spans="2:5">
      <c r="C258" s="453" t="s">
        <v>776</v>
      </c>
      <c r="E258" s="463">
        <v>5.9583512426556302</v>
      </c>
    </row>
    <row r="259" spans="2:5">
      <c r="C259" s="453" t="s">
        <v>777</v>
      </c>
      <c r="E259" s="463">
        <v>35.501949530855889</v>
      </c>
    </row>
    <row r="260" spans="2:5">
      <c r="C260" s="453" t="s">
        <v>778</v>
      </c>
      <c r="E260" s="464">
        <v>-1.9343883370323215E-3</v>
      </c>
    </row>
    <row r="261" spans="2:5">
      <c r="C261" s="453" t="s">
        <v>779</v>
      </c>
      <c r="E261" s="465">
        <v>2.8756662057613029</v>
      </c>
    </row>
    <row r="262" spans="2:5">
      <c r="C262" s="453" t="s">
        <v>780</v>
      </c>
      <c r="E262" s="464">
        <v>3.7551316361577339E-2</v>
      </c>
    </row>
    <row r="263" spans="2:5">
      <c r="C263" s="453" t="s">
        <v>781</v>
      </c>
      <c r="E263" s="463">
        <v>137.70823942440856</v>
      </c>
    </row>
    <row r="264" spans="2:5">
      <c r="C264" s="453" t="s">
        <v>782</v>
      </c>
      <c r="E264" s="463">
        <v>179.42840228568829</v>
      </c>
    </row>
    <row r="265" spans="2:5">
      <c r="C265" s="453" t="s">
        <v>966</v>
      </c>
      <c r="E265" s="463">
        <v>41.720162861279732</v>
      </c>
    </row>
    <row r="266" spans="2:5">
      <c r="C266" s="453" t="s">
        <v>783</v>
      </c>
      <c r="E266" s="463">
        <v>0.10878411270471421</v>
      </c>
    </row>
    <row r="268" spans="2:5">
      <c r="B268" s="453" t="s">
        <v>965</v>
      </c>
      <c r="E268" s="457" t="s">
        <v>770</v>
      </c>
    </row>
    <row r="269" spans="2:5">
      <c r="C269" s="453" t="s">
        <v>964</v>
      </c>
      <c r="E269" s="463">
        <v>137.70823942440856</v>
      </c>
    </row>
    <row r="270" spans="2:5">
      <c r="C270" s="453" t="s">
        <v>963</v>
      </c>
      <c r="E270" s="463">
        <v>151.03926880764723</v>
      </c>
    </row>
    <row r="271" spans="2:5">
      <c r="C271" s="453" t="s">
        <v>962</v>
      </c>
      <c r="E271" s="463">
        <v>153.53171444556932</v>
      </c>
    </row>
    <row r="272" spans="2:5">
      <c r="C272" s="453" t="s">
        <v>961</v>
      </c>
      <c r="E272" s="463">
        <v>155.48316771948549</v>
      </c>
    </row>
    <row r="273" spans="1:10">
      <c r="C273" s="453" t="s">
        <v>960</v>
      </c>
      <c r="E273" s="463">
        <v>157.09640963854318</v>
      </c>
    </row>
    <row r="274" spans="1:10">
      <c r="C274" s="453" t="s">
        <v>959</v>
      </c>
      <c r="E274" s="463">
        <v>158.61550521713497</v>
      </c>
    </row>
    <row r="275" spans="1:10">
      <c r="C275" s="453" t="s">
        <v>958</v>
      </c>
      <c r="E275" s="463">
        <v>160.17033522951681</v>
      </c>
    </row>
    <row r="276" spans="1:10">
      <c r="C276" s="453" t="s">
        <v>957</v>
      </c>
      <c r="E276" s="463">
        <v>161.86777308158656</v>
      </c>
    </row>
    <row r="277" spans="1:10">
      <c r="C277" s="453" t="s">
        <v>956</v>
      </c>
      <c r="E277" s="463">
        <v>163.93021344769565</v>
      </c>
    </row>
    <row r="278" spans="1:10">
      <c r="C278" s="453" t="s">
        <v>955</v>
      </c>
      <c r="E278" s="463">
        <v>166.39348389943754</v>
      </c>
    </row>
    <row r="279" spans="1:10">
      <c r="C279" s="453" t="s">
        <v>954</v>
      </c>
      <c r="E279" s="463">
        <v>179.42840228568829</v>
      </c>
    </row>
    <row r="281" spans="1:10">
      <c r="A281" s="453" t="s">
        <v>953</v>
      </c>
    </row>
    <row r="282" spans="1:10">
      <c r="F282" s="456" t="s">
        <v>787</v>
      </c>
    </row>
    <row r="285" spans="1:10">
      <c r="A285" s="460" t="s">
        <v>1237</v>
      </c>
    </row>
    <row r="287" spans="1:10">
      <c r="A287" s="460" t="s">
        <v>951</v>
      </c>
      <c r="B287" s="460"/>
      <c r="C287" s="460"/>
      <c r="D287" s="460"/>
      <c r="E287" s="460"/>
      <c r="F287" s="456"/>
      <c r="G287" s="460"/>
      <c r="H287" s="460"/>
      <c r="I287" s="460"/>
      <c r="J287" s="459" t="s">
        <v>950</v>
      </c>
    </row>
    <row r="289" spans="1:10">
      <c r="B289" s="453" t="s">
        <v>816</v>
      </c>
    </row>
    <row r="290" spans="1:10">
      <c r="C290" s="453" t="s">
        <v>429</v>
      </c>
      <c r="E290" s="462">
        <v>-0.1585730392347055</v>
      </c>
    </row>
    <row r="291" spans="1:10">
      <c r="C291" s="453" t="s">
        <v>815</v>
      </c>
      <c r="E291" s="462">
        <v>1.585730392347055E-2</v>
      </c>
    </row>
    <row r="292" spans="1:10">
      <c r="E292" s="457"/>
    </row>
    <row r="293" spans="1:10">
      <c r="E293" s="457"/>
    </row>
    <row r="297" spans="1:10">
      <c r="A297" s="460" t="s">
        <v>949</v>
      </c>
      <c r="B297" s="460"/>
      <c r="C297" s="460"/>
      <c r="D297" s="460"/>
      <c r="E297" s="460"/>
      <c r="F297" s="456"/>
      <c r="G297" s="460"/>
      <c r="H297" s="460"/>
      <c r="I297" s="460"/>
      <c r="J297" s="459" t="s">
        <v>948</v>
      </c>
    </row>
    <row r="299" spans="1:10">
      <c r="B299" s="453" t="s">
        <v>816</v>
      </c>
    </row>
    <row r="300" spans="1:10">
      <c r="C300" s="453" t="s">
        <v>429</v>
      </c>
      <c r="E300" s="462">
        <v>-0.36070986380520015</v>
      </c>
    </row>
    <row r="301" spans="1:10">
      <c r="C301" s="453" t="s">
        <v>815</v>
      </c>
      <c r="E301" s="462">
        <v>3.6070986380520018E-2</v>
      </c>
    </row>
    <row r="302" spans="1:10">
      <c r="E302" s="457"/>
    </row>
    <row r="303" spans="1:10">
      <c r="E303" s="457"/>
    </row>
    <row r="307" spans="1:10">
      <c r="A307" s="460" t="s">
        <v>947</v>
      </c>
      <c r="B307" s="460"/>
      <c r="C307" s="460"/>
      <c r="D307" s="460"/>
      <c r="E307" s="460"/>
      <c r="F307" s="456"/>
      <c r="G307" s="460"/>
      <c r="H307" s="460"/>
      <c r="I307" s="460"/>
      <c r="J307" s="459" t="s">
        <v>946</v>
      </c>
    </row>
    <row r="309" spans="1:10">
      <c r="B309" s="453" t="s">
        <v>843</v>
      </c>
    </row>
    <row r="310" spans="1:10">
      <c r="C310" s="453" t="s">
        <v>781</v>
      </c>
      <c r="E310" s="462">
        <v>5.2417649941293276E-2</v>
      </c>
    </row>
    <row r="311" spans="1:10">
      <c r="C311" s="453" t="s">
        <v>782</v>
      </c>
      <c r="E311" s="462">
        <v>0.14000000000000001</v>
      </c>
    </row>
    <row r="312" spans="1:10">
      <c r="E312" s="457"/>
    </row>
    <row r="313" spans="1:10">
      <c r="E313" s="457"/>
    </row>
    <row r="317" spans="1:10">
      <c r="A317" s="460" t="s">
        <v>945</v>
      </c>
      <c r="B317" s="460"/>
      <c r="C317" s="460"/>
      <c r="D317" s="460"/>
      <c r="E317" s="460"/>
      <c r="F317" s="456"/>
      <c r="G317" s="460"/>
      <c r="H317" s="460"/>
      <c r="I317" s="460"/>
      <c r="J317" s="459" t="s">
        <v>944</v>
      </c>
    </row>
    <row r="319" spans="1:10">
      <c r="B319" s="453" t="s">
        <v>816</v>
      </c>
    </row>
    <row r="320" spans="1:10">
      <c r="C320" s="453" t="s">
        <v>429</v>
      </c>
      <c r="E320" s="462">
        <v>0</v>
      </c>
    </row>
    <row r="321" spans="1:10">
      <c r="C321" s="453" t="s">
        <v>815</v>
      </c>
      <c r="E321" s="462">
        <v>0.01</v>
      </c>
    </row>
    <row r="322" spans="1:10">
      <c r="E322" s="457"/>
    </row>
    <row r="323" spans="1:10">
      <c r="E323" s="457"/>
    </row>
    <row r="327" spans="1:10">
      <c r="A327" s="460" t="s">
        <v>943</v>
      </c>
      <c r="B327" s="460"/>
      <c r="C327" s="460"/>
      <c r="D327" s="460"/>
      <c r="E327" s="460"/>
      <c r="F327" s="456"/>
      <c r="G327" s="460"/>
      <c r="H327" s="460"/>
      <c r="I327" s="460"/>
      <c r="J327" s="459" t="s">
        <v>942</v>
      </c>
    </row>
    <row r="329" spans="1:10">
      <c r="B329" s="453" t="s">
        <v>816</v>
      </c>
    </row>
    <row r="330" spans="1:10">
      <c r="C330" s="453" t="s">
        <v>429</v>
      </c>
      <c r="E330" s="462">
        <v>4.1887753137519371E-2</v>
      </c>
    </row>
    <row r="331" spans="1:10">
      <c r="C331" s="453" t="s">
        <v>815</v>
      </c>
      <c r="E331" s="462">
        <v>4.1887753137519372E-3</v>
      </c>
    </row>
    <row r="332" spans="1:10">
      <c r="E332" s="457"/>
    </row>
    <row r="333" spans="1:10">
      <c r="E333" s="457"/>
    </row>
    <row r="337" spans="1:10">
      <c r="A337" s="460" t="s">
        <v>941</v>
      </c>
      <c r="B337" s="460"/>
      <c r="C337" s="460"/>
      <c r="D337" s="460"/>
      <c r="E337" s="460"/>
      <c r="F337" s="456"/>
      <c r="G337" s="460"/>
      <c r="H337" s="460"/>
      <c r="I337" s="460"/>
      <c r="J337" s="459" t="s">
        <v>940</v>
      </c>
    </row>
    <row r="339" spans="1:10">
      <c r="B339" s="453" t="s">
        <v>816</v>
      </c>
    </row>
    <row r="340" spans="1:10">
      <c r="C340" s="453" t="s">
        <v>429</v>
      </c>
      <c r="E340" s="462">
        <v>6.3724808720432194E-2</v>
      </c>
    </row>
    <row r="341" spans="1:10">
      <c r="C341" s="453" t="s">
        <v>815</v>
      </c>
      <c r="E341" s="462">
        <v>6.3724808720432196E-3</v>
      </c>
    </row>
    <row r="342" spans="1:10">
      <c r="E342" s="457"/>
    </row>
    <row r="343" spans="1:10">
      <c r="E343" s="457"/>
    </row>
    <row r="347" spans="1:10">
      <c r="A347" s="460" t="s">
        <v>939</v>
      </c>
      <c r="B347" s="460"/>
      <c r="C347" s="460"/>
      <c r="D347" s="460"/>
      <c r="E347" s="460"/>
      <c r="F347" s="456"/>
      <c r="G347" s="460"/>
      <c r="H347" s="460"/>
      <c r="I347" s="460"/>
      <c r="J347" s="459" t="s">
        <v>938</v>
      </c>
    </row>
    <row r="349" spans="1:10">
      <c r="B349" s="453" t="s">
        <v>816</v>
      </c>
    </row>
    <row r="350" spans="1:10">
      <c r="C350" s="453" t="s">
        <v>429</v>
      </c>
      <c r="E350" s="462">
        <v>0.11357395908527125</v>
      </c>
    </row>
    <row r="351" spans="1:10">
      <c r="C351" s="453" t="s">
        <v>815</v>
      </c>
      <c r="E351" s="462">
        <v>1.1357395908527124E-2</v>
      </c>
    </row>
    <row r="352" spans="1:10">
      <c r="E352" s="457"/>
    </row>
    <row r="353" spans="1:10">
      <c r="E353" s="457"/>
    </row>
    <row r="357" spans="1:10">
      <c r="A357" s="460" t="s">
        <v>937</v>
      </c>
      <c r="B357" s="460"/>
      <c r="C357" s="460"/>
      <c r="D357" s="460"/>
      <c r="E357" s="460"/>
      <c r="F357" s="456"/>
      <c r="G357" s="460"/>
      <c r="H357" s="460"/>
      <c r="I357" s="460"/>
      <c r="J357" s="459" t="s">
        <v>936</v>
      </c>
    </row>
    <row r="359" spans="1:10">
      <c r="B359" s="453" t="s">
        <v>816</v>
      </c>
    </row>
    <row r="360" spans="1:10">
      <c r="C360" s="453" t="s">
        <v>429</v>
      </c>
      <c r="E360" s="462">
        <v>0</v>
      </c>
    </row>
    <row r="361" spans="1:10">
      <c r="C361" s="453" t="s">
        <v>815</v>
      </c>
      <c r="E361" s="462">
        <v>0.01</v>
      </c>
    </row>
    <row r="362" spans="1:10">
      <c r="E362" s="457"/>
    </row>
    <row r="363" spans="1:10">
      <c r="E363" s="457"/>
    </row>
    <row r="367" spans="1:10">
      <c r="A367" s="460" t="s">
        <v>935</v>
      </c>
      <c r="B367" s="460"/>
      <c r="C367" s="460"/>
      <c r="D367" s="460"/>
      <c r="E367" s="460"/>
      <c r="F367" s="456"/>
      <c r="G367" s="460"/>
      <c r="H367" s="460"/>
      <c r="I367" s="460"/>
      <c r="J367" s="459" t="s">
        <v>934</v>
      </c>
    </row>
    <row r="369" spans="1:10">
      <c r="B369" s="453" t="s">
        <v>816</v>
      </c>
    </row>
    <row r="370" spans="1:10">
      <c r="C370" s="453" t="s">
        <v>429</v>
      </c>
      <c r="E370" s="462">
        <v>1.659758263966713</v>
      </c>
    </row>
    <row r="371" spans="1:10">
      <c r="C371" s="453" t="s">
        <v>815</v>
      </c>
      <c r="E371" s="462">
        <v>0.1659758263966713</v>
      </c>
    </row>
    <row r="372" spans="1:10">
      <c r="E372" s="457"/>
    </row>
    <row r="373" spans="1:10">
      <c r="E373" s="457"/>
    </row>
    <row r="377" spans="1:10">
      <c r="A377" s="460" t="s">
        <v>933</v>
      </c>
      <c r="B377" s="460"/>
      <c r="C377" s="460"/>
      <c r="D377" s="460"/>
      <c r="E377" s="460"/>
      <c r="F377" s="456"/>
      <c r="G377" s="460"/>
      <c r="H377" s="460"/>
      <c r="I377" s="460"/>
      <c r="J377" s="459" t="s">
        <v>932</v>
      </c>
    </row>
    <row r="379" spans="1:10">
      <c r="B379" s="453" t="s">
        <v>816</v>
      </c>
    </row>
    <row r="380" spans="1:10">
      <c r="C380" s="453" t="s">
        <v>429</v>
      </c>
      <c r="E380" s="462">
        <v>9.8055503852247483E-2</v>
      </c>
    </row>
    <row r="381" spans="1:10">
      <c r="C381" s="453" t="s">
        <v>815</v>
      </c>
      <c r="E381" s="462">
        <v>9.8055503852247476E-3</v>
      </c>
    </row>
    <row r="382" spans="1:10">
      <c r="E382" s="457"/>
    </row>
    <row r="383" spans="1:10">
      <c r="E383" s="457"/>
    </row>
    <row r="387" spans="1:10">
      <c r="A387" s="460" t="s">
        <v>931</v>
      </c>
      <c r="B387" s="460"/>
      <c r="C387" s="460"/>
      <c r="D387" s="460"/>
      <c r="E387" s="460"/>
      <c r="F387" s="456"/>
      <c r="G387" s="460"/>
      <c r="H387" s="460"/>
      <c r="I387" s="460"/>
      <c r="J387" s="459" t="s">
        <v>930</v>
      </c>
    </row>
    <row r="389" spans="1:10">
      <c r="B389" s="453" t="s">
        <v>816</v>
      </c>
    </row>
    <row r="390" spans="1:10">
      <c r="C390" s="453" t="s">
        <v>429</v>
      </c>
      <c r="E390" s="462">
        <v>1.6786106262748464E-2</v>
      </c>
    </row>
    <row r="391" spans="1:10">
      <c r="C391" s="453" t="s">
        <v>815</v>
      </c>
      <c r="E391" s="462">
        <v>1.6786106262748463E-3</v>
      </c>
    </row>
    <row r="392" spans="1:10">
      <c r="E392" s="457"/>
    </row>
    <row r="393" spans="1:10">
      <c r="E393" s="457"/>
    </row>
    <row r="397" spans="1:10">
      <c r="A397" s="460" t="s">
        <v>929</v>
      </c>
      <c r="B397" s="460"/>
      <c r="C397" s="460"/>
      <c r="D397" s="460"/>
      <c r="E397" s="460"/>
      <c r="F397" s="456"/>
      <c r="G397" s="460"/>
      <c r="H397" s="460"/>
      <c r="I397" s="460"/>
      <c r="J397" s="459" t="s">
        <v>928</v>
      </c>
    </row>
    <row r="399" spans="1:10">
      <c r="B399" s="453" t="s">
        <v>816</v>
      </c>
    </row>
    <row r="400" spans="1:10">
      <c r="C400" s="453" t="s">
        <v>429</v>
      </c>
      <c r="E400" s="462">
        <v>1.733018822509989E-3</v>
      </c>
    </row>
    <row r="401" spans="1:10">
      <c r="C401" s="453" t="s">
        <v>815</v>
      </c>
      <c r="E401" s="462">
        <v>1.733018822509989E-4</v>
      </c>
    </row>
    <row r="402" spans="1:10">
      <c r="E402" s="457"/>
    </row>
    <row r="403" spans="1:10">
      <c r="E403" s="457"/>
    </row>
    <row r="407" spans="1:10">
      <c r="A407" s="460" t="s">
        <v>927</v>
      </c>
      <c r="B407" s="460"/>
      <c r="C407" s="460"/>
      <c r="D407" s="460"/>
      <c r="E407" s="460"/>
      <c r="F407" s="456"/>
      <c r="G407" s="460"/>
      <c r="H407" s="460"/>
      <c r="I407" s="460"/>
      <c r="J407" s="459" t="s">
        <v>926</v>
      </c>
    </row>
    <row r="409" spans="1:10">
      <c r="B409" s="453" t="s">
        <v>816</v>
      </c>
    </row>
    <row r="410" spans="1:10">
      <c r="C410" s="453" t="s">
        <v>429</v>
      </c>
      <c r="E410" s="462">
        <v>7.8882926204694337E-2</v>
      </c>
    </row>
    <row r="411" spans="1:10">
      <c r="C411" s="453" t="s">
        <v>815</v>
      </c>
      <c r="E411" s="462">
        <v>7.8882926204694344E-3</v>
      </c>
    </row>
    <row r="412" spans="1:10">
      <c r="E412" s="457"/>
    </row>
    <row r="413" spans="1:10">
      <c r="E413" s="457"/>
    </row>
    <row r="417" spans="1:10">
      <c r="A417" s="460" t="s">
        <v>925</v>
      </c>
      <c r="B417" s="460"/>
      <c r="C417" s="460"/>
      <c r="D417" s="460"/>
      <c r="E417" s="460"/>
      <c r="F417" s="456"/>
      <c r="G417" s="460"/>
      <c r="H417" s="460"/>
      <c r="I417" s="460"/>
      <c r="J417" s="459" t="s">
        <v>924</v>
      </c>
    </row>
    <row r="419" spans="1:10">
      <c r="B419" s="453" t="s">
        <v>816</v>
      </c>
    </row>
    <row r="420" spans="1:10">
      <c r="C420" s="453" t="s">
        <v>429</v>
      </c>
      <c r="E420" s="462">
        <v>9.6506862561638262E-2</v>
      </c>
    </row>
    <row r="421" spans="1:10">
      <c r="C421" s="453" t="s">
        <v>815</v>
      </c>
      <c r="E421" s="462">
        <v>9.6506862561638266E-3</v>
      </c>
    </row>
    <row r="422" spans="1:10">
      <c r="E422" s="457"/>
    </row>
    <row r="423" spans="1:10">
      <c r="E423" s="457"/>
    </row>
    <row r="427" spans="1:10">
      <c r="A427" s="460" t="s">
        <v>923</v>
      </c>
      <c r="B427" s="460"/>
      <c r="C427" s="460"/>
      <c r="D427" s="460"/>
      <c r="E427" s="460"/>
      <c r="F427" s="456"/>
      <c r="G427" s="460"/>
      <c r="H427" s="460"/>
      <c r="I427" s="460"/>
      <c r="J427" s="459" t="s">
        <v>922</v>
      </c>
    </row>
    <row r="429" spans="1:10">
      <c r="B429" s="453" t="s">
        <v>843</v>
      </c>
    </row>
    <row r="430" spans="1:10">
      <c r="C430" s="453" t="s">
        <v>781</v>
      </c>
      <c r="E430" s="462">
        <v>-0.48</v>
      </c>
    </row>
    <row r="431" spans="1:10">
      <c r="C431" s="453" t="s">
        <v>782</v>
      </c>
      <c r="E431" s="462">
        <v>-0.14000000000000001</v>
      </c>
    </row>
    <row r="432" spans="1:10">
      <c r="E432" s="457"/>
    </row>
    <row r="433" spans="1:10">
      <c r="E433" s="457"/>
    </row>
    <row r="437" spans="1:10">
      <c r="A437" s="460" t="s">
        <v>921</v>
      </c>
      <c r="B437" s="460"/>
      <c r="C437" s="460"/>
      <c r="D437" s="460"/>
      <c r="E437" s="460"/>
      <c r="F437" s="456"/>
      <c r="G437" s="460"/>
      <c r="H437" s="460"/>
      <c r="I437" s="460"/>
      <c r="J437" s="459" t="s">
        <v>920</v>
      </c>
    </row>
    <row r="439" spans="1:10">
      <c r="B439" s="453" t="s">
        <v>816</v>
      </c>
    </row>
    <row r="440" spans="1:10">
      <c r="C440" s="453" t="s">
        <v>429</v>
      </c>
      <c r="E440" s="462">
        <v>-0.12</v>
      </c>
    </row>
    <row r="441" spans="1:10">
      <c r="C441" s="453" t="s">
        <v>815</v>
      </c>
      <c r="E441" s="462">
        <v>1.2E-2</v>
      </c>
    </row>
    <row r="442" spans="1:10">
      <c r="E442" s="457"/>
    </row>
    <row r="443" spans="1:10">
      <c r="E443" s="457"/>
    </row>
    <row r="447" spans="1:10">
      <c r="A447" s="460" t="s">
        <v>919</v>
      </c>
      <c r="B447" s="460"/>
      <c r="C447" s="460"/>
      <c r="D447" s="460"/>
      <c r="E447" s="460"/>
      <c r="F447" s="456"/>
      <c r="G447" s="460"/>
      <c r="H447" s="460"/>
      <c r="I447" s="460"/>
      <c r="J447" s="459" t="s">
        <v>918</v>
      </c>
    </row>
    <row r="449" spans="1:10">
      <c r="B449" s="453" t="s">
        <v>816</v>
      </c>
    </row>
    <row r="450" spans="1:10">
      <c r="C450" s="453" t="s">
        <v>429</v>
      </c>
      <c r="E450" s="462">
        <v>-0.12</v>
      </c>
    </row>
    <row r="451" spans="1:10">
      <c r="C451" s="453" t="s">
        <v>815</v>
      </c>
      <c r="E451" s="462">
        <v>1.2E-2</v>
      </c>
    </row>
    <row r="452" spans="1:10">
      <c r="E452" s="457"/>
    </row>
    <row r="453" spans="1:10">
      <c r="E453" s="457"/>
    </row>
    <row r="457" spans="1:10">
      <c r="A457" s="460" t="s">
        <v>917</v>
      </c>
      <c r="B457" s="460"/>
      <c r="C457" s="460"/>
      <c r="D457" s="460"/>
      <c r="E457" s="460"/>
      <c r="F457" s="456"/>
      <c r="G457" s="460"/>
      <c r="H457" s="460"/>
      <c r="I457" s="460"/>
      <c r="J457" s="459" t="s">
        <v>916</v>
      </c>
    </row>
    <row r="459" spans="1:10">
      <c r="B459" s="453" t="s">
        <v>816</v>
      </c>
    </row>
    <row r="460" spans="1:10">
      <c r="C460" s="453" t="s">
        <v>429</v>
      </c>
      <c r="E460" s="462">
        <v>4.2082793410944196E-2</v>
      </c>
    </row>
    <row r="461" spans="1:10">
      <c r="C461" s="453" t="s">
        <v>815</v>
      </c>
      <c r="E461" s="462">
        <v>4.2082793410944197E-3</v>
      </c>
    </row>
    <row r="462" spans="1:10">
      <c r="E462" s="457"/>
    </row>
    <row r="463" spans="1:10">
      <c r="E463" s="457"/>
    </row>
    <row r="467" spans="1:10">
      <c r="A467" s="460" t="s">
        <v>915</v>
      </c>
      <c r="B467" s="460"/>
      <c r="C467" s="460"/>
      <c r="D467" s="460"/>
      <c r="E467" s="460"/>
      <c r="F467" s="456"/>
      <c r="G467" s="460"/>
      <c r="H467" s="460"/>
      <c r="I467" s="460"/>
      <c r="J467" s="459" t="s">
        <v>914</v>
      </c>
    </row>
    <row r="469" spans="1:10">
      <c r="B469" s="453" t="s">
        <v>816</v>
      </c>
    </row>
    <row r="470" spans="1:10">
      <c r="C470" s="453" t="s">
        <v>429</v>
      </c>
      <c r="E470" s="462">
        <v>9.0447902743732607E-3</v>
      </c>
    </row>
    <row r="471" spans="1:10">
      <c r="C471" s="453" t="s">
        <v>815</v>
      </c>
      <c r="E471" s="462">
        <v>9.0447902743732609E-4</v>
      </c>
    </row>
    <row r="472" spans="1:10">
      <c r="E472" s="457"/>
    </row>
    <row r="473" spans="1:10">
      <c r="E473" s="457"/>
    </row>
    <row r="477" spans="1:10">
      <c r="A477" s="460" t="s">
        <v>913</v>
      </c>
      <c r="B477" s="460"/>
      <c r="C477" s="460"/>
      <c r="D477" s="460"/>
      <c r="E477" s="460"/>
      <c r="F477" s="456"/>
      <c r="G477" s="460"/>
      <c r="H477" s="460"/>
      <c r="I477" s="460"/>
      <c r="J477" s="459" t="s">
        <v>912</v>
      </c>
    </row>
    <row r="479" spans="1:10">
      <c r="B479" s="453" t="s">
        <v>843</v>
      </c>
    </row>
    <row r="480" spans="1:10">
      <c r="C480" s="453" t="s">
        <v>781</v>
      </c>
      <c r="E480" s="462">
        <v>-2.09</v>
      </c>
    </row>
    <row r="481" spans="1:10">
      <c r="C481" s="453" t="s">
        <v>782</v>
      </c>
      <c r="E481" s="462">
        <v>0.42</v>
      </c>
    </row>
    <row r="482" spans="1:10">
      <c r="E482" s="457"/>
    </row>
    <row r="483" spans="1:10">
      <c r="E483" s="457"/>
    </row>
    <row r="487" spans="1:10">
      <c r="A487" s="460" t="s">
        <v>911</v>
      </c>
      <c r="B487" s="460"/>
      <c r="C487" s="460"/>
      <c r="D487" s="460"/>
      <c r="E487" s="460"/>
      <c r="F487" s="456"/>
      <c r="G487" s="460"/>
      <c r="H487" s="460"/>
      <c r="I487" s="460"/>
      <c r="J487" s="459" t="s">
        <v>910</v>
      </c>
    </row>
    <row r="489" spans="1:10">
      <c r="B489" s="453" t="s">
        <v>843</v>
      </c>
    </row>
    <row r="490" spans="1:10">
      <c r="C490" s="453" t="s">
        <v>781</v>
      </c>
      <c r="E490" s="462">
        <v>-0.06</v>
      </c>
    </row>
    <row r="491" spans="1:10">
      <c r="C491" s="453" t="s">
        <v>782</v>
      </c>
      <c r="E491" s="462">
        <v>0.14000000000000001</v>
      </c>
    </row>
    <row r="492" spans="1:10">
      <c r="E492" s="457"/>
    </row>
    <row r="493" spans="1:10">
      <c r="E493" s="457"/>
    </row>
    <row r="497" spans="1:10">
      <c r="A497" s="460" t="s">
        <v>909</v>
      </c>
      <c r="B497" s="460"/>
      <c r="C497" s="460"/>
      <c r="D497" s="460"/>
      <c r="E497" s="460"/>
      <c r="F497" s="456"/>
      <c r="G497" s="460"/>
      <c r="H497" s="460"/>
      <c r="I497" s="460"/>
      <c r="J497" s="459" t="s">
        <v>908</v>
      </c>
    </row>
    <row r="499" spans="1:10">
      <c r="B499" s="453" t="s">
        <v>843</v>
      </c>
    </row>
    <row r="500" spans="1:10">
      <c r="C500" s="453" t="s">
        <v>781</v>
      </c>
      <c r="E500" s="462">
        <v>-0.06</v>
      </c>
    </row>
    <row r="501" spans="1:10">
      <c r="C501" s="453" t="s">
        <v>782</v>
      </c>
      <c r="E501" s="462">
        <v>0.14000000000000001</v>
      </c>
    </row>
    <row r="502" spans="1:10">
      <c r="E502" s="457"/>
    </row>
    <row r="503" spans="1:10">
      <c r="E503" s="457"/>
    </row>
    <row r="507" spans="1:10">
      <c r="A507" s="460" t="s">
        <v>907</v>
      </c>
      <c r="B507" s="460"/>
      <c r="C507" s="460"/>
      <c r="D507" s="460"/>
      <c r="E507" s="460"/>
      <c r="F507" s="456"/>
      <c r="G507" s="460"/>
      <c r="H507" s="460"/>
      <c r="I507" s="460"/>
      <c r="J507" s="459" t="s">
        <v>906</v>
      </c>
    </row>
    <row r="509" spans="1:10">
      <c r="B509" s="453" t="s">
        <v>816</v>
      </c>
    </row>
    <row r="510" spans="1:10">
      <c r="C510" s="453" t="s">
        <v>429</v>
      </c>
      <c r="E510" s="462">
        <v>2.6301030034267651E-2</v>
      </c>
    </row>
    <row r="511" spans="1:10">
      <c r="C511" s="453" t="s">
        <v>815</v>
      </c>
      <c r="E511" s="462">
        <v>2.6301030034267649E-3</v>
      </c>
    </row>
    <row r="512" spans="1:10">
      <c r="E512" s="457"/>
    </row>
    <row r="513" spans="1:10">
      <c r="E513" s="457"/>
    </row>
    <row r="517" spans="1:10">
      <c r="A517" s="460" t="s">
        <v>905</v>
      </c>
      <c r="B517" s="460"/>
      <c r="C517" s="460"/>
      <c r="D517" s="460"/>
      <c r="E517" s="460"/>
      <c r="F517" s="456"/>
      <c r="G517" s="460"/>
      <c r="H517" s="460"/>
      <c r="I517" s="460"/>
      <c r="J517" s="459" t="s">
        <v>904</v>
      </c>
    </row>
    <row r="519" spans="1:10">
      <c r="B519" s="453" t="s">
        <v>816</v>
      </c>
    </row>
    <row r="520" spans="1:10">
      <c r="C520" s="453" t="s">
        <v>429</v>
      </c>
      <c r="E520" s="462">
        <v>1.1211319073083779</v>
      </c>
    </row>
    <row r="521" spans="1:10">
      <c r="C521" s="453" t="s">
        <v>815</v>
      </c>
      <c r="E521" s="462">
        <v>0.11211319073083778</v>
      </c>
    </row>
    <row r="522" spans="1:10">
      <c r="E522" s="457"/>
    </row>
    <row r="523" spans="1:10">
      <c r="E523" s="457"/>
    </row>
    <row r="527" spans="1:10">
      <c r="A527" s="460" t="s">
        <v>903</v>
      </c>
      <c r="B527" s="460"/>
      <c r="C527" s="460"/>
      <c r="D527" s="460"/>
      <c r="E527" s="460"/>
      <c r="F527" s="456"/>
      <c r="G527" s="460"/>
      <c r="H527" s="460"/>
      <c r="I527" s="460"/>
      <c r="J527" s="459" t="s">
        <v>902</v>
      </c>
    </row>
    <row r="529" spans="1:10">
      <c r="B529" s="453" t="s">
        <v>816</v>
      </c>
    </row>
    <row r="530" spans="1:10">
      <c r="C530" s="453" t="s">
        <v>429</v>
      </c>
      <c r="E530" s="462">
        <v>-5.2750473464197603E-2</v>
      </c>
    </row>
    <row r="531" spans="1:10">
      <c r="C531" s="453" t="s">
        <v>815</v>
      </c>
      <c r="E531" s="462">
        <v>5.2750473464197607E-3</v>
      </c>
    </row>
    <row r="532" spans="1:10">
      <c r="E532" s="457"/>
    </row>
    <row r="533" spans="1:10">
      <c r="E533" s="457"/>
    </row>
    <row r="537" spans="1:10">
      <c r="A537" s="460" t="s">
        <v>901</v>
      </c>
      <c r="B537" s="460"/>
      <c r="C537" s="460"/>
      <c r="D537" s="460"/>
      <c r="E537" s="460"/>
      <c r="F537" s="456"/>
      <c r="G537" s="460"/>
      <c r="H537" s="460"/>
      <c r="I537" s="460"/>
      <c r="J537" s="459" t="s">
        <v>900</v>
      </c>
    </row>
    <row r="539" spans="1:10">
      <c r="B539" s="453" t="s">
        <v>816</v>
      </c>
    </row>
    <row r="540" spans="1:10">
      <c r="C540" s="453" t="s">
        <v>429</v>
      </c>
      <c r="E540" s="462">
        <v>-5.2750473464197589E-2</v>
      </c>
    </row>
    <row r="541" spans="1:10">
      <c r="C541" s="453" t="s">
        <v>815</v>
      </c>
      <c r="E541" s="462">
        <v>5.2750473464197589E-3</v>
      </c>
    </row>
    <row r="542" spans="1:10">
      <c r="E542" s="457"/>
    </row>
    <row r="543" spans="1:10">
      <c r="E543" s="457"/>
    </row>
    <row r="547" spans="1:10">
      <c r="A547" s="460" t="s">
        <v>899</v>
      </c>
      <c r="B547" s="460"/>
      <c r="C547" s="460"/>
      <c r="D547" s="460"/>
      <c r="E547" s="460"/>
      <c r="F547" s="456"/>
      <c r="G547" s="460"/>
      <c r="H547" s="460"/>
      <c r="I547" s="460"/>
      <c r="J547" s="459" t="s">
        <v>898</v>
      </c>
    </row>
    <row r="549" spans="1:10">
      <c r="B549" s="453" t="s">
        <v>816</v>
      </c>
    </row>
    <row r="550" spans="1:10">
      <c r="C550" s="453" t="s">
        <v>429</v>
      </c>
      <c r="E550" s="462">
        <v>3.7582989756941008E-3</v>
      </c>
    </row>
    <row r="551" spans="1:10">
      <c r="C551" s="453" t="s">
        <v>815</v>
      </c>
      <c r="E551" s="462">
        <v>1E-3</v>
      </c>
    </row>
    <row r="552" spans="1:10">
      <c r="E552" s="457"/>
    </row>
    <row r="553" spans="1:10">
      <c r="E553" s="457"/>
    </row>
    <row r="557" spans="1:10">
      <c r="A557" s="460" t="s">
        <v>897</v>
      </c>
      <c r="B557" s="460"/>
      <c r="C557" s="460"/>
      <c r="D557" s="460"/>
      <c r="E557" s="460"/>
      <c r="F557" s="456"/>
      <c r="G557" s="460"/>
      <c r="H557" s="460"/>
      <c r="I557" s="460"/>
      <c r="J557" s="459" t="s">
        <v>896</v>
      </c>
    </row>
    <row r="559" spans="1:10">
      <c r="B559" s="453" t="s">
        <v>816</v>
      </c>
    </row>
    <row r="560" spans="1:10">
      <c r="C560" s="453" t="s">
        <v>429</v>
      </c>
      <c r="E560" s="462">
        <v>3.7582989756941012E-3</v>
      </c>
    </row>
    <row r="561" spans="1:10">
      <c r="C561" s="453" t="s">
        <v>815</v>
      </c>
      <c r="E561" s="462">
        <v>3.7582989756941012E-4</v>
      </c>
    </row>
    <row r="562" spans="1:10">
      <c r="E562" s="457"/>
    </row>
    <row r="563" spans="1:10">
      <c r="E563" s="457"/>
    </row>
    <row r="567" spans="1:10">
      <c r="A567" s="460" t="s">
        <v>895</v>
      </c>
      <c r="B567" s="460"/>
      <c r="C567" s="460"/>
      <c r="D567" s="460"/>
      <c r="E567" s="460"/>
      <c r="F567" s="456"/>
      <c r="G567" s="460"/>
      <c r="H567" s="460"/>
      <c r="I567" s="460"/>
      <c r="J567" s="459" t="s">
        <v>894</v>
      </c>
    </row>
    <row r="569" spans="1:10">
      <c r="B569" s="453" t="s">
        <v>816</v>
      </c>
    </row>
    <row r="570" spans="1:10">
      <c r="C570" s="453" t="s">
        <v>429</v>
      </c>
      <c r="E570" s="462">
        <v>-3.9349875028942952E-2</v>
      </c>
    </row>
    <row r="571" spans="1:10">
      <c r="C571" s="453" t="s">
        <v>815</v>
      </c>
      <c r="E571" s="462">
        <v>3.9349875028942948E-3</v>
      </c>
    </row>
    <row r="572" spans="1:10">
      <c r="E572" s="457"/>
    </row>
    <row r="573" spans="1:10">
      <c r="E573" s="457"/>
    </row>
    <row r="577" spans="1:10">
      <c r="A577" s="460" t="s">
        <v>893</v>
      </c>
      <c r="B577" s="460"/>
      <c r="C577" s="460"/>
      <c r="D577" s="460"/>
      <c r="E577" s="460"/>
      <c r="F577" s="456"/>
      <c r="G577" s="460"/>
      <c r="H577" s="460"/>
      <c r="I577" s="460"/>
      <c r="J577" s="459" t="s">
        <v>892</v>
      </c>
    </row>
    <row r="579" spans="1:10">
      <c r="B579" s="453" t="s">
        <v>816</v>
      </c>
    </row>
    <row r="580" spans="1:10">
      <c r="C580" s="453" t="s">
        <v>429</v>
      </c>
      <c r="E580" s="462">
        <v>-3.9349875028942952E-2</v>
      </c>
    </row>
    <row r="581" spans="1:10">
      <c r="C581" s="453" t="s">
        <v>815</v>
      </c>
      <c r="E581" s="462">
        <v>3.9349875028942948E-3</v>
      </c>
    </row>
    <row r="582" spans="1:10">
      <c r="E582" s="457"/>
    </row>
    <row r="583" spans="1:10">
      <c r="E583" s="457"/>
    </row>
    <row r="587" spans="1:10">
      <c r="A587" s="453" t="s">
        <v>891</v>
      </c>
      <c r="J587" s="454" t="s">
        <v>890</v>
      </c>
    </row>
    <row r="589" spans="1:10" ht="409.6">
      <c r="C589" s="522" t="s">
        <v>889</v>
      </c>
    </row>
  </sheetData>
  <printOptions gridLinesSet="0"/>
  <pageMargins left="0.75" right="0.75" top="1" bottom="1" header="0.5" footer="0.5"/>
  <pageSetup orientation="portrait" r:id="rId1"/>
  <headerFooter alignWithMargins="0">
    <oddHeader>&amp;f</oddHeader>
    <oddFooter>Page &amp;p</oddFooter>
  </headerFooter>
  <rowBreaks count="16" manualBreakCount="16">
    <brk id="23" max="16383" man="1"/>
    <brk id="56" max="16383" man="1"/>
    <brk id="87" max="16383" man="1"/>
    <brk id="134" max="16383" man="1"/>
    <brk id="149" max="16383" man="1"/>
    <brk id="182" max="16383" man="1"/>
    <brk id="213" max="16383" man="1"/>
    <brk id="249" max="16383" man="1"/>
    <brk id="281" max="16383" man="1"/>
    <brk id="325" max="16383" man="1"/>
    <brk id="365" max="16383" man="1"/>
    <brk id="405" max="16383" man="1"/>
    <brk id="445" max="16383" man="1"/>
    <brk id="485" max="16383" man="1"/>
    <brk id="525" max="16383" man="1"/>
    <brk id="565" max="16383" man="1"/>
  </rowBreaks>
  <colBreaks count="1" manualBreakCount="1">
    <brk id="10"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DFCFD-4DEA-484D-AFAC-5CCA56E1CA4B}">
  <sheetPr>
    <tabColor theme="5" tint="-0.499984740745262"/>
  </sheetPr>
  <dimension ref="A1:J1356"/>
  <sheetViews>
    <sheetView showGridLines="0" showRowColHeaders="0" workbookViewId="0">
      <selection activeCell="B52" sqref="B52:H54"/>
    </sheetView>
  </sheetViews>
  <sheetFormatPr baseColWidth="10" defaultColWidth="9" defaultRowHeight="13"/>
  <cols>
    <col min="1" max="2" width="1.6640625" style="453" customWidth="1"/>
    <col min="3" max="4" width="10.6640625" style="453" customWidth="1"/>
    <col min="5" max="5" width="16" style="453" customWidth="1"/>
    <col min="6" max="6" width="1.5" style="455" customWidth="1"/>
    <col min="7" max="7" width="4.6640625" style="453" customWidth="1"/>
    <col min="8" max="8" width="13.6640625" style="453" customWidth="1"/>
    <col min="9" max="9" width="9.6640625" style="453" customWidth="1"/>
    <col min="10" max="10" width="2.33203125" style="454" customWidth="1"/>
    <col min="11" max="11" width="70.6640625" style="453" customWidth="1"/>
    <col min="12" max="16384" width="9" style="453"/>
  </cols>
  <sheetData>
    <row r="1" spans="2:6">
      <c r="E1" s="471"/>
      <c r="F1" s="456" t="s">
        <v>1003</v>
      </c>
    </row>
    <row r="2" spans="2:6">
      <c r="F2" s="455" t="s">
        <v>1273</v>
      </c>
    </row>
    <row r="3" spans="2:6">
      <c r="F3" s="455" t="s">
        <v>1272</v>
      </c>
    </row>
    <row r="5" spans="2:6">
      <c r="B5" s="453" t="s">
        <v>1000</v>
      </c>
    </row>
    <row r="6" spans="2:6">
      <c r="C6" s="453" t="s">
        <v>999</v>
      </c>
      <c r="E6" s="467">
        <v>3000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506.63402000000002</v>
      </c>
    </row>
    <row r="14" spans="2:6">
      <c r="C14" s="453" t="s">
        <v>992</v>
      </c>
      <c r="E14" s="467">
        <v>5.9214341745151655</v>
      </c>
    </row>
    <row r="15" spans="2:6">
      <c r="C15" s="453" t="s">
        <v>991</v>
      </c>
      <c r="E15" s="467">
        <v>479.63616813572838</v>
      </c>
    </row>
    <row r="17" spans="1:10">
      <c r="B17" s="453" t="s">
        <v>990</v>
      </c>
    </row>
    <row r="18" spans="1:10">
      <c r="C18" s="453" t="s">
        <v>787</v>
      </c>
      <c r="E18" s="453">
        <v>81</v>
      </c>
    </row>
    <row r="19" spans="1:10">
      <c r="C19" s="453" t="s">
        <v>989</v>
      </c>
      <c r="E19" s="453">
        <v>0</v>
      </c>
    </row>
    <row r="20" spans="1:10">
      <c r="C20" s="453" t="s">
        <v>988</v>
      </c>
      <c r="E20" s="453">
        <v>0</v>
      </c>
    </row>
    <row r="21" spans="1:10">
      <c r="C21" s="453" t="s">
        <v>987</v>
      </c>
      <c r="E21" s="453">
        <v>0</v>
      </c>
    </row>
    <row r="22" spans="1:10">
      <c r="C22" s="453" t="s">
        <v>986</v>
      </c>
      <c r="E22" s="453">
        <v>4</v>
      </c>
    </row>
    <row r="24" spans="1:10">
      <c r="F24" s="456" t="s">
        <v>986</v>
      </c>
    </row>
    <row r="27" spans="1:10">
      <c r="A27" s="460" t="s">
        <v>1237</v>
      </c>
    </row>
    <row r="29" spans="1:10">
      <c r="A29" s="460" t="s">
        <v>985</v>
      </c>
      <c r="B29" s="460"/>
      <c r="C29" s="460"/>
      <c r="D29" s="460"/>
      <c r="E29" s="460"/>
      <c r="F29" s="456"/>
      <c r="G29" s="460"/>
      <c r="H29" s="460"/>
      <c r="I29" s="460"/>
      <c r="J29" s="459" t="s">
        <v>978</v>
      </c>
    </row>
    <row r="31" spans="1:10">
      <c r="B31" s="453" t="s">
        <v>976</v>
      </c>
    </row>
    <row r="32" spans="1:10">
      <c r="C32" s="453" t="s">
        <v>1271</v>
      </c>
    </row>
    <row r="33" spans="3:3">
      <c r="C33" s="453" t="s">
        <v>983</v>
      </c>
    </row>
    <row r="34" spans="3:3">
      <c r="C34" s="453" t="s">
        <v>1270</v>
      </c>
    </row>
    <row r="35" spans="3:3">
      <c r="C35" s="453" t="s">
        <v>1253</v>
      </c>
    </row>
    <row r="36" spans="3:3">
      <c r="C36" s="453" t="s">
        <v>1269</v>
      </c>
    </row>
    <row r="57" spans="1:10">
      <c r="A57" s="460" t="s">
        <v>979</v>
      </c>
      <c r="B57" s="460"/>
      <c r="C57" s="460"/>
      <c r="D57" s="460"/>
      <c r="E57" s="460"/>
      <c r="F57" s="456"/>
      <c r="G57" s="460"/>
      <c r="H57" s="460"/>
      <c r="I57" s="460"/>
      <c r="J57" s="459" t="s">
        <v>978</v>
      </c>
    </row>
    <row r="59" spans="1:10">
      <c r="B59" s="453" t="s">
        <v>968</v>
      </c>
      <c r="E59" s="457" t="s">
        <v>770</v>
      </c>
    </row>
    <row r="60" spans="1:10">
      <c r="C60" s="453" t="s">
        <v>772</v>
      </c>
      <c r="E60" s="467">
        <v>3000</v>
      </c>
    </row>
    <row r="61" spans="1:10">
      <c r="C61" s="453" t="s">
        <v>773</v>
      </c>
      <c r="E61" s="468">
        <v>174.18689004199973</v>
      </c>
    </row>
    <row r="62" spans="1:10">
      <c r="C62" s="453" t="s">
        <v>429</v>
      </c>
      <c r="E62" s="468">
        <v>210.81588000793386</v>
      </c>
    </row>
    <row r="63" spans="1:10">
      <c r="C63" s="453" t="s">
        <v>428</v>
      </c>
      <c r="E63" s="468">
        <v>208.88625173176328</v>
      </c>
    </row>
    <row r="64" spans="1:10">
      <c r="C64" s="453" t="s">
        <v>774</v>
      </c>
      <c r="E64" s="469" t="s">
        <v>967</v>
      </c>
    </row>
    <row r="65" spans="2:5">
      <c r="C65" s="453" t="s">
        <v>776</v>
      </c>
      <c r="E65" s="468">
        <v>122.99992863430104</v>
      </c>
    </row>
    <row r="66" spans="2:5">
      <c r="C66" s="453" t="s">
        <v>777</v>
      </c>
      <c r="E66" s="468">
        <v>15128.982444043151</v>
      </c>
    </row>
    <row r="67" spans="2:5">
      <c r="C67" s="453" t="s">
        <v>778</v>
      </c>
      <c r="E67" s="464">
        <v>0.27685561635707368</v>
      </c>
    </row>
    <row r="68" spans="2:5">
      <c r="C68" s="453" t="s">
        <v>779</v>
      </c>
      <c r="E68" s="465">
        <v>3.74861632972735</v>
      </c>
    </row>
    <row r="69" spans="2:5">
      <c r="C69" s="453" t="s">
        <v>780</v>
      </c>
      <c r="E69" s="464">
        <v>0.58344717024956594</v>
      </c>
    </row>
    <row r="70" spans="2:5">
      <c r="C70" s="453" t="s">
        <v>781</v>
      </c>
      <c r="E70" s="468">
        <v>-219.80724298724058</v>
      </c>
    </row>
    <row r="71" spans="2:5">
      <c r="C71" s="453" t="s">
        <v>782</v>
      </c>
      <c r="E71" s="468">
        <v>802.29068792649934</v>
      </c>
    </row>
    <row r="72" spans="2:5">
      <c r="C72" s="453" t="s">
        <v>966</v>
      </c>
      <c r="E72" s="468">
        <v>1022.0979309137399</v>
      </c>
    </row>
    <row r="73" spans="2:5">
      <c r="C73" s="453" t="s">
        <v>783</v>
      </c>
      <c r="E73" s="468">
        <v>2.2456611828177424</v>
      </c>
    </row>
    <row r="75" spans="2:5">
      <c r="B75" s="453" t="s">
        <v>965</v>
      </c>
      <c r="E75" s="457" t="s">
        <v>770</v>
      </c>
    </row>
    <row r="76" spans="2:5">
      <c r="C76" s="453" t="s">
        <v>964</v>
      </c>
      <c r="E76" s="468">
        <v>-219.80724298724058</v>
      </c>
    </row>
    <row r="77" spans="2:5">
      <c r="C77" s="453" t="s">
        <v>963</v>
      </c>
      <c r="E77" s="468">
        <v>60.111641189327898</v>
      </c>
    </row>
    <row r="78" spans="2:5">
      <c r="C78" s="453" t="s">
        <v>962</v>
      </c>
      <c r="E78" s="468">
        <v>109.70236027240425</v>
      </c>
    </row>
    <row r="79" spans="2:5">
      <c r="C79" s="453" t="s">
        <v>961</v>
      </c>
      <c r="E79" s="468">
        <v>149.19492170416973</v>
      </c>
    </row>
    <row r="80" spans="2:5">
      <c r="C80" s="453" t="s">
        <v>960</v>
      </c>
      <c r="E80" s="468">
        <v>179.49049101008634</v>
      </c>
    </row>
    <row r="81" spans="1:10">
      <c r="C81" s="453" t="s">
        <v>959</v>
      </c>
      <c r="E81" s="468">
        <v>208.81922503500832</v>
      </c>
    </row>
    <row r="82" spans="1:10">
      <c r="C82" s="453" t="s">
        <v>958</v>
      </c>
      <c r="E82" s="468">
        <v>236.47502788607105</v>
      </c>
    </row>
    <row r="83" spans="1:10">
      <c r="C83" s="453" t="s">
        <v>957</v>
      </c>
      <c r="E83" s="468">
        <v>267.3105204834709</v>
      </c>
    </row>
    <row r="84" spans="1:10">
      <c r="C84" s="453" t="s">
        <v>956</v>
      </c>
      <c r="E84" s="468">
        <v>306.90628736225682</v>
      </c>
    </row>
    <row r="85" spans="1:10">
      <c r="C85" s="453" t="s">
        <v>955</v>
      </c>
      <c r="E85" s="468">
        <v>364.2727534463599</v>
      </c>
    </row>
    <row r="86" spans="1:10">
      <c r="C86" s="453" t="s">
        <v>954</v>
      </c>
      <c r="E86" s="468">
        <v>802.29068792649934</v>
      </c>
    </row>
    <row r="88" spans="1:10">
      <c r="A88" s="460" t="s">
        <v>1236</v>
      </c>
    </row>
    <row r="90" spans="1:10">
      <c r="A90" s="460" t="s">
        <v>1053</v>
      </c>
      <c r="B90" s="460"/>
      <c r="C90" s="460"/>
      <c r="D90" s="460"/>
      <c r="E90" s="460"/>
      <c r="F90" s="456"/>
      <c r="G90" s="460"/>
      <c r="H90" s="460"/>
      <c r="I90" s="460"/>
      <c r="J90" s="459" t="s">
        <v>1048</v>
      </c>
    </row>
    <row r="92" spans="1:10">
      <c r="B92" s="453" t="s">
        <v>976</v>
      </c>
    </row>
    <row r="93" spans="1:10">
      <c r="C93" s="453" t="s">
        <v>1268</v>
      </c>
    </row>
    <row r="94" spans="1:10">
      <c r="C94" s="453" t="s">
        <v>1051</v>
      </c>
    </row>
    <row r="95" spans="1:10">
      <c r="C95" s="453" t="s">
        <v>1267</v>
      </c>
    </row>
    <row r="119" spans="2:5">
      <c r="B119" s="453" t="s">
        <v>968</v>
      </c>
      <c r="E119" s="457" t="s">
        <v>770</v>
      </c>
    </row>
    <row r="120" spans="2:5">
      <c r="C120" s="453" t="s">
        <v>772</v>
      </c>
      <c r="E120" s="467">
        <v>3000</v>
      </c>
    </row>
    <row r="121" spans="2:5">
      <c r="C121" s="453" t="s">
        <v>773</v>
      </c>
      <c r="E121" s="463">
        <v>158.86547849097127</v>
      </c>
    </row>
    <row r="122" spans="2:5">
      <c r="C122" s="453" t="s">
        <v>429</v>
      </c>
      <c r="E122" s="463">
        <v>165.85251178158373</v>
      </c>
    </row>
    <row r="123" spans="2:5">
      <c r="C123" s="453" t="s">
        <v>428</v>
      </c>
      <c r="E123" s="463">
        <v>165.62114978755341</v>
      </c>
    </row>
    <row r="124" spans="2:5">
      <c r="C124" s="453" t="s">
        <v>774</v>
      </c>
      <c r="E124" s="466" t="s">
        <v>967</v>
      </c>
    </row>
    <row r="125" spans="2:5">
      <c r="C125" s="453" t="s">
        <v>776</v>
      </c>
      <c r="E125" s="463">
        <v>53.246168254309168</v>
      </c>
    </row>
    <row r="126" spans="2:5">
      <c r="C126" s="453" t="s">
        <v>777</v>
      </c>
      <c r="E126" s="463">
        <v>2835.1544337662012</v>
      </c>
    </row>
    <row r="127" spans="2:5">
      <c r="C127" s="453" t="s">
        <v>778</v>
      </c>
      <c r="E127" s="464">
        <v>5.3989365171101505E-2</v>
      </c>
    </row>
    <row r="128" spans="2:5">
      <c r="C128" s="453" t="s">
        <v>779</v>
      </c>
      <c r="E128" s="465">
        <v>2.6740022058412665</v>
      </c>
    </row>
    <row r="129" spans="1:10">
      <c r="C129" s="453" t="s">
        <v>780</v>
      </c>
      <c r="E129" s="464">
        <v>0.32104529308805818</v>
      </c>
    </row>
    <row r="130" spans="1:10">
      <c r="C130" s="453" t="s">
        <v>781</v>
      </c>
      <c r="E130" s="463">
        <v>10.35139123951757</v>
      </c>
    </row>
    <row r="131" spans="1:10">
      <c r="C131" s="453" t="s">
        <v>782</v>
      </c>
      <c r="E131" s="463">
        <v>330.98249465559672</v>
      </c>
    </row>
    <row r="132" spans="1:10">
      <c r="C132" s="453" t="s">
        <v>966</v>
      </c>
      <c r="E132" s="463">
        <v>320.63110341607916</v>
      </c>
    </row>
    <row r="133" spans="1:10">
      <c r="C133" s="453" t="s">
        <v>783</v>
      </c>
      <c r="E133" s="463">
        <v>0.97213758178668674</v>
      </c>
    </row>
    <row r="135" spans="1:10">
      <c r="A135" s="460" t="s">
        <v>1049</v>
      </c>
      <c r="B135" s="460"/>
      <c r="C135" s="460"/>
      <c r="D135" s="460"/>
      <c r="E135" s="460"/>
      <c r="F135" s="456"/>
      <c r="G135" s="460"/>
      <c r="H135" s="460"/>
      <c r="I135" s="460"/>
      <c r="J135" s="459" t="s">
        <v>1048</v>
      </c>
    </row>
    <row r="137" spans="1:10">
      <c r="B137" s="453" t="s">
        <v>965</v>
      </c>
      <c r="E137" s="457" t="s">
        <v>770</v>
      </c>
    </row>
    <row r="138" spans="1:10">
      <c r="C138" s="453" t="s">
        <v>964</v>
      </c>
      <c r="E138" s="463">
        <v>10.35139123951757</v>
      </c>
    </row>
    <row r="139" spans="1:10">
      <c r="C139" s="453" t="s">
        <v>963</v>
      </c>
      <c r="E139" s="463">
        <v>96.209876333075073</v>
      </c>
    </row>
    <row r="140" spans="1:10">
      <c r="C140" s="453" t="s">
        <v>962</v>
      </c>
      <c r="E140" s="463">
        <v>117.92152974463532</v>
      </c>
    </row>
    <row r="141" spans="1:10">
      <c r="C141" s="453" t="s">
        <v>961</v>
      </c>
      <c r="E141" s="463">
        <v>136.56504064764118</v>
      </c>
    </row>
    <row r="142" spans="1:10">
      <c r="C142" s="453" t="s">
        <v>960</v>
      </c>
      <c r="E142" s="463">
        <v>151.08324486872564</v>
      </c>
    </row>
    <row r="143" spans="1:10">
      <c r="C143" s="453" t="s">
        <v>959</v>
      </c>
      <c r="E143" s="463">
        <v>165.59992585292667</v>
      </c>
    </row>
    <row r="144" spans="1:10">
      <c r="C144" s="453" t="s">
        <v>958</v>
      </c>
      <c r="E144" s="463">
        <v>181.05384071479128</v>
      </c>
    </row>
    <row r="145" spans="1:10">
      <c r="C145" s="453" t="s">
        <v>957</v>
      </c>
      <c r="E145" s="463">
        <v>194.97500028565349</v>
      </c>
    </row>
    <row r="146" spans="1:10">
      <c r="C146" s="453" t="s">
        <v>956</v>
      </c>
      <c r="E146" s="463">
        <v>211.14537421822504</v>
      </c>
    </row>
    <row r="147" spans="1:10">
      <c r="C147" s="453" t="s">
        <v>955</v>
      </c>
      <c r="E147" s="463">
        <v>235.63818143120807</v>
      </c>
    </row>
    <row r="148" spans="1:10">
      <c r="C148" s="453" t="s">
        <v>954</v>
      </c>
      <c r="E148" s="463">
        <v>330.98249465559672</v>
      </c>
    </row>
    <row r="150" spans="1:10">
      <c r="A150" s="460" t="s">
        <v>1235</v>
      </c>
    </row>
    <row r="152" spans="1:10">
      <c r="A152" s="460" t="s">
        <v>977</v>
      </c>
      <c r="B152" s="460"/>
      <c r="C152" s="460"/>
      <c r="D152" s="460"/>
      <c r="E152" s="460"/>
      <c r="F152" s="456"/>
      <c r="G152" s="460"/>
      <c r="H152" s="460"/>
      <c r="I152" s="460"/>
      <c r="J152" s="459" t="s">
        <v>969</v>
      </c>
    </row>
    <row r="154" spans="1:10">
      <c r="B154" s="453" t="s">
        <v>976</v>
      </c>
    </row>
    <row r="155" spans="1:10">
      <c r="C155" s="453" t="s">
        <v>1266</v>
      </c>
    </row>
    <row r="156" spans="1:10">
      <c r="C156" s="453" t="s">
        <v>974</v>
      </c>
    </row>
    <row r="157" spans="1:10">
      <c r="C157" s="453" t="s">
        <v>1265</v>
      </c>
    </row>
    <row r="158" spans="1:10">
      <c r="C158" s="453" t="s">
        <v>1245</v>
      </c>
    </row>
    <row r="159" spans="1:10">
      <c r="C159" s="453" t="s">
        <v>1264</v>
      </c>
    </row>
    <row r="183" spans="1:10">
      <c r="A183" s="460" t="s">
        <v>970</v>
      </c>
      <c r="B183" s="460"/>
      <c r="C183" s="460"/>
      <c r="D183" s="460"/>
      <c r="E183" s="460"/>
      <c r="F183" s="456"/>
      <c r="G183" s="460"/>
      <c r="H183" s="460"/>
      <c r="I183" s="460"/>
      <c r="J183" s="459" t="s">
        <v>969</v>
      </c>
    </row>
    <row r="185" spans="1:10">
      <c r="B185" s="453" t="s">
        <v>968</v>
      </c>
      <c r="E185" s="457" t="s">
        <v>770</v>
      </c>
    </row>
    <row r="186" spans="1:10">
      <c r="C186" s="453" t="s">
        <v>772</v>
      </c>
      <c r="E186" s="467">
        <v>3000</v>
      </c>
    </row>
    <row r="187" spans="1:10">
      <c r="C187" s="453" t="s">
        <v>773</v>
      </c>
      <c r="E187" s="463">
        <v>274.24647981850893</v>
      </c>
    </row>
    <row r="188" spans="1:10">
      <c r="C188" s="453" t="s">
        <v>429</v>
      </c>
      <c r="E188" s="463">
        <v>289.5413151672351</v>
      </c>
    </row>
    <row r="189" spans="1:10">
      <c r="C189" s="453" t="s">
        <v>428</v>
      </c>
      <c r="E189" s="463">
        <v>273.09336396270453</v>
      </c>
    </row>
    <row r="190" spans="1:10">
      <c r="C190" s="453" t="s">
        <v>774</v>
      </c>
      <c r="E190" s="466" t="s">
        <v>967</v>
      </c>
    </row>
    <row r="191" spans="1:10">
      <c r="C191" s="453" t="s">
        <v>776</v>
      </c>
      <c r="E191" s="463">
        <v>88.730963988102076</v>
      </c>
    </row>
    <row r="192" spans="1:10">
      <c r="C192" s="453" t="s">
        <v>777</v>
      </c>
      <c r="E192" s="463">
        <v>7873.1839702578663</v>
      </c>
    </row>
    <row r="193" spans="2:5">
      <c r="C193" s="453" t="s">
        <v>778</v>
      </c>
      <c r="E193" s="465">
        <v>6.6409056837932701</v>
      </c>
    </row>
    <row r="194" spans="2:5">
      <c r="C194" s="453" t="s">
        <v>779</v>
      </c>
      <c r="E194" s="465">
        <v>132.47654921390568</v>
      </c>
    </row>
    <row r="195" spans="2:5">
      <c r="C195" s="453" t="s">
        <v>780</v>
      </c>
      <c r="E195" s="464">
        <v>0.30645355028815935</v>
      </c>
    </row>
    <row r="196" spans="2:5">
      <c r="C196" s="453" t="s">
        <v>781</v>
      </c>
      <c r="E196" s="463">
        <v>152.02004301190706</v>
      </c>
    </row>
    <row r="197" spans="2:5">
      <c r="C197" s="453" t="s">
        <v>782</v>
      </c>
      <c r="E197" s="463">
        <v>2480.3406059134682</v>
      </c>
    </row>
    <row r="198" spans="2:5">
      <c r="C198" s="453" t="s">
        <v>966</v>
      </c>
      <c r="E198" s="463">
        <v>2328.3205629015611</v>
      </c>
    </row>
    <row r="199" spans="2:5">
      <c r="C199" s="453" t="s">
        <v>783</v>
      </c>
      <c r="E199" s="463">
        <v>1.6199983508487354</v>
      </c>
    </row>
    <row r="201" spans="2:5">
      <c r="B201" s="453" t="s">
        <v>965</v>
      </c>
      <c r="E201" s="457" t="s">
        <v>770</v>
      </c>
    </row>
    <row r="202" spans="2:5">
      <c r="C202" s="453" t="s">
        <v>964</v>
      </c>
      <c r="E202" s="463">
        <v>152.02004301190706</v>
      </c>
    </row>
    <row r="203" spans="2:5">
      <c r="C203" s="453" t="s">
        <v>963</v>
      </c>
      <c r="E203" s="463">
        <v>212.7800484348854</v>
      </c>
    </row>
    <row r="204" spans="2:5">
      <c r="C204" s="453" t="s">
        <v>962</v>
      </c>
      <c r="E204" s="463">
        <v>230.22602058059479</v>
      </c>
    </row>
    <row r="205" spans="2:5">
      <c r="C205" s="453" t="s">
        <v>961</v>
      </c>
      <c r="E205" s="463">
        <v>245.19298440416949</v>
      </c>
    </row>
    <row r="206" spans="2:5">
      <c r="C206" s="453" t="s">
        <v>960</v>
      </c>
      <c r="E206" s="463">
        <v>258.33397126849923</v>
      </c>
    </row>
    <row r="207" spans="2:5">
      <c r="C207" s="453" t="s">
        <v>959</v>
      </c>
      <c r="E207" s="463">
        <v>273.06829829441784</v>
      </c>
    </row>
    <row r="208" spans="2:5">
      <c r="C208" s="453" t="s">
        <v>958</v>
      </c>
      <c r="E208" s="463">
        <v>289.75297412094483</v>
      </c>
    </row>
    <row r="209" spans="1:10">
      <c r="C209" s="453" t="s">
        <v>957</v>
      </c>
      <c r="E209" s="463">
        <v>307.64276693499693</v>
      </c>
    </row>
    <row r="210" spans="1:10">
      <c r="C210" s="453" t="s">
        <v>956</v>
      </c>
      <c r="E210" s="463">
        <v>332.68073836291023</v>
      </c>
    </row>
    <row r="211" spans="1:10">
      <c r="C211" s="453" t="s">
        <v>955</v>
      </c>
      <c r="E211" s="463">
        <v>376.3928148900726</v>
      </c>
    </row>
    <row r="212" spans="1:10">
      <c r="C212" s="453" t="s">
        <v>954</v>
      </c>
      <c r="E212" s="463">
        <v>2480.3406059134677</v>
      </c>
    </row>
    <row r="214" spans="1:10">
      <c r="A214" s="460" t="s">
        <v>1234</v>
      </c>
    </row>
    <row r="216" spans="1:10">
      <c r="A216" s="460" t="s">
        <v>1263</v>
      </c>
      <c r="B216" s="460"/>
      <c r="C216" s="460"/>
      <c r="D216" s="460"/>
      <c r="E216" s="460"/>
      <c r="F216" s="456"/>
      <c r="G216" s="460"/>
      <c r="H216" s="460"/>
      <c r="I216" s="460"/>
      <c r="J216" s="459" t="s">
        <v>1258</v>
      </c>
    </row>
    <row r="218" spans="1:10">
      <c r="B218" s="453" t="s">
        <v>976</v>
      </c>
    </row>
    <row r="219" spans="1:10">
      <c r="C219" s="453" t="s">
        <v>1262</v>
      </c>
    </row>
    <row r="220" spans="1:10">
      <c r="C220" s="453" t="s">
        <v>1261</v>
      </c>
    </row>
    <row r="221" spans="1:10">
      <c r="C221" s="453" t="s">
        <v>1260</v>
      </c>
    </row>
    <row r="248" spans="1:10">
      <c r="A248" s="460" t="s">
        <v>1259</v>
      </c>
      <c r="B248" s="460"/>
      <c r="C248" s="460"/>
      <c r="D248" s="460"/>
      <c r="E248" s="460"/>
      <c r="F248" s="456"/>
      <c r="G248" s="460"/>
      <c r="H248" s="460"/>
      <c r="I248" s="460"/>
      <c r="J248" s="459" t="s">
        <v>1258</v>
      </c>
    </row>
    <row r="250" spans="1:10">
      <c r="B250" s="453" t="s">
        <v>968</v>
      </c>
      <c r="E250" s="457" t="s">
        <v>770</v>
      </c>
    </row>
    <row r="251" spans="1:10">
      <c r="C251" s="453" t="s">
        <v>772</v>
      </c>
      <c r="E251" s="467">
        <v>3000</v>
      </c>
    </row>
    <row r="252" spans="1:10">
      <c r="C252" s="453" t="s">
        <v>773</v>
      </c>
      <c r="E252" s="463">
        <v>209.78189290794359</v>
      </c>
    </row>
    <row r="253" spans="1:10">
      <c r="C253" s="453" t="s">
        <v>429</v>
      </c>
      <c r="E253" s="463">
        <v>209.68065276011598</v>
      </c>
    </row>
    <row r="254" spans="1:10">
      <c r="C254" s="453" t="s">
        <v>428</v>
      </c>
      <c r="E254" s="463">
        <v>209.65075306067109</v>
      </c>
    </row>
    <row r="255" spans="1:10">
      <c r="C255" s="453" t="s">
        <v>774</v>
      </c>
      <c r="E255" s="466" t="s">
        <v>967</v>
      </c>
    </row>
    <row r="256" spans="1:10">
      <c r="C256" s="453" t="s">
        <v>776</v>
      </c>
      <c r="E256" s="463">
        <v>9.3712324762109311</v>
      </c>
    </row>
    <row r="257" spans="2:5">
      <c r="C257" s="453" t="s">
        <v>777</v>
      </c>
      <c r="E257" s="463">
        <v>87.819998123190459</v>
      </c>
    </row>
    <row r="258" spans="2:5">
      <c r="C258" s="453" t="s">
        <v>778</v>
      </c>
      <c r="E258" s="464">
        <v>-2.8779368020331056E-2</v>
      </c>
    </row>
    <row r="259" spans="2:5">
      <c r="C259" s="453" t="s">
        <v>779</v>
      </c>
      <c r="E259" s="465">
        <v>2.9689447315865345</v>
      </c>
    </row>
    <row r="260" spans="2:5">
      <c r="C260" s="453" t="s">
        <v>780</v>
      </c>
      <c r="E260" s="464">
        <v>4.469288106867942E-2</v>
      </c>
    </row>
    <row r="261" spans="2:5">
      <c r="C261" s="453" t="s">
        <v>781</v>
      </c>
      <c r="E261" s="463">
        <v>176.74598638696818</v>
      </c>
    </row>
    <row r="262" spans="2:5">
      <c r="C262" s="453" t="s">
        <v>782</v>
      </c>
      <c r="E262" s="463">
        <v>241.19779214577721</v>
      </c>
    </row>
    <row r="263" spans="2:5">
      <c r="C263" s="453" t="s">
        <v>966</v>
      </c>
      <c r="E263" s="463">
        <v>64.45180575880903</v>
      </c>
    </row>
    <row r="264" spans="2:5">
      <c r="C264" s="453" t="s">
        <v>783</v>
      </c>
      <c r="E264" s="463">
        <v>0.17109451396152406</v>
      </c>
    </row>
    <row r="266" spans="2:5">
      <c r="B266" s="453" t="s">
        <v>965</v>
      </c>
      <c r="E266" s="457" t="s">
        <v>770</v>
      </c>
    </row>
    <row r="267" spans="2:5">
      <c r="C267" s="453" t="s">
        <v>964</v>
      </c>
      <c r="E267" s="463">
        <v>176.74598638696818</v>
      </c>
    </row>
    <row r="268" spans="2:5">
      <c r="C268" s="453" t="s">
        <v>963</v>
      </c>
      <c r="E268" s="463">
        <v>197.49790080436588</v>
      </c>
    </row>
    <row r="269" spans="2:5">
      <c r="C269" s="453" t="s">
        <v>962</v>
      </c>
      <c r="E269" s="463">
        <v>201.89572660204323</v>
      </c>
    </row>
    <row r="270" spans="2:5">
      <c r="C270" s="453" t="s">
        <v>961</v>
      </c>
      <c r="E270" s="463">
        <v>204.86648526248874</v>
      </c>
    </row>
    <row r="271" spans="2:5">
      <c r="C271" s="453" t="s">
        <v>960</v>
      </c>
      <c r="E271" s="463">
        <v>207.25759918994831</v>
      </c>
    </row>
    <row r="272" spans="2:5">
      <c r="C272" s="453" t="s">
        <v>959</v>
      </c>
      <c r="E272" s="463">
        <v>209.64938589379221</v>
      </c>
    </row>
    <row r="273" spans="1:10">
      <c r="C273" s="453" t="s">
        <v>958</v>
      </c>
      <c r="E273" s="463">
        <v>212.13078483357572</v>
      </c>
    </row>
    <row r="274" spans="1:10">
      <c r="C274" s="453" t="s">
        <v>957</v>
      </c>
      <c r="E274" s="463">
        <v>214.66989954788232</v>
      </c>
    </row>
    <row r="275" spans="1:10">
      <c r="C275" s="453" t="s">
        <v>956</v>
      </c>
      <c r="E275" s="463">
        <v>217.64134192938803</v>
      </c>
    </row>
    <row r="276" spans="1:10">
      <c r="C276" s="453" t="s">
        <v>955</v>
      </c>
      <c r="E276" s="463">
        <v>221.61329500077034</v>
      </c>
    </row>
    <row r="277" spans="1:10">
      <c r="C277" s="453" t="s">
        <v>954</v>
      </c>
      <c r="E277" s="463">
        <v>241.19779214577721</v>
      </c>
    </row>
    <row r="279" spans="1:10">
      <c r="A279" s="453" t="s">
        <v>953</v>
      </c>
    </row>
    <row r="280" spans="1:10">
      <c r="F280" s="456" t="s">
        <v>787</v>
      </c>
    </row>
    <row r="283" spans="1:10">
      <c r="A283" s="460" t="s">
        <v>1237</v>
      </c>
    </row>
    <row r="285" spans="1:10">
      <c r="A285" s="460" t="s">
        <v>951</v>
      </c>
      <c r="B285" s="460"/>
      <c r="C285" s="460"/>
      <c r="D285" s="460"/>
      <c r="E285" s="460"/>
      <c r="F285" s="456"/>
      <c r="G285" s="460"/>
      <c r="H285" s="460"/>
      <c r="I285" s="460"/>
      <c r="J285" s="459" t="s">
        <v>950</v>
      </c>
    </row>
    <row r="287" spans="1:10">
      <c r="B287" s="453" t="s">
        <v>816</v>
      </c>
    </row>
    <row r="288" spans="1:10">
      <c r="C288" s="453" t="s">
        <v>429</v>
      </c>
      <c r="E288" s="462">
        <v>-0.1585730392347055</v>
      </c>
    </row>
    <row r="289" spans="1:10">
      <c r="C289" s="453" t="s">
        <v>815</v>
      </c>
      <c r="E289" s="462">
        <v>1.585730392347055E-2</v>
      </c>
    </row>
    <row r="290" spans="1:10">
      <c r="E290" s="457"/>
    </row>
    <row r="291" spans="1:10">
      <c r="E291" s="457"/>
    </row>
    <row r="295" spans="1:10">
      <c r="A295" s="460" t="s">
        <v>949</v>
      </c>
      <c r="B295" s="460"/>
      <c r="C295" s="460"/>
      <c r="D295" s="460"/>
      <c r="E295" s="460"/>
      <c r="F295" s="456"/>
      <c r="G295" s="460"/>
      <c r="H295" s="460"/>
      <c r="I295" s="460"/>
      <c r="J295" s="459" t="s">
        <v>948</v>
      </c>
    </row>
    <row r="297" spans="1:10">
      <c r="B297" s="453" t="s">
        <v>816</v>
      </c>
    </row>
    <row r="298" spans="1:10">
      <c r="C298" s="453" t="s">
        <v>429</v>
      </c>
      <c r="E298" s="462">
        <v>-0.36070986380520015</v>
      </c>
    </row>
    <row r="299" spans="1:10">
      <c r="C299" s="453" t="s">
        <v>815</v>
      </c>
      <c r="E299" s="462">
        <v>3.6070986380520018E-2</v>
      </c>
    </row>
    <row r="300" spans="1:10">
      <c r="E300" s="457"/>
    </row>
    <row r="301" spans="1:10">
      <c r="E301" s="457"/>
    </row>
    <row r="305" spans="1:10">
      <c r="A305" s="460" t="s">
        <v>947</v>
      </c>
      <c r="B305" s="460"/>
      <c r="C305" s="460"/>
      <c r="D305" s="460"/>
      <c r="E305" s="460"/>
      <c r="F305" s="456"/>
      <c r="G305" s="460"/>
      <c r="H305" s="460"/>
      <c r="I305" s="460"/>
      <c r="J305" s="459" t="s">
        <v>946</v>
      </c>
    </row>
    <row r="307" spans="1:10">
      <c r="B307" s="453" t="s">
        <v>843</v>
      </c>
    </row>
    <row r="308" spans="1:10">
      <c r="C308" s="453" t="s">
        <v>781</v>
      </c>
      <c r="E308" s="462">
        <v>5.2417649941293276E-2</v>
      </c>
    </row>
    <row r="309" spans="1:10">
      <c r="C309" s="453" t="s">
        <v>782</v>
      </c>
      <c r="E309" s="462">
        <v>0.14000000000000001</v>
      </c>
    </row>
    <row r="310" spans="1:10">
      <c r="E310" s="457"/>
    </row>
    <row r="311" spans="1:10">
      <c r="E311" s="457"/>
    </row>
    <row r="315" spans="1:10">
      <c r="A315" s="460" t="s">
        <v>945</v>
      </c>
      <c r="B315" s="460"/>
      <c r="C315" s="460"/>
      <c r="D315" s="460"/>
      <c r="E315" s="460"/>
      <c r="F315" s="456"/>
      <c r="G315" s="460"/>
      <c r="H315" s="460"/>
      <c r="I315" s="460"/>
      <c r="J315" s="459" t="s">
        <v>944</v>
      </c>
    </row>
    <row r="317" spans="1:10">
      <c r="B317" s="453" t="s">
        <v>816</v>
      </c>
    </row>
    <row r="318" spans="1:10">
      <c r="C318" s="453" t="s">
        <v>429</v>
      </c>
      <c r="E318" s="462">
        <v>0</v>
      </c>
    </row>
    <row r="319" spans="1:10">
      <c r="C319" s="453" t="s">
        <v>815</v>
      </c>
      <c r="E319" s="462">
        <v>0.01</v>
      </c>
    </row>
    <row r="320" spans="1:10">
      <c r="E320" s="457"/>
    </row>
    <row r="321" spans="1:10">
      <c r="E321" s="457"/>
    </row>
    <row r="325" spans="1:10">
      <c r="A325" s="460" t="s">
        <v>943</v>
      </c>
      <c r="B325" s="460"/>
      <c r="C325" s="460"/>
      <c r="D325" s="460"/>
      <c r="E325" s="460"/>
      <c r="F325" s="456"/>
      <c r="G325" s="460"/>
      <c r="H325" s="460"/>
      <c r="I325" s="460"/>
      <c r="J325" s="459" t="s">
        <v>942</v>
      </c>
    </row>
    <row r="327" spans="1:10">
      <c r="B327" s="453" t="s">
        <v>816</v>
      </c>
    </row>
    <row r="328" spans="1:10">
      <c r="C328" s="453" t="s">
        <v>429</v>
      </c>
      <c r="E328" s="462">
        <v>4.1887753137519371E-2</v>
      </c>
    </row>
    <row r="329" spans="1:10">
      <c r="C329" s="453" t="s">
        <v>815</v>
      </c>
      <c r="E329" s="462">
        <v>4.1887753137519372E-3</v>
      </c>
    </row>
    <row r="330" spans="1:10">
      <c r="E330" s="457"/>
    </row>
    <row r="331" spans="1:10">
      <c r="E331" s="457"/>
    </row>
    <row r="335" spans="1:10">
      <c r="A335" s="460" t="s">
        <v>941</v>
      </c>
      <c r="B335" s="460"/>
      <c r="C335" s="460"/>
      <c r="D335" s="460"/>
      <c r="E335" s="460"/>
      <c r="F335" s="456"/>
      <c r="G335" s="460"/>
      <c r="H335" s="460"/>
      <c r="I335" s="460"/>
      <c r="J335" s="459" t="s">
        <v>940</v>
      </c>
    </row>
    <row r="337" spans="1:10">
      <c r="B337" s="453" t="s">
        <v>816</v>
      </c>
    </row>
    <row r="338" spans="1:10">
      <c r="C338" s="453" t="s">
        <v>429</v>
      </c>
      <c r="E338" s="462">
        <v>6.3724808720432194E-2</v>
      </c>
    </row>
    <row r="339" spans="1:10">
      <c r="C339" s="453" t="s">
        <v>815</v>
      </c>
      <c r="E339" s="462">
        <v>6.3724808720432196E-3</v>
      </c>
    </row>
    <row r="340" spans="1:10">
      <c r="E340" s="457"/>
    </row>
    <row r="341" spans="1:10">
      <c r="E341" s="457"/>
    </row>
    <row r="345" spans="1:10">
      <c r="A345" s="460" t="s">
        <v>939</v>
      </c>
      <c r="B345" s="460"/>
      <c r="C345" s="460"/>
      <c r="D345" s="460"/>
      <c r="E345" s="460"/>
      <c r="F345" s="456"/>
      <c r="G345" s="460"/>
      <c r="H345" s="460"/>
      <c r="I345" s="460"/>
      <c r="J345" s="459" t="s">
        <v>938</v>
      </c>
    </row>
    <row r="347" spans="1:10">
      <c r="B347" s="453" t="s">
        <v>816</v>
      </c>
    </row>
    <row r="348" spans="1:10">
      <c r="C348" s="453" t="s">
        <v>429</v>
      </c>
      <c r="E348" s="462">
        <v>0.11357395908527125</v>
      </c>
    </row>
    <row r="349" spans="1:10">
      <c r="C349" s="453" t="s">
        <v>815</v>
      </c>
      <c r="E349" s="462">
        <v>1.1357395908527124E-2</v>
      </c>
    </row>
    <row r="350" spans="1:10">
      <c r="E350" s="457"/>
    </row>
    <row r="351" spans="1:10">
      <c r="E351" s="457"/>
    </row>
    <row r="355" spans="1:10">
      <c r="A355" s="460" t="s">
        <v>937</v>
      </c>
      <c r="B355" s="460"/>
      <c r="C355" s="460"/>
      <c r="D355" s="460"/>
      <c r="E355" s="460"/>
      <c r="F355" s="456"/>
      <c r="G355" s="460"/>
      <c r="H355" s="460"/>
      <c r="I355" s="460"/>
      <c r="J355" s="459" t="s">
        <v>936</v>
      </c>
    </row>
    <row r="357" spans="1:10">
      <c r="B357" s="453" t="s">
        <v>816</v>
      </c>
    </row>
    <row r="358" spans="1:10">
      <c r="C358" s="453" t="s">
        <v>429</v>
      </c>
      <c r="E358" s="462">
        <v>0</v>
      </c>
    </row>
    <row r="359" spans="1:10">
      <c r="C359" s="453" t="s">
        <v>815</v>
      </c>
      <c r="E359" s="462">
        <v>0.01</v>
      </c>
    </row>
    <row r="360" spans="1:10">
      <c r="E360" s="457"/>
    </row>
    <row r="361" spans="1:10">
      <c r="E361" s="457"/>
    </row>
    <row r="365" spans="1:10">
      <c r="A365" s="460" t="s">
        <v>935</v>
      </c>
      <c r="B365" s="460"/>
      <c r="C365" s="460"/>
      <c r="D365" s="460"/>
      <c r="E365" s="460"/>
      <c r="F365" s="456"/>
      <c r="G365" s="460"/>
      <c r="H365" s="460"/>
      <c r="I365" s="460"/>
      <c r="J365" s="459" t="s">
        <v>934</v>
      </c>
    </row>
    <row r="367" spans="1:10">
      <c r="B367" s="453" t="s">
        <v>816</v>
      </c>
    </row>
    <row r="368" spans="1:10">
      <c r="C368" s="453" t="s">
        <v>429</v>
      </c>
      <c r="E368" s="462">
        <v>1.659758263966713</v>
      </c>
    </row>
    <row r="369" spans="1:10">
      <c r="C369" s="453" t="s">
        <v>815</v>
      </c>
      <c r="E369" s="462">
        <v>0.1659758263966713</v>
      </c>
    </row>
    <row r="370" spans="1:10">
      <c r="E370" s="457"/>
    </row>
    <row r="371" spans="1:10">
      <c r="E371" s="457"/>
    </row>
    <row r="375" spans="1:10">
      <c r="A375" s="460" t="s">
        <v>933</v>
      </c>
      <c r="B375" s="460"/>
      <c r="C375" s="460"/>
      <c r="D375" s="460"/>
      <c r="E375" s="460"/>
      <c r="F375" s="456"/>
      <c r="G375" s="460"/>
      <c r="H375" s="460"/>
      <c r="I375" s="460"/>
      <c r="J375" s="459" t="s">
        <v>932</v>
      </c>
    </row>
    <row r="377" spans="1:10">
      <c r="B377" s="453" t="s">
        <v>816</v>
      </c>
    </row>
    <row r="378" spans="1:10">
      <c r="C378" s="453" t="s">
        <v>429</v>
      </c>
      <c r="E378" s="462">
        <v>9.8055503852247483E-2</v>
      </c>
    </row>
    <row r="379" spans="1:10">
      <c r="C379" s="453" t="s">
        <v>815</v>
      </c>
      <c r="E379" s="462">
        <v>9.8055503852247476E-3</v>
      </c>
    </row>
    <row r="380" spans="1:10">
      <c r="E380" s="457"/>
    </row>
    <row r="381" spans="1:10">
      <c r="E381" s="457"/>
    </row>
    <row r="385" spans="1:10">
      <c r="A385" s="460" t="s">
        <v>931</v>
      </c>
      <c r="B385" s="460"/>
      <c r="C385" s="460"/>
      <c r="D385" s="460"/>
      <c r="E385" s="460"/>
      <c r="F385" s="456"/>
      <c r="G385" s="460"/>
      <c r="H385" s="460"/>
      <c r="I385" s="460"/>
      <c r="J385" s="459" t="s">
        <v>930</v>
      </c>
    </row>
    <row r="387" spans="1:10">
      <c r="B387" s="453" t="s">
        <v>816</v>
      </c>
    </row>
    <row r="388" spans="1:10">
      <c r="C388" s="453" t="s">
        <v>429</v>
      </c>
      <c r="E388" s="462">
        <v>1.6786106262748464E-2</v>
      </c>
    </row>
    <row r="389" spans="1:10">
      <c r="C389" s="453" t="s">
        <v>815</v>
      </c>
      <c r="E389" s="462">
        <v>1.6786106262748463E-3</v>
      </c>
    </row>
    <row r="390" spans="1:10">
      <c r="E390" s="457"/>
    </row>
    <row r="391" spans="1:10">
      <c r="E391" s="457"/>
    </row>
    <row r="395" spans="1:10">
      <c r="A395" s="460" t="s">
        <v>929</v>
      </c>
      <c r="B395" s="460"/>
      <c r="C395" s="460"/>
      <c r="D395" s="460"/>
      <c r="E395" s="460"/>
      <c r="F395" s="456"/>
      <c r="G395" s="460"/>
      <c r="H395" s="460"/>
      <c r="I395" s="460"/>
      <c r="J395" s="459" t="s">
        <v>928</v>
      </c>
    </row>
    <row r="397" spans="1:10">
      <c r="B397" s="453" t="s">
        <v>816</v>
      </c>
    </row>
    <row r="398" spans="1:10">
      <c r="C398" s="453" t="s">
        <v>429</v>
      </c>
      <c r="E398" s="462">
        <v>1.733018822509989E-3</v>
      </c>
    </row>
    <row r="399" spans="1:10">
      <c r="C399" s="453" t="s">
        <v>815</v>
      </c>
      <c r="E399" s="462">
        <v>1.733018822509989E-4</v>
      </c>
    </row>
    <row r="400" spans="1:10">
      <c r="E400" s="457"/>
    </row>
    <row r="401" spans="1:10">
      <c r="E401" s="457"/>
    </row>
    <row r="405" spans="1:10">
      <c r="A405" s="460" t="s">
        <v>927</v>
      </c>
      <c r="B405" s="460"/>
      <c r="C405" s="460"/>
      <c r="D405" s="460"/>
      <c r="E405" s="460"/>
      <c r="F405" s="456"/>
      <c r="G405" s="460"/>
      <c r="H405" s="460"/>
      <c r="I405" s="460"/>
      <c r="J405" s="459" t="s">
        <v>926</v>
      </c>
    </row>
    <row r="407" spans="1:10">
      <c r="B407" s="453" t="s">
        <v>816</v>
      </c>
    </row>
    <row r="408" spans="1:10">
      <c r="C408" s="453" t="s">
        <v>429</v>
      </c>
      <c r="E408" s="462">
        <v>7.8882926204694337E-2</v>
      </c>
    </row>
    <row r="409" spans="1:10">
      <c r="C409" s="453" t="s">
        <v>815</v>
      </c>
      <c r="E409" s="462">
        <v>7.8882926204694344E-3</v>
      </c>
    </row>
    <row r="410" spans="1:10">
      <c r="E410" s="457"/>
    </row>
    <row r="411" spans="1:10">
      <c r="E411" s="457"/>
    </row>
    <row r="415" spans="1:10">
      <c r="A415" s="460" t="s">
        <v>925</v>
      </c>
      <c r="B415" s="460"/>
      <c r="C415" s="460"/>
      <c r="D415" s="460"/>
      <c r="E415" s="460"/>
      <c r="F415" s="456"/>
      <c r="G415" s="460"/>
      <c r="H415" s="460"/>
      <c r="I415" s="460"/>
      <c r="J415" s="459" t="s">
        <v>924</v>
      </c>
    </row>
    <row r="417" spans="1:10">
      <c r="B417" s="453" t="s">
        <v>816</v>
      </c>
    </row>
    <row r="418" spans="1:10">
      <c r="C418" s="453" t="s">
        <v>429</v>
      </c>
      <c r="E418" s="462">
        <v>9.6506862561638262E-2</v>
      </c>
    </row>
    <row r="419" spans="1:10">
      <c r="C419" s="453" t="s">
        <v>815</v>
      </c>
      <c r="E419" s="462">
        <v>9.6506862561638266E-3</v>
      </c>
    </row>
    <row r="420" spans="1:10">
      <c r="E420" s="457"/>
    </row>
    <row r="421" spans="1:10">
      <c r="E421" s="457"/>
    </row>
    <row r="425" spans="1:10">
      <c r="A425" s="460" t="s">
        <v>923</v>
      </c>
      <c r="B425" s="460"/>
      <c r="C425" s="460"/>
      <c r="D425" s="460"/>
      <c r="E425" s="460"/>
      <c r="F425" s="456"/>
      <c r="G425" s="460"/>
      <c r="H425" s="460"/>
      <c r="I425" s="460"/>
      <c r="J425" s="459" t="s">
        <v>922</v>
      </c>
    </row>
    <row r="427" spans="1:10">
      <c r="B427" s="453" t="s">
        <v>843</v>
      </c>
    </row>
    <row r="428" spans="1:10">
      <c r="C428" s="453" t="s">
        <v>781</v>
      </c>
      <c r="E428" s="462">
        <v>-0.48</v>
      </c>
    </row>
    <row r="429" spans="1:10">
      <c r="C429" s="453" t="s">
        <v>782</v>
      </c>
      <c r="E429" s="462">
        <v>-0.14000000000000001</v>
      </c>
    </row>
    <row r="430" spans="1:10">
      <c r="E430" s="457"/>
    </row>
    <row r="431" spans="1:10">
      <c r="E431" s="457"/>
    </row>
    <row r="435" spans="1:10">
      <c r="A435" s="460" t="s">
        <v>921</v>
      </c>
      <c r="B435" s="460"/>
      <c r="C435" s="460"/>
      <c r="D435" s="460"/>
      <c r="E435" s="460"/>
      <c r="F435" s="456"/>
      <c r="G435" s="460"/>
      <c r="H435" s="460"/>
      <c r="I435" s="460"/>
      <c r="J435" s="459" t="s">
        <v>920</v>
      </c>
    </row>
    <row r="437" spans="1:10">
      <c r="B437" s="453" t="s">
        <v>816</v>
      </c>
    </row>
    <row r="438" spans="1:10">
      <c r="C438" s="453" t="s">
        <v>429</v>
      </c>
      <c r="E438" s="462">
        <v>-0.12</v>
      </c>
    </row>
    <row r="439" spans="1:10">
      <c r="C439" s="453" t="s">
        <v>815</v>
      </c>
      <c r="E439" s="462">
        <v>1.2E-2</v>
      </c>
    </row>
    <row r="440" spans="1:10">
      <c r="E440" s="457"/>
    </row>
    <row r="441" spans="1:10">
      <c r="E441" s="457"/>
    </row>
    <row r="445" spans="1:10">
      <c r="A445" s="460" t="s">
        <v>919</v>
      </c>
      <c r="B445" s="460"/>
      <c r="C445" s="460"/>
      <c r="D445" s="460"/>
      <c r="E445" s="460"/>
      <c r="F445" s="456"/>
      <c r="G445" s="460"/>
      <c r="H445" s="460"/>
      <c r="I445" s="460"/>
      <c r="J445" s="459" t="s">
        <v>918</v>
      </c>
    </row>
    <row r="447" spans="1:10">
      <c r="B447" s="453" t="s">
        <v>816</v>
      </c>
    </row>
    <row r="448" spans="1:10">
      <c r="C448" s="453" t="s">
        <v>429</v>
      </c>
      <c r="E448" s="462">
        <v>-0.12</v>
      </c>
    </row>
    <row r="449" spans="1:10">
      <c r="C449" s="453" t="s">
        <v>815</v>
      </c>
      <c r="E449" s="462">
        <v>1.2E-2</v>
      </c>
    </row>
    <row r="450" spans="1:10">
      <c r="E450" s="457"/>
    </row>
    <row r="451" spans="1:10">
      <c r="E451" s="457"/>
    </row>
    <row r="455" spans="1:10">
      <c r="A455" s="460" t="s">
        <v>917</v>
      </c>
      <c r="B455" s="460"/>
      <c r="C455" s="460"/>
      <c r="D455" s="460"/>
      <c r="E455" s="460"/>
      <c r="F455" s="456"/>
      <c r="G455" s="460"/>
      <c r="H455" s="460"/>
      <c r="I455" s="460"/>
      <c r="J455" s="459" t="s">
        <v>916</v>
      </c>
    </row>
    <row r="457" spans="1:10">
      <c r="B457" s="453" t="s">
        <v>816</v>
      </c>
    </row>
    <row r="458" spans="1:10">
      <c r="C458" s="453" t="s">
        <v>429</v>
      </c>
      <c r="E458" s="462">
        <v>4.2082793410944196E-2</v>
      </c>
    </row>
    <row r="459" spans="1:10">
      <c r="C459" s="453" t="s">
        <v>815</v>
      </c>
      <c r="E459" s="462">
        <v>4.2082793410944197E-3</v>
      </c>
    </row>
    <row r="460" spans="1:10">
      <c r="E460" s="457"/>
    </row>
    <row r="461" spans="1:10">
      <c r="E461" s="457"/>
    </row>
    <row r="465" spans="1:10">
      <c r="A465" s="460" t="s">
        <v>915</v>
      </c>
      <c r="B465" s="460"/>
      <c r="C465" s="460"/>
      <c r="D465" s="460"/>
      <c r="E465" s="460"/>
      <c r="F465" s="456"/>
      <c r="G465" s="460"/>
      <c r="H465" s="460"/>
      <c r="I465" s="460"/>
      <c r="J465" s="459" t="s">
        <v>914</v>
      </c>
    </row>
    <row r="467" spans="1:10">
      <c r="B467" s="453" t="s">
        <v>816</v>
      </c>
    </row>
    <row r="468" spans="1:10">
      <c r="C468" s="453" t="s">
        <v>429</v>
      </c>
      <c r="E468" s="462">
        <v>9.0447902743732607E-3</v>
      </c>
    </row>
    <row r="469" spans="1:10">
      <c r="C469" s="453" t="s">
        <v>815</v>
      </c>
      <c r="E469" s="462">
        <v>9.0447902743732609E-4</v>
      </c>
    </row>
    <row r="470" spans="1:10">
      <c r="E470" s="457"/>
    </row>
    <row r="471" spans="1:10">
      <c r="E471" s="457"/>
    </row>
    <row r="475" spans="1:10">
      <c r="A475" s="460" t="s">
        <v>913</v>
      </c>
      <c r="B475" s="460"/>
      <c r="C475" s="460"/>
      <c r="D475" s="460"/>
      <c r="E475" s="460"/>
      <c r="F475" s="456"/>
      <c r="G475" s="460"/>
      <c r="H475" s="460"/>
      <c r="I475" s="460"/>
      <c r="J475" s="459" t="s">
        <v>912</v>
      </c>
    </row>
    <row r="477" spans="1:10">
      <c r="B477" s="453" t="s">
        <v>843</v>
      </c>
    </row>
    <row r="478" spans="1:10">
      <c r="C478" s="453" t="s">
        <v>781</v>
      </c>
      <c r="E478" s="462">
        <v>-2.09</v>
      </c>
    </row>
    <row r="479" spans="1:10">
      <c r="C479" s="453" t="s">
        <v>782</v>
      </c>
      <c r="E479" s="462">
        <v>0.42</v>
      </c>
    </row>
    <row r="480" spans="1:10">
      <c r="E480" s="457"/>
    </row>
    <row r="481" spans="1:10">
      <c r="E481" s="457"/>
    </row>
    <row r="485" spans="1:10">
      <c r="A485" s="460" t="s">
        <v>911</v>
      </c>
      <c r="B485" s="460"/>
      <c r="C485" s="460"/>
      <c r="D485" s="460"/>
      <c r="E485" s="460"/>
      <c r="F485" s="456"/>
      <c r="G485" s="460"/>
      <c r="H485" s="460"/>
      <c r="I485" s="460"/>
      <c r="J485" s="459" t="s">
        <v>910</v>
      </c>
    </row>
    <row r="487" spans="1:10">
      <c r="B487" s="453" t="s">
        <v>843</v>
      </c>
    </row>
    <row r="488" spans="1:10">
      <c r="C488" s="453" t="s">
        <v>781</v>
      </c>
      <c r="E488" s="462">
        <v>-0.06</v>
      </c>
    </row>
    <row r="489" spans="1:10">
      <c r="C489" s="453" t="s">
        <v>782</v>
      </c>
      <c r="E489" s="462">
        <v>0.14000000000000001</v>
      </c>
    </row>
    <row r="490" spans="1:10">
      <c r="E490" s="457"/>
    </row>
    <row r="491" spans="1:10">
      <c r="E491" s="457"/>
    </row>
    <row r="495" spans="1:10">
      <c r="A495" s="460" t="s">
        <v>909</v>
      </c>
      <c r="B495" s="460"/>
      <c r="C495" s="460"/>
      <c r="D495" s="460"/>
      <c r="E495" s="460"/>
      <c r="F495" s="456"/>
      <c r="G495" s="460"/>
      <c r="H495" s="460"/>
      <c r="I495" s="460"/>
      <c r="J495" s="459" t="s">
        <v>908</v>
      </c>
    </row>
    <row r="497" spans="1:10">
      <c r="B497" s="453" t="s">
        <v>843</v>
      </c>
    </row>
    <row r="498" spans="1:10">
      <c r="C498" s="453" t="s">
        <v>781</v>
      </c>
      <c r="E498" s="462">
        <v>-0.06</v>
      </c>
    </row>
    <row r="499" spans="1:10">
      <c r="C499" s="453" t="s">
        <v>782</v>
      </c>
      <c r="E499" s="462">
        <v>0.14000000000000001</v>
      </c>
    </row>
    <row r="500" spans="1:10">
      <c r="E500" s="457"/>
    </row>
    <row r="501" spans="1:10">
      <c r="E501" s="457"/>
    </row>
    <row r="505" spans="1:10">
      <c r="A505" s="460" t="s">
        <v>907</v>
      </c>
      <c r="B505" s="460"/>
      <c r="C505" s="460"/>
      <c r="D505" s="460"/>
      <c r="E505" s="460"/>
      <c r="F505" s="456"/>
      <c r="G505" s="460"/>
      <c r="H505" s="460"/>
      <c r="I505" s="460"/>
      <c r="J505" s="459" t="s">
        <v>906</v>
      </c>
    </row>
    <row r="507" spans="1:10">
      <c r="B507" s="453" t="s">
        <v>816</v>
      </c>
    </row>
    <row r="508" spans="1:10">
      <c r="C508" s="453" t="s">
        <v>429</v>
      </c>
      <c r="E508" s="462">
        <v>2.6301030034267651E-2</v>
      </c>
    </row>
    <row r="509" spans="1:10">
      <c r="C509" s="453" t="s">
        <v>815</v>
      </c>
      <c r="E509" s="462">
        <v>2.6301030034267649E-3</v>
      </c>
    </row>
    <row r="510" spans="1:10">
      <c r="E510" s="457"/>
    </row>
    <row r="511" spans="1:10">
      <c r="E511" s="457"/>
    </row>
    <row r="515" spans="1:10">
      <c r="A515" s="460" t="s">
        <v>905</v>
      </c>
      <c r="B515" s="460"/>
      <c r="C515" s="460"/>
      <c r="D515" s="460"/>
      <c r="E515" s="460"/>
      <c r="F515" s="456"/>
      <c r="G515" s="460"/>
      <c r="H515" s="460"/>
      <c r="I515" s="460"/>
      <c r="J515" s="459" t="s">
        <v>904</v>
      </c>
    </row>
    <row r="517" spans="1:10">
      <c r="B517" s="453" t="s">
        <v>816</v>
      </c>
    </row>
    <row r="518" spans="1:10">
      <c r="C518" s="453" t="s">
        <v>429</v>
      </c>
      <c r="E518" s="462">
        <v>1.1211319073083779</v>
      </c>
    </row>
    <row r="519" spans="1:10">
      <c r="C519" s="453" t="s">
        <v>815</v>
      </c>
      <c r="E519" s="462">
        <v>0.11211319073083778</v>
      </c>
    </row>
    <row r="520" spans="1:10">
      <c r="E520" s="457"/>
    </row>
    <row r="521" spans="1:10">
      <c r="E521" s="457"/>
    </row>
    <row r="525" spans="1:10">
      <c r="A525" s="460" t="s">
        <v>903</v>
      </c>
      <c r="B525" s="460"/>
      <c r="C525" s="460"/>
      <c r="D525" s="460"/>
      <c r="E525" s="460"/>
      <c r="F525" s="456"/>
      <c r="G525" s="460"/>
      <c r="H525" s="460"/>
      <c r="I525" s="460"/>
      <c r="J525" s="459" t="s">
        <v>902</v>
      </c>
    </row>
    <row r="527" spans="1:10">
      <c r="B527" s="453" t="s">
        <v>816</v>
      </c>
    </row>
    <row r="528" spans="1:10">
      <c r="C528" s="453" t="s">
        <v>429</v>
      </c>
      <c r="E528" s="462">
        <v>-5.2750473464197603E-2</v>
      </c>
    </row>
    <row r="529" spans="1:10">
      <c r="C529" s="453" t="s">
        <v>815</v>
      </c>
      <c r="E529" s="462">
        <v>5.2750473464197607E-3</v>
      </c>
    </row>
    <row r="530" spans="1:10">
      <c r="E530" s="457"/>
    </row>
    <row r="531" spans="1:10">
      <c r="E531" s="457"/>
    </row>
    <row r="535" spans="1:10">
      <c r="A535" s="460" t="s">
        <v>901</v>
      </c>
      <c r="B535" s="460"/>
      <c r="C535" s="460"/>
      <c r="D535" s="460"/>
      <c r="E535" s="460"/>
      <c r="F535" s="456"/>
      <c r="G535" s="460"/>
      <c r="H535" s="460"/>
      <c r="I535" s="460"/>
      <c r="J535" s="459" t="s">
        <v>900</v>
      </c>
    </row>
    <row r="537" spans="1:10">
      <c r="B537" s="453" t="s">
        <v>816</v>
      </c>
    </row>
    <row r="538" spans="1:10">
      <c r="C538" s="453" t="s">
        <v>429</v>
      </c>
      <c r="E538" s="462">
        <v>-5.2750473464197589E-2</v>
      </c>
    </row>
    <row r="539" spans="1:10">
      <c r="C539" s="453" t="s">
        <v>815</v>
      </c>
      <c r="E539" s="462">
        <v>5.2750473464197589E-3</v>
      </c>
    </row>
    <row r="540" spans="1:10">
      <c r="E540" s="457"/>
    </row>
    <row r="541" spans="1:10">
      <c r="E541" s="457"/>
    </row>
    <row r="545" spans="1:10">
      <c r="A545" s="460" t="s">
        <v>899</v>
      </c>
      <c r="B545" s="460"/>
      <c r="C545" s="460"/>
      <c r="D545" s="460"/>
      <c r="E545" s="460"/>
      <c r="F545" s="456"/>
      <c r="G545" s="460"/>
      <c r="H545" s="460"/>
      <c r="I545" s="460"/>
      <c r="J545" s="459" t="s">
        <v>898</v>
      </c>
    </row>
    <row r="547" spans="1:10">
      <c r="B547" s="453" t="s">
        <v>816</v>
      </c>
    </row>
    <row r="548" spans="1:10">
      <c r="C548" s="453" t="s">
        <v>429</v>
      </c>
      <c r="E548" s="462">
        <v>3.7582989756941008E-3</v>
      </c>
    </row>
    <row r="549" spans="1:10">
      <c r="C549" s="453" t="s">
        <v>815</v>
      </c>
      <c r="E549" s="462">
        <v>1E-3</v>
      </c>
    </row>
    <row r="550" spans="1:10">
      <c r="E550" s="457"/>
    </row>
    <row r="551" spans="1:10">
      <c r="E551" s="457"/>
    </row>
    <row r="555" spans="1:10">
      <c r="A555" s="460" t="s">
        <v>897</v>
      </c>
      <c r="B555" s="460"/>
      <c r="C555" s="460"/>
      <c r="D555" s="460"/>
      <c r="E555" s="460"/>
      <c r="F555" s="456"/>
      <c r="G555" s="460"/>
      <c r="H555" s="460"/>
      <c r="I555" s="460"/>
      <c r="J555" s="459" t="s">
        <v>896</v>
      </c>
    </row>
    <row r="557" spans="1:10">
      <c r="B557" s="453" t="s">
        <v>816</v>
      </c>
    </row>
    <row r="558" spans="1:10">
      <c r="C558" s="453" t="s">
        <v>429</v>
      </c>
      <c r="E558" s="462">
        <v>3.7582989756941012E-3</v>
      </c>
    </row>
    <row r="559" spans="1:10">
      <c r="C559" s="453" t="s">
        <v>815</v>
      </c>
      <c r="E559" s="462">
        <v>3.7582989756941012E-4</v>
      </c>
    </row>
    <row r="560" spans="1:10">
      <c r="E560" s="457"/>
    </row>
    <row r="561" spans="1:10">
      <c r="E561" s="457"/>
    </row>
    <row r="565" spans="1:10">
      <c r="A565" s="460" t="s">
        <v>895</v>
      </c>
      <c r="B565" s="460"/>
      <c r="C565" s="460"/>
      <c r="D565" s="460"/>
      <c r="E565" s="460"/>
      <c r="F565" s="456"/>
      <c r="G565" s="460"/>
      <c r="H565" s="460"/>
      <c r="I565" s="460"/>
      <c r="J565" s="459" t="s">
        <v>894</v>
      </c>
    </row>
    <row r="567" spans="1:10">
      <c r="B567" s="453" t="s">
        <v>816</v>
      </c>
    </row>
    <row r="568" spans="1:10">
      <c r="C568" s="453" t="s">
        <v>429</v>
      </c>
      <c r="E568" s="462">
        <v>-3.9349875028942952E-2</v>
      </c>
    </row>
    <row r="569" spans="1:10">
      <c r="C569" s="453" t="s">
        <v>815</v>
      </c>
      <c r="E569" s="462">
        <v>3.9349875028942948E-3</v>
      </c>
    </row>
    <row r="570" spans="1:10">
      <c r="E570" s="457"/>
    </row>
    <row r="571" spans="1:10">
      <c r="E571" s="457"/>
    </row>
    <row r="575" spans="1:10">
      <c r="A575" s="460" t="s">
        <v>893</v>
      </c>
      <c r="B575" s="460"/>
      <c r="C575" s="460"/>
      <c r="D575" s="460"/>
      <c r="E575" s="460"/>
      <c r="F575" s="456"/>
      <c r="G575" s="460"/>
      <c r="H575" s="460"/>
      <c r="I575" s="460"/>
      <c r="J575" s="459" t="s">
        <v>892</v>
      </c>
    </row>
    <row r="577" spans="1:10">
      <c r="B577" s="453" t="s">
        <v>816</v>
      </c>
    </row>
    <row r="578" spans="1:10">
      <c r="C578" s="453" t="s">
        <v>429</v>
      </c>
      <c r="E578" s="462">
        <v>-3.9349875028942952E-2</v>
      </c>
    </row>
    <row r="579" spans="1:10">
      <c r="C579" s="453" t="s">
        <v>815</v>
      </c>
      <c r="E579" s="462">
        <v>3.9349875028942948E-3</v>
      </c>
    </row>
    <row r="580" spans="1:10">
      <c r="E580" s="457"/>
    </row>
    <row r="581" spans="1:10">
      <c r="E581" s="457"/>
    </row>
    <row r="585" spans="1:10">
      <c r="A585" s="460" t="s">
        <v>891</v>
      </c>
      <c r="B585" s="460"/>
      <c r="C585" s="460"/>
      <c r="D585" s="460"/>
      <c r="E585" s="460"/>
      <c r="F585" s="456"/>
      <c r="G585" s="460"/>
      <c r="H585" s="460"/>
      <c r="I585" s="460"/>
      <c r="J585" s="459" t="s">
        <v>890</v>
      </c>
    </row>
    <row r="587" spans="1:10" ht="140.25" customHeight="1">
      <c r="C587" s="708" t="s">
        <v>889</v>
      </c>
      <c r="D587" s="708"/>
      <c r="E587" s="708"/>
      <c r="F587" s="708"/>
      <c r="G587" s="708"/>
      <c r="H587" s="708"/>
      <c r="I587" s="708"/>
    </row>
    <row r="589" spans="1:10">
      <c r="B589" s="453" t="s">
        <v>843</v>
      </c>
    </row>
    <row r="590" spans="1:10">
      <c r="C590" s="453" t="s">
        <v>781</v>
      </c>
      <c r="E590" s="462">
        <v>0.02</v>
      </c>
    </row>
    <row r="591" spans="1:10">
      <c r="C591" s="453" t="s">
        <v>782</v>
      </c>
      <c r="E591" s="462">
        <v>0.12</v>
      </c>
    </row>
    <row r="592" spans="1:10">
      <c r="E592" s="457"/>
    </row>
    <row r="593" spans="1:10">
      <c r="E593" s="457"/>
    </row>
    <row r="597" spans="1:10">
      <c r="A597" s="460" t="s">
        <v>888</v>
      </c>
      <c r="B597" s="460"/>
      <c r="C597" s="460"/>
      <c r="D597" s="460"/>
      <c r="E597" s="460"/>
      <c r="F597" s="456"/>
      <c r="G597" s="460"/>
      <c r="H597" s="460"/>
      <c r="I597" s="460"/>
      <c r="J597" s="459" t="s">
        <v>887</v>
      </c>
    </row>
    <row r="599" spans="1:10">
      <c r="B599" s="453" t="s">
        <v>843</v>
      </c>
    </row>
    <row r="600" spans="1:10">
      <c r="C600" s="453" t="s">
        <v>781</v>
      </c>
      <c r="E600" s="462">
        <v>0.02</v>
      </c>
    </row>
    <row r="601" spans="1:10">
      <c r="C601" s="453" t="s">
        <v>782</v>
      </c>
      <c r="E601" s="462">
        <v>0.12</v>
      </c>
    </row>
    <row r="602" spans="1:10">
      <c r="E602" s="457"/>
    </row>
    <row r="603" spans="1:10">
      <c r="E603" s="457"/>
    </row>
    <row r="607" spans="1:10">
      <c r="A607" s="460" t="s">
        <v>886</v>
      </c>
      <c r="B607" s="460"/>
      <c r="C607" s="460"/>
      <c r="D607" s="460"/>
      <c r="E607" s="460"/>
      <c r="F607" s="456"/>
      <c r="G607" s="460"/>
      <c r="H607" s="460"/>
      <c r="I607" s="460"/>
      <c r="J607" s="459" t="s">
        <v>885</v>
      </c>
    </row>
    <row r="609" spans="1:10">
      <c r="B609" s="453" t="s">
        <v>816</v>
      </c>
    </row>
    <row r="610" spans="1:10">
      <c r="C610" s="453" t="s">
        <v>429</v>
      </c>
      <c r="E610" s="461">
        <v>0.30675290302434066</v>
      </c>
    </row>
    <row r="611" spans="1:10">
      <c r="C611" s="453" t="s">
        <v>815</v>
      </c>
      <c r="E611" s="461">
        <v>3.0675290302434065E-2</v>
      </c>
    </row>
    <row r="612" spans="1:10">
      <c r="E612" s="457"/>
    </row>
    <row r="613" spans="1:10">
      <c r="E613" s="457"/>
    </row>
    <row r="617" spans="1:10">
      <c r="A617" s="460" t="s">
        <v>884</v>
      </c>
      <c r="B617" s="460"/>
      <c r="C617" s="460"/>
      <c r="D617" s="460"/>
      <c r="E617" s="460"/>
      <c r="F617" s="456"/>
      <c r="G617" s="460"/>
      <c r="H617" s="460"/>
      <c r="I617" s="460"/>
      <c r="J617" s="459" t="s">
        <v>883</v>
      </c>
    </row>
    <row r="619" spans="1:10">
      <c r="B619" s="453" t="s">
        <v>816</v>
      </c>
    </row>
    <row r="620" spans="1:10">
      <c r="C620" s="453" t="s">
        <v>429</v>
      </c>
      <c r="E620" s="461">
        <v>4.9083316512498865E-2</v>
      </c>
    </row>
    <row r="621" spans="1:10">
      <c r="C621" s="453" t="s">
        <v>815</v>
      </c>
      <c r="E621" s="461">
        <v>4.9083316512498866E-3</v>
      </c>
    </row>
    <row r="622" spans="1:10">
      <c r="E622" s="457"/>
    </row>
    <row r="623" spans="1:10">
      <c r="E623" s="457"/>
    </row>
    <row r="627" spans="1:10">
      <c r="A627" s="460" t="s">
        <v>882</v>
      </c>
      <c r="B627" s="460"/>
      <c r="C627" s="460"/>
      <c r="D627" s="460"/>
      <c r="E627" s="460"/>
      <c r="F627" s="456"/>
      <c r="G627" s="460"/>
      <c r="H627" s="460"/>
      <c r="I627" s="460"/>
      <c r="J627" s="459" t="s">
        <v>881</v>
      </c>
    </row>
    <row r="629" spans="1:10">
      <c r="B629" s="453" t="s">
        <v>816</v>
      </c>
    </row>
    <row r="630" spans="1:10">
      <c r="C630" s="453" t="s">
        <v>429</v>
      </c>
      <c r="E630" s="458">
        <v>7.5992771546960457E-3</v>
      </c>
    </row>
    <row r="631" spans="1:10">
      <c r="C631" s="453" t="s">
        <v>815</v>
      </c>
      <c r="E631" s="458">
        <v>7.5992771546960455E-4</v>
      </c>
    </row>
    <row r="632" spans="1:10">
      <c r="E632" s="457"/>
    </row>
    <row r="633" spans="1:10">
      <c r="E633" s="457"/>
    </row>
    <row r="637" spans="1:10">
      <c r="A637" s="460" t="s">
        <v>880</v>
      </c>
      <c r="B637" s="460"/>
      <c r="C637" s="460"/>
      <c r="D637" s="460"/>
      <c r="E637" s="460"/>
      <c r="F637" s="456"/>
      <c r="G637" s="460"/>
      <c r="H637" s="460"/>
      <c r="I637" s="460"/>
      <c r="J637" s="459" t="s">
        <v>879</v>
      </c>
    </row>
    <row r="639" spans="1:10">
      <c r="B639" s="453" t="s">
        <v>816</v>
      </c>
    </row>
    <row r="640" spans="1:10">
      <c r="C640" s="453" t="s">
        <v>429</v>
      </c>
      <c r="E640" s="462">
        <v>-2.3670347116980586E-3</v>
      </c>
    </row>
    <row r="641" spans="1:10">
      <c r="C641" s="453" t="s">
        <v>815</v>
      </c>
      <c r="E641" s="462">
        <v>1E-3</v>
      </c>
    </row>
    <row r="642" spans="1:10">
      <c r="E642" s="457"/>
    </row>
    <row r="643" spans="1:10">
      <c r="E643" s="457"/>
    </row>
    <row r="647" spans="1:10">
      <c r="A647" s="460" t="s">
        <v>878</v>
      </c>
      <c r="B647" s="460"/>
      <c r="C647" s="460"/>
      <c r="D647" s="460"/>
      <c r="E647" s="460"/>
      <c r="F647" s="456"/>
      <c r="G647" s="460"/>
      <c r="H647" s="460"/>
      <c r="I647" s="460"/>
      <c r="J647" s="459" t="s">
        <v>877</v>
      </c>
    </row>
    <row r="649" spans="1:10">
      <c r="B649" s="453" t="s">
        <v>816</v>
      </c>
    </row>
    <row r="650" spans="1:10">
      <c r="C650" s="453" t="s">
        <v>429</v>
      </c>
      <c r="E650" s="462">
        <v>-2.3670347116980586E-3</v>
      </c>
    </row>
    <row r="651" spans="1:10">
      <c r="C651" s="453" t="s">
        <v>815</v>
      </c>
      <c r="E651" s="462">
        <v>2.3670347116980586E-4</v>
      </c>
    </row>
    <row r="652" spans="1:10">
      <c r="E652" s="457"/>
    </row>
    <row r="653" spans="1:10">
      <c r="E653" s="457"/>
    </row>
    <row r="657" spans="1:10">
      <c r="A657" s="460" t="s">
        <v>876</v>
      </c>
      <c r="B657" s="460"/>
      <c r="C657" s="460"/>
      <c r="D657" s="460"/>
      <c r="E657" s="460"/>
      <c r="F657" s="456"/>
      <c r="G657" s="460"/>
      <c r="H657" s="460"/>
      <c r="I657" s="460"/>
      <c r="J657" s="459" t="s">
        <v>875</v>
      </c>
    </row>
    <row r="659" spans="1:10">
      <c r="B659" s="453" t="s">
        <v>843</v>
      </c>
    </row>
    <row r="660" spans="1:10">
      <c r="C660" s="453" t="s">
        <v>781</v>
      </c>
      <c r="E660" s="462">
        <v>0.11</v>
      </c>
    </row>
    <row r="661" spans="1:10">
      <c r="C661" s="453" t="s">
        <v>782</v>
      </c>
      <c r="E661" s="462">
        <v>0.18</v>
      </c>
    </row>
    <row r="662" spans="1:10">
      <c r="E662" s="457"/>
    </row>
    <row r="663" spans="1:10">
      <c r="E663" s="457"/>
    </row>
    <row r="667" spans="1:10">
      <c r="A667" s="460" t="s">
        <v>874</v>
      </c>
      <c r="B667" s="460"/>
      <c r="C667" s="460"/>
      <c r="D667" s="460"/>
      <c r="E667" s="460"/>
      <c r="F667" s="456"/>
      <c r="G667" s="460"/>
      <c r="H667" s="460"/>
      <c r="I667" s="460"/>
      <c r="J667" s="459" t="s">
        <v>873</v>
      </c>
    </row>
    <row r="669" spans="1:10">
      <c r="B669" s="453" t="s">
        <v>843</v>
      </c>
    </row>
    <row r="670" spans="1:10">
      <c r="C670" s="453" t="s">
        <v>781</v>
      </c>
      <c r="E670" s="462">
        <v>0.13923776980191141</v>
      </c>
    </row>
    <row r="671" spans="1:10">
      <c r="C671" s="453" t="s">
        <v>782</v>
      </c>
      <c r="E671" s="462">
        <v>0.43</v>
      </c>
    </row>
    <row r="672" spans="1:10">
      <c r="E672" s="457"/>
    </row>
    <row r="673" spans="1:10">
      <c r="E673" s="457"/>
    </row>
    <row r="677" spans="1:10">
      <c r="A677" s="460" t="s">
        <v>872</v>
      </c>
      <c r="B677" s="460"/>
      <c r="C677" s="460"/>
      <c r="D677" s="460"/>
      <c r="E677" s="460"/>
      <c r="F677" s="456"/>
      <c r="G677" s="460"/>
      <c r="H677" s="460"/>
      <c r="I677" s="460"/>
      <c r="J677" s="459" t="s">
        <v>871</v>
      </c>
    </row>
    <row r="679" spans="1:10">
      <c r="B679" s="453" t="s">
        <v>816</v>
      </c>
    </row>
    <row r="680" spans="1:10">
      <c r="C680" s="453" t="s">
        <v>429</v>
      </c>
      <c r="E680" s="462">
        <v>-8.0919964099763382E-3</v>
      </c>
    </row>
    <row r="681" spans="1:10">
      <c r="C681" s="453" t="s">
        <v>815</v>
      </c>
      <c r="E681" s="462">
        <v>1E-3</v>
      </c>
    </row>
    <row r="682" spans="1:10">
      <c r="E682" s="457"/>
    </row>
    <row r="683" spans="1:10">
      <c r="E683" s="457"/>
    </row>
    <row r="687" spans="1:10">
      <c r="A687" s="460" t="s">
        <v>870</v>
      </c>
      <c r="B687" s="460"/>
      <c r="C687" s="460"/>
      <c r="D687" s="460"/>
      <c r="E687" s="460"/>
      <c r="F687" s="456"/>
      <c r="G687" s="460"/>
      <c r="H687" s="460"/>
      <c r="I687" s="460"/>
      <c r="J687" s="459" t="s">
        <v>869</v>
      </c>
    </row>
    <row r="689" spans="1:10">
      <c r="B689" s="453" t="s">
        <v>816</v>
      </c>
    </row>
    <row r="690" spans="1:10">
      <c r="C690" s="453" t="s">
        <v>429</v>
      </c>
      <c r="E690" s="462">
        <v>-8.0919964099763382E-3</v>
      </c>
    </row>
    <row r="691" spans="1:10">
      <c r="C691" s="453" t="s">
        <v>815</v>
      </c>
      <c r="E691" s="462">
        <v>8.091996409976338E-4</v>
      </c>
    </row>
    <row r="692" spans="1:10">
      <c r="E692" s="457"/>
    </row>
    <row r="693" spans="1:10">
      <c r="E693" s="457"/>
    </row>
    <row r="697" spans="1:10">
      <c r="A697" s="460" t="s">
        <v>824</v>
      </c>
      <c r="B697" s="460"/>
      <c r="C697" s="460"/>
      <c r="D697" s="460"/>
      <c r="E697" s="460"/>
      <c r="F697" s="456"/>
      <c r="G697" s="460"/>
      <c r="H697" s="460"/>
      <c r="I697" s="460"/>
      <c r="J697" s="459" t="s">
        <v>868</v>
      </c>
    </row>
    <row r="699" spans="1:10">
      <c r="B699" s="453" t="s">
        <v>816</v>
      </c>
    </row>
    <row r="700" spans="1:10">
      <c r="C700" s="453" t="s">
        <v>429</v>
      </c>
      <c r="E700" s="461">
        <v>0.22973515272238387</v>
      </c>
    </row>
    <row r="701" spans="1:10">
      <c r="C701" s="453" t="s">
        <v>815</v>
      </c>
      <c r="E701" s="461">
        <v>2.2973515272238388E-2</v>
      </c>
    </row>
    <row r="702" spans="1:10">
      <c r="E702" s="457"/>
    </row>
    <row r="703" spans="1:10">
      <c r="E703" s="457"/>
    </row>
    <row r="707" spans="1:10">
      <c r="A707" s="460" t="s">
        <v>867</v>
      </c>
      <c r="B707" s="460"/>
      <c r="C707" s="460"/>
      <c r="D707" s="460"/>
      <c r="E707" s="460"/>
      <c r="F707" s="456"/>
      <c r="G707" s="460"/>
      <c r="H707" s="460"/>
      <c r="I707" s="460"/>
      <c r="J707" s="459" t="s">
        <v>866</v>
      </c>
    </row>
    <row r="709" spans="1:10">
      <c r="B709" s="453" t="s">
        <v>816</v>
      </c>
    </row>
    <row r="710" spans="1:10">
      <c r="C710" s="453" t="s">
        <v>429</v>
      </c>
      <c r="E710" s="461">
        <v>9.1363297736570925E-2</v>
      </c>
    </row>
    <row r="711" spans="1:10">
      <c r="C711" s="453" t="s">
        <v>815</v>
      </c>
      <c r="E711" s="461">
        <v>9.1363297736570918E-3</v>
      </c>
    </row>
    <row r="712" spans="1:10">
      <c r="E712" s="457"/>
    </row>
    <row r="713" spans="1:10">
      <c r="E713" s="457"/>
    </row>
    <row r="717" spans="1:10">
      <c r="A717" s="460" t="s">
        <v>865</v>
      </c>
      <c r="B717" s="460"/>
      <c r="C717" s="460"/>
      <c r="D717" s="460"/>
      <c r="E717" s="460"/>
      <c r="F717" s="456"/>
      <c r="G717" s="460"/>
      <c r="H717" s="460"/>
      <c r="I717" s="460"/>
      <c r="J717" s="459" t="s">
        <v>864</v>
      </c>
    </row>
    <row r="719" spans="1:10">
      <c r="B719" s="453" t="s">
        <v>816</v>
      </c>
    </row>
    <row r="720" spans="1:10">
      <c r="C720" s="453" t="s">
        <v>429</v>
      </c>
      <c r="E720" s="458">
        <v>4.1528147123543824E-3</v>
      </c>
    </row>
    <row r="721" spans="1:10">
      <c r="C721" s="453" t="s">
        <v>815</v>
      </c>
      <c r="E721" s="458">
        <v>4.1528147123543824E-4</v>
      </c>
    </row>
    <row r="722" spans="1:10">
      <c r="E722" s="457"/>
    </row>
    <row r="723" spans="1:10">
      <c r="E723" s="457"/>
    </row>
    <row r="727" spans="1:10">
      <c r="A727" s="460" t="s">
        <v>863</v>
      </c>
      <c r="B727" s="460"/>
      <c r="C727" s="460"/>
      <c r="D727" s="460"/>
      <c r="E727" s="460"/>
      <c r="F727" s="456"/>
      <c r="G727" s="460"/>
      <c r="H727" s="460"/>
      <c r="I727" s="460"/>
      <c r="J727" s="459" t="s">
        <v>862</v>
      </c>
    </row>
    <row r="729" spans="1:10">
      <c r="B729" s="453" t="s">
        <v>816</v>
      </c>
    </row>
    <row r="730" spans="1:10">
      <c r="C730" s="453" t="s">
        <v>429</v>
      </c>
      <c r="E730" s="462">
        <v>6.3059441274082376E-3</v>
      </c>
    </row>
    <row r="731" spans="1:10">
      <c r="C731" s="453" t="s">
        <v>815</v>
      </c>
      <c r="E731" s="462">
        <v>6.3059441274082378E-4</v>
      </c>
    </row>
    <row r="732" spans="1:10">
      <c r="E732" s="457"/>
    </row>
    <row r="733" spans="1:10">
      <c r="E733" s="457"/>
    </row>
    <row r="737" spans="1:10">
      <c r="A737" s="460" t="s">
        <v>861</v>
      </c>
      <c r="B737" s="460"/>
      <c r="C737" s="460"/>
      <c r="D737" s="460"/>
      <c r="E737" s="460"/>
      <c r="F737" s="456"/>
      <c r="G737" s="460"/>
      <c r="H737" s="460"/>
      <c r="I737" s="460"/>
      <c r="J737" s="459" t="s">
        <v>860</v>
      </c>
    </row>
    <row r="739" spans="1:10">
      <c r="B739" s="453" t="s">
        <v>816</v>
      </c>
    </row>
    <row r="740" spans="1:10">
      <c r="C740" s="453" t="s">
        <v>429</v>
      </c>
      <c r="E740" s="462">
        <v>-5.716596011945593E-3</v>
      </c>
    </row>
    <row r="741" spans="1:10">
      <c r="C741" s="453" t="s">
        <v>815</v>
      </c>
      <c r="E741" s="462">
        <v>5.7165960119455927E-4</v>
      </c>
    </row>
    <row r="742" spans="1:10">
      <c r="E742" s="457"/>
    </row>
    <row r="743" spans="1:10">
      <c r="E743" s="457"/>
    </row>
    <row r="747" spans="1:10">
      <c r="A747" s="460" t="s">
        <v>859</v>
      </c>
      <c r="B747" s="460"/>
      <c r="C747" s="460"/>
      <c r="D747" s="460"/>
      <c r="E747" s="460"/>
      <c r="F747" s="456"/>
      <c r="G747" s="460"/>
      <c r="H747" s="460"/>
      <c r="I747" s="460"/>
      <c r="J747" s="459" t="s">
        <v>858</v>
      </c>
    </row>
    <row r="749" spans="1:10">
      <c r="B749" s="453" t="s">
        <v>816</v>
      </c>
    </row>
    <row r="750" spans="1:10">
      <c r="C750" s="453" t="s">
        <v>429</v>
      </c>
      <c r="E750" s="462">
        <v>-5.8876063913510281E-2</v>
      </c>
    </row>
    <row r="751" spans="1:10">
      <c r="C751" s="453" t="s">
        <v>815</v>
      </c>
      <c r="E751" s="462">
        <v>5.8876063913510281E-3</v>
      </c>
    </row>
    <row r="752" spans="1:10">
      <c r="E752" s="457"/>
    </row>
    <row r="753" spans="1:10">
      <c r="E753" s="457"/>
    </row>
    <row r="757" spans="1:10">
      <c r="A757" s="460" t="s">
        <v>857</v>
      </c>
      <c r="B757" s="460"/>
      <c r="C757" s="460"/>
      <c r="D757" s="460"/>
      <c r="E757" s="460"/>
      <c r="F757" s="456"/>
      <c r="G757" s="460"/>
      <c r="H757" s="460"/>
      <c r="I757" s="460"/>
      <c r="J757" s="459" t="s">
        <v>856</v>
      </c>
    </row>
    <row r="759" spans="1:10">
      <c r="B759" s="453" t="s">
        <v>816</v>
      </c>
    </row>
    <row r="760" spans="1:10">
      <c r="C760" s="453" t="s">
        <v>429</v>
      </c>
      <c r="E760" s="462">
        <v>-5.8876063913510281E-2</v>
      </c>
    </row>
    <row r="761" spans="1:10">
      <c r="C761" s="453" t="s">
        <v>815</v>
      </c>
      <c r="E761" s="462">
        <v>5.8876063913510281E-3</v>
      </c>
    </row>
    <row r="762" spans="1:10">
      <c r="E762" s="457"/>
    </row>
    <row r="763" spans="1:10">
      <c r="E763" s="457"/>
    </row>
    <row r="767" spans="1:10">
      <c r="A767" s="460" t="s">
        <v>855</v>
      </c>
      <c r="B767" s="460"/>
      <c r="C767" s="460"/>
      <c r="D767" s="460"/>
      <c r="E767" s="460"/>
      <c r="F767" s="456"/>
      <c r="G767" s="460"/>
      <c r="H767" s="460"/>
      <c r="I767" s="460"/>
      <c r="J767" s="459" t="s">
        <v>854</v>
      </c>
    </row>
    <row r="769" spans="1:10">
      <c r="B769" s="453" t="s">
        <v>816</v>
      </c>
    </row>
    <row r="770" spans="1:10">
      <c r="C770" s="453" t="s">
        <v>429</v>
      </c>
      <c r="E770" s="462">
        <v>2.9951923298960192E-2</v>
      </c>
    </row>
    <row r="771" spans="1:10">
      <c r="C771" s="453" t="s">
        <v>815</v>
      </c>
      <c r="E771" s="462">
        <v>2.9951923298960192E-3</v>
      </c>
    </row>
    <row r="772" spans="1:10">
      <c r="E772" s="457"/>
    </row>
    <row r="773" spans="1:10">
      <c r="E773" s="457"/>
    </row>
    <row r="777" spans="1:10">
      <c r="A777" s="460" t="s">
        <v>853</v>
      </c>
      <c r="B777" s="460"/>
      <c r="C777" s="460"/>
      <c r="D777" s="460"/>
      <c r="E777" s="460"/>
      <c r="F777" s="456"/>
      <c r="G777" s="460"/>
      <c r="H777" s="460"/>
      <c r="I777" s="460"/>
      <c r="J777" s="459" t="s">
        <v>852</v>
      </c>
    </row>
    <row r="779" spans="1:10">
      <c r="B779" s="453" t="s">
        <v>843</v>
      </c>
    </row>
    <row r="780" spans="1:10">
      <c r="C780" s="453" t="s">
        <v>781</v>
      </c>
      <c r="E780" s="462">
        <v>0</v>
      </c>
    </row>
    <row r="781" spans="1:10">
      <c r="C781" s="453" t="s">
        <v>782</v>
      </c>
      <c r="E781" s="462">
        <v>0.08</v>
      </c>
    </row>
    <row r="782" spans="1:10">
      <c r="E782" s="457"/>
    </row>
    <row r="783" spans="1:10">
      <c r="E783" s="457"/>
    </row>
    <row r="787" spans="1:10">
      <c r="A787" s="460" t="s">
        <v>851</v>
      </c>
      <c r="B787" s="460"/>
      <c r="C787" s="460"/>
      <c r="D787" s="460"/>
      <c r="E787" s="460"/>
      <c r="F787" s="456"/>
      <c r="G787" s="460"/>
      <c r="H787" s="460"/>
      <c r="I787" s="460"/>
      <c r="J787" s="459" t="s">
        <v>850</v>
      </c>
    </row>
    <row r="789" spans="1:10">
      <c r="B789" s="453" t="s">
        <v>816</v>
      </c>
    </row>
    <row r="790" spans="1:10">
      <c r="C790" s="453" t="s">
        <v>429</v>
      </c>
      <c r="E790" s="462">
        <v>2.8254277389950233E-2</v>
      </c>
    </row>
    <row r="791" spans="1:10">
      <c r="C791" s="453" t="s">
        <v>815</v>
      </c>
      <c r="E791" s="462">
        <v>2.8254277389950233E-3</v>
      </c>
    </row>
    <row r="792" spans="1:10">
      <c r="E792" s="457"/>
    </row>
    <row r="793" spans="1:10">
      <c r="E793" s="457"/>
    </row>
    <row r="797" spans="1:10">
      <c r="A797" s="460" t="s">
        <v>849</v>
      </c>
      <c r="B797" s="460"/>
      <c r="C797" s="460"/>
      <c r="D797" s="460"/>
      <c r="E797" s="460"/>
      <c r="F797" s="456"/>
      <c r="G797" s="460"/>
      <c r="H797" s="460"/>
      <c r="I797" s="460"/>
      <c r="J797" s="459" t="s">
        <v>848</v>
      </c>
    </row>
    <row r="799" spans="1:10">
      <c r="B799" s="453" t="s">
        <v>816</v>
      </c>
    </row>
    <row r="800" spans="1:10">
      <c r="C800" s="453" t="s">
        <v>429</v>
      </c>
      <c r="E800" s="462">
        <v>0.10318678070339327</v>
      </c>
    </row>
    <row r="801" spans="1:10">
      <c r="C801" s="453" t="s">
        <v>815</v>
      </c>
      <c r="E801" s="462">
        <v>1.0318678070339326E-2</v>
      </c>
    </row>
    <row r="802" spans="1:10">
      <c r="E802" s="457"/>
    </row>
    <row r="803" spans="1:10">
      <c r="E803" s="457"/>
    </row>
    <row r="807" spans="1:10">
      <c r="A807" s="460" t="s">
        <v>847</v>
      </c>
      <c r="B807" s="460"/>
      <c r="C807" s="460"/>
      <c r="D807" s="460"/>
      <c r="E807" s="460"/>
      <c r="F807" s="456"/>
      <c r="G807" s="460"/>
      <c r="H807" s="460"/>
      <c r="I807" s="460"/>
      <c r="J807" s="459" t="s">
        <v>846</v>
      </c>
    </row>
    <row r="809" spans="1:10">
      <c r="B809" s="453" t="s">
        <v>816</v>
      </c>
    </row>
    <row r="810" spans="1:10">
      <c r="C810" s="453" t="s">
        <v>429</v>
      </c>
      <c r="E810" s="462">
        <v>1.1774719465622904E-2</v>
      </c>
    </row>
    <row r="811" spans="1:10">
      <c r="C811" s="453" t="s">
        <v>815</v>
      </c>
      <c r="E811" s="462">
        <v>1.1774719465622904E-3</v>
      </c>
    </row>
    <row r="812" spans="1:10">
      <c r="E812" s="457"/>
    </row>
    <row r="813" spans="1:10">
      <c r="E813" s="457"/>
    </row>
    <row r="817" spans="1:10">
      <c r="A817" s="460" t="s">
        <v>845</v>
      </c>
      <c r="B817" s="460"/>
      <c r="C817" s="460"/>
      <c r="D817" s="460"/>
      <c r="E817" s="460"/>
      <c r="F817" s="456"/>
      <c r="G817" s="460"/>
      <c r="H817" s="460"/>
      <c r="I817" s="460"/>
      <c r="J817" s="459" t="s">
        <v>844</v>
      </c>
    </row>
    <row r="819" spans="1:10">
      <c r="B819" s="453" t="s">
        <v>843</v>
      </c>
    </row>
    <row r="820" spans="1:10">
      <c r="C820" s="453" t="s">
        <v>781</v>
      </c>
      <c r="E820" s="462">
        <v>-0.14000000000000001</v>
      </c>
    </row>
    <row r="821" spans="1:10">
      <c r="C821" s="453" t="s">
        <v>782</v>
      </c>
      <c r="E821" s="462">
        <v>0.03</v>
      </c>
    </row>
    <row r="822" spans="1:10">
      <c r="E822" s="457"/>
    </row>
    <row r="823" spans="1:10">
      <c r="E823" s="457"/>
    </row>
    <row r="827" spans="1:10">
      <c r="A827" s="460" t="s">
        <v>842</v>
      </c>
      <c r="B827" s="460"/>
      <c r="C827" s="460"/>
      <c r="D827" s="460"/>
      <c r="E827" s="460"/>
      <c r="F827" s="456"/>
      <c r="G827" s="460"/>
      <c r="H827" s="460"/>
      <c r="I827" s="460"/>
      <c r="J827" s="459" t="s">
        <v>841</v>
      </c>
    </row>
    <row r="829" spans="1:10">
      <c r="B829" s="453" t="s">
        <v>816</v>
      </c>
    </row>
    <row r="830" spans="1:10">
      <c r="C830" s="453" t="s">
        <v>429</v>
      </c>
      <c r="E830" s="462">
        <v>-0.76313160448303363</v>
      </c>
    </row>
    <row r="831" spans="1:10">
      <c r="C831" s="453" t="s">
        <v>815</v>
      </c>
      <c r="E831" s="462">
        <v>7.6313160448303358E-2</v>
      </c>
    </row>
    <row r="832" spans="1:10">
      <c r="E832" s="457"/>
    </row>
    <row r="833" spans="1:10">
      <c r="E833" s="457"/>
    </row>
    <row r="837" spans="1:10">
      <c r="A837" s="460" t="s">
        <v>840</v>
      </c>
      <c r="B837" s="460"/>
      <c r="C837" s="460"/>
      <c r="D837" s="460"/>
      <c r="E837" s="460"/>
      <c r="F837" s="456"/>
      <c r="G837" s="460"/>
      <c r="H837" s="460"/>
      <c r="I837" s="460"/>
      <c r="J837" s="459" t="s">
        <v>839</v>
      </c>
    </row>
    <row r="839" spans="1:10">
      <c r="B839" s="453" t="s">
        <v>816</v>
      </c>
    </row>
    <row r="840" spans="1:10">
      <c r="C840" s="453" t="s">
        <v>429</v>
      </c>
      <c r="E840" s="462">
        <v>-0.76313160448303363</v>
      </c>
    </row>
    <row r="841" spans="1:10">
      <c r="C841" s="453" t="s">
        <v>815</v>
      </c>
      <c r="E841" s="462">
        <v>7.6313160448303358E-2</v>
      </c>
    </row>
    <row r="842" spans="1:10">
      <c r="E842" s="457"/>
    </row>
    <row r="843" spans="1:10">
      <c r="E843" s="457"/>
    </row>
    <row r="847" spans="1:10">
      <c r="A847" s="460" t="s">
        <v>838</v>
      </c>
      <c r="B847" s="460"/>
      <c r="C847" s="460"/>
      <c r="D847" s="460"/>
      <c r="E847" s="460"/>
      <c r="F847" s="456"/>
      <c r="G847" s="460"/>
      <c r="H847" s="460"/>
      <c r="I847" s="460"/>
      <c r="J847" s="459" t="s">
        <v>837</v>
      </c>
    </row>
    <row r="849" spans="1:10">
      <c r="B849" s="453" t="s">
        <v>816</v>
      </c>
    </row>
    <row r="850" spans="1:10">
      <c r="C850" s="453" t="s">
        <v>429</v>
      </c>
      <c r="E850" s="462">
        <v>5.0064988205844128E-3</v>
      </c>
    </row>
    <row r="851" spans="1:10">
      <c r="C851" s="453" t="s">
        <v>815</v>
      </c>
      <c r="E851" s="462">
        <v>5.006498820584413E-4</v>
      </c>
    </row>
    <row r="852" spans="1:10">
      <c r="E852" s="457"/>
    </row>
    <row r="853" spans="1:10">
      <c r="E853" s="457"/>
    </row>
    <row r="857" spans="1:10">
      <c r="A857" s="460" t="s">
        <v>836</v>
      </c>
      <c r="B857" s="460"/>
      <c r="C857" s="460"/>
      <c r="D857" s="460"/>
      <c r="E857" s="460"/>
      <c r="F857" s="456"/>
      <c r="G857" s="460"/>
      <c r="H857" s="460"/>
      <c r="I857" s="460"/>
      <c r="J857" s="459" t="s">
        <v>835</v>
      </c>
    </row>
    <row r="859" spans="1:10">
      <c r="B859" s="453" t="s">
        <v>816</v>
      </c>
    </row>
    <row r="860" spans="1:10">
      <c r="C860" s="453" t="s">
        <v>429</v>
      </c>
      <c r="E860" s="462">
        <v>0.20816666666666667</v>
      </c>
    </row>
    <row r="861" spans="1:10">
      <c r="C861" s="453" t="s">
        <v>815</v>
      </c>
      <c r="E861" s="462">
        <v>2.0816666666666667E-2</v>
      </c>
    </row>
    <row r="862" spans="1:10">
      <c r="E862" s="457"/>
    </row>
    <row r="863" spans="1:10">
      <c r="E863" s="457"/>
    </row>
    <row r="867" spans="1:10">
      <c r="A867" s="460" t="s">
        <v>834</v>
      </c>
      <c r="B867" s="460"/>
      <c r="C867" s="460"/>
      <c r="D867" s="460"/>
      <c r="E867" s="460"/>
      <c r="F867" s="456"/>
      <c r="G867" s="460"/>
      <c r="H867" s="460"/>
      <c r="I867" s="460"/>
      <c r="J867" s="459" t="s">
        <v>833</v>
      </c>
    </row>
    <row r="869" spans="1:10">
      <c r="B869" s="453" t="s">
        <v>816</v>
      </c>
    </row>
    <row r="870" spans="1:10">
      <c r="C870" s="453" t="s">
        <v>429</v>
      </c>
      <c r="E870" s="462">
        <v>0.20816666666666667</v>
      </c>
    </row>
    <row r="871" spans="1:10">
      <c r="C871" s="453" t="s">
        <v>815</v>
      </c>
      <c r="E871" s="462">
        <v>2.0816666666666667E-2</v>
      </c>
    </row>
    <row r="872" spans="1:10">
      <c r="E872" s="457"/>
    </row>
    <row r="873" spans="1:10">
      <c r="E873" s="457"/>
    </row>
    <row r="877" spans="1:10">
      <c r="A877" s="460" t="s">
        <v>818</v>
      </c>
      <c r="B877" s="460"/>
      <c r="C877" s="460"/>
      <c r="D877" s="460"/>
      <c r="E877" s="460"/>
      <c r="F877" s="456"/>
      <c r="G877" s="460"/>
      <c r="H877" s="460"/>
      <c r="I877" s="460"/>
      <c r="J877" s="459" t="s">
        <v>832</v>
      </c>
    </row>
    <row r="879" spans="1:10">
      <c r="B879" s="453" t="s">
        <v>816</v>
      </c>
    </row>
    <row r="880" spans="1:10">
      <c r="C880" s="453" t="s">
        <v>429</v>
      </c>
      <c r="E880" s="458">
        <v>0.10329902063198657</v>
      </c>
    </row>
    <row r="881" spans="1:10">
      <c r="C881" s="453" t="s">
        <v>815</v>
      </c>
      <c r="E881" s="458">
        <v>1.0329902063198657E-2</v>
      </c>
    </row>
    <row r="882" spans="1:10">
      <c r="E882" s="457"/>
    </row>
    <row r="883" spans="1:10">
      <c r="E883" s="457"/>
    </row>
    <row r="887" spans="1:10">
      <c r="A887" s="460" t="s">
        <v>1236</v>
      </c>
    </row>
    <row r="889" spans="1:10">
      <c r="A889" s="460" t="s">
        <v>1043</v>
      </c>
      <c r="B889" s="460"/>
      <c r="C889" s="460"/>
      <c r="D889" s="460"/>
      <c r="E889" s="460"/>
      <c r="F889" s="456"/>
      <c r="G889" s="460"/>
      <c r="H889" s="460"/>
      <c r="I889" s="460"/>
      <c r="J889" s="459" t="s">
        <v>1042</v>
      </c>
    </row>
    <row r="891" spans="1:10">
      <c r="B891" s="453" t="s">
        <v>843</v>
      </c>
    </row>
    <row r="892" spans="1:10">
      <c r="C892" s="453" t="s">
        <v>781</v>
      </c>
      <c r="E892" s="466">
        <v>0.32803418547726437</v>
      </c>
      <c r="G892" s="453" t="s">
        <v>1041</v>
      </c>
    </row>
    <row r="893" spans="1:10">
      <c r="C893" s="453" t="s">
        <v>782</v>
      </c>
      <c r="E893" s="466">
        <v>28.568558393218467</v>
      </c>
      <c r="G893" s="453" t="s">
        <v>1040</v>
      </c>
    </row>
    <row r="894" spans="1:10">
      <c r="E894" s="457"/>
    </row>
    <row r="895" spans="1:10">
      <c r="E895" s="457"/>
    </row>
    <row r="902" spans="1:10">
      <c r="A902" s="460" t="s">
        <v>1039</v>
      </c>
      <c r="B902" s="460"/>
      <c r="C902" s="460"/>
      <c r="D902" s="460"/>
      <c r="E902" s="460"/>
      <c r="F902" s="456"/>
      <c r="G902" s="460"/>
      <c r="H902" s="460"/>
      <c r="I902" s="460"/>
      <c r="J902" s="459" t="s">
        <v>1038</v>
      </c>
    </row>
    <row r="904" spans="1:10">
      <c r="B904" s="453" t="s">
        <v>843</v>
      </c>
    </row>
    <row r="905" spans="1:10">
      <c r="C905" s="453" t="s">
        <v>781</v>
      </c>
      <c r="E905" s="466">
        <v>3.8102587461892048</v>
      </c>
      <c r="G905" s="453" t="s">
        <v>1037</v>
      </c>
    </row>
    <row r="906" spans="1:10">
      <c r="C906" s="453" t="s">
        <v>782</v>
      </c>
      <c r="E906" s="466">
        <v>21.057369474508398</v>
      </c>
      <c r="G906" s="453" t="s">
        <v>1036</v>
      </c>
    </row>
    <row r="907" spans="1:10">
      <c r="E907" s="457"/>
    </row>
    <row r="908" spans="1:10">
      <c r="E908" s="457"/>
    </row>
    <row r="915" spans="1:10">
      <c r="A915" s="460" t="s">
        <v>1035</v>
      </c>
      <c r="B915" s="460"/>
      <c r="C915" s="460"/>
      <c r="D915" s="460"/>
      <c r="E915" s="460"/>
      <c r="F915" s="456"/>
      <c r="G915" s="460"/>
      <c r="H915" s="460"/>
      <c r="I915" s="460"/>
      <c r="J915" s="459" t="s">
        <v>1034</v>
      </c>
    </row>
    <row r="917" spans="1:10">
      <c r="B917" s="453" t="s">
        <v>843</v>
      </c>
    </row>
    <row r="918" spans="1:10">
      <c r="C918" s="453" t="s">
        <v>781</v>
      </c>
      <c r="E918" s="466">
        <v>4.5999999999999996</v>
      </c>
      <c r="G918" s="453" t="s">
        <v>1033</v>
      </c>
    </row>
    <row r="919" spans="1:10">
      <c r="C919" s="453" t="s">
        <v>782</v>
      </c>
      <c r="E919" s="466">
        <v>20.9</v>
      </c>
      <c r="G919" s="453" t="s">
        <v>1032</v>
      </c>
    </row>
    <row r="920" spans="1:10">
      <c r="E920" s="457"/>
    </row>
    <row r="921" spans="1:10">
      <c r="E921" s="457"/>
    </row>
    <row r="928" spans="1:10">
      <c r="A928" s="460" t="s">
        <v>1031</v>
      </c>
      <c r="B928" s="460"/>
      <c r="C928" s="460"/>
      <c r="D928" s="460"/>
      <c r="E928" s="460"/>
      <c r="F928" s="456"/>
      <c r="G928" s="460"/>
      <c r="H928" s="460"/>
      <c r="I928" s="460"/>
      <c r="J928" s="459" t="s">
        <v>1028</v>
      </c>
    </row>
    <row r="930" spans="1:10">
      <c r="B930" s="453" t="s">
        <v>843</v>
      </c>
    </row>
    <row r="931" spans="1:10">
      <c r="C931" s="453" t="s">
        <v>781</v>
      </c>
      <c r="E931" s="466">
        <v>1.98</v>
      </c>
    </row>
    <row r="932" spans="1:10">
      <c r="C932" s="453" t="s">
        <v>782</v>
      </c>
      <c r="E932" s="466">
        <v>11.351391862955033</v>
      </c>
      <c r="G932" s="453" t="s">
        <v>1030</v>
      </c>
    </row>
    <row r="933" spans="1:10">
      <c r="E933" s="457"/>
    </row>
    <row r="934" spans="1:10">
      <c r="A934" s="460" t="s">
        <v>1029</v>
      </c>
      <c r="B934" s="460"/>
      <c r="C934" s="460"/>
      <c r="D934" s="460"/>
      <c r="E934" s="472"/>
      <c r="F934" s="456"/>
      <c r="G934" s="460"/>
      <c r="H934" s="460"/>
      <c r="I934" s="460"/>
      <c r="J934" s="459" t="s">
        <v>1028</v>
      </c>
    </row>
    <row r="943" spans="1:10">
      <c r="A943" s="460" t="s">
        <v>1027</v>
      </c>
      <c r="B943" s="460"/>
      <c r="C943" s="460"/>
      <c r="D943" s="460"/>
      <c r="E943" s="460"/>
      <c r="F943" s="456"/>
      <c r="G943" s="460"/>
      <c r="H943" s="460"/>
      <c r="I943" s="460"/>
      <c r="J943" s="459" t="s">
        <v>1026</v>
      </c>
    </row>
    <row r="945" spans="1:10">
      <c r="B945" s="453" t="s">
        <v>843</v>
      </c>
    </row>
    <row r="946" spans="1:10">
      <c r="C946" s="453" t="s">
        <v>781</v>
      </c>
      <c r="E946" s="466">
        <v>-2.2599999999999998</v>
      </c>
    </row>
    <row r="947" spans="1:10">
      <c r="C947" s="453" t="s">
        <v>782</v>
      </c>
      <c r="E947" s="466">
        <v>27.71</v>
      </c>
    </row>
    <row r="948" spans="1:10">
      <c r="E948" s="457"/>
    </row>
    <row r="949" spans="1:10">
      <c r="E949" s="457"/>
    </row>
    <row r="953" spans="1:10">
      <c r="A953" s="460" t="s">
        <v>1025</v>
      </c>
      <c r="B953" s="460"/>
      <c r="C953" s="460"/>
      <c r="D953" s="460"/>
      <c r="E953" s="460"/>
      <c r="F953" s="456"/>
      <c r="G953" s="460"/>
      <c r="H953" s="460"/>
      <c r="I953" s="460"/>
      <c r="J953" s="459" t="s">
        <v>1024</v>
      </c>
    </row>
    <row r="955" spans="1:10">
      <c r="B955" s="453" t="s">
        <v>843</v>
      </c>
    </row>
    <row r="956" spans="1:10">
      <c r="C956" s="453" t="s">
        <v>781</v>
      </c>
      <c r="E956" s="466">
        <v>-3.5885976822904366</v>
      </c>
      <c r="G956" s="453" t="s">
        <v>1023</v>
      </c>
    </row>
    <row r="957" spans="1:10">
      <c r="C957" s="453" t="s">
        <v>782</v>
      </c>
      <c r="E957" s="466">
        <v>9.4354324089223098</v>
      </c>
      <c r="G957" s="453" t="s">
        <v>1022</v>
      </c>
    </row>
    <row r="958" spans="1:10">
      <c r="E958" s="457"/>
    </row>
    <row r="959" spans="1:10">
      <c r="E959" s="457"/>
    </row>
    <row r="966" spans="1:10">
      <c r="A966" s="460" t="s">
        <v>1021</v>
      </c>
      <c r="B966" s="460"/>
      <c r="C966" s="460"/>
      <c r="D966" s="460"/>
      <c r="E966" s="460"/>
      <c r="F966" s="456"/>
      <c r="G966" s="460"/>
      <c r="H966" s="460"/>
      <c r="I966" s="460"/>
      <c r="J966" s="459" t="s">
        <v>1020</v>
      </c>
    </row>
    <row r="968" spans="1:10">
      <c r="B968" s="453" t="s">
        <v>816</v>
      </c>
    </row>
    <row r="969" spans="1:10">
      <c r="C969" s="453" t="s">
        <v>429</v>
      </c>
      <c r="E969" s="462">
        <v>0.2</v>
      </c>
    </row>
    <row r="970" spans="1:10">
      <c r="C970" s="453" t="s">
        <v>815</v>
      </c>
      <c r="E970" s="462">
        <v>0.02</v>
      </c>
    </row>
    <row r="971" spans="1:10">
      <c r="E971" s="457"/>
    </row>
    <row r="972" spans="1:10">
      <c r="E972" s="457"/>
    </row>
    <row r="976" spans="1:10">
      <c r="A976" s="460" t="s">
        <v>1019</v>
      </c>
      <c r="B976" s="460"/>
      <c r="C976" s="460"/>
      <c r="D976" s="460"/>
      <c r="E976" s="460"/>
      <c r="F976" s="456"/>
      <c r="G976" s="460"/>
      <c r="H976" s="460"/>
      <c r="I976" s="460"/>
      <c r="J976" s="459" t="s">
        <v>1018</v>
      </c>
    </row>
    <row r="978" spans="1:10">
      <c r="B978" s="453" t="s">
        <v>816</v>
      </c>
    </row>
    <row r="979" spans="1:10">
      <c r="C979" s="453" t="s">
        <v>429</v>
      </c>
      <c r="E979" s="462">
        <v>0.2</v>
      </c>
    </row>
    <row r="980" spans="1:10">
      <c r="C980" s="453" t="s">
        <v>815</v>
      </c>
      <c r="E980" s="462">
        <v>0.02</v>
      </c>
    </row>
    <row r="981" spans="1:10">
      <c r="E981" s="457"/>
    </row>
    <row r="982" spans="1:10">
      <c r="E982" s="457"/>
    </row>
    <row r="986" spans="1:10">
      <c r="A986" s="460" t="s">
        <v>1017</v>
      </c>
      <c r="B986" s="460"/>
      <c r="C986" s="460"/>
      <c r="D986" s="460"/>
      <c r="E986" s="460"/>
      <c r="F986" s="456"/>
      <c r="G986" s="460"/>
      <c r="H986" s="460"/>
      <c r="I986" s="460"/>
      <c r="J986" s="459" t="s">
        <v>1016</v>
      </c>
    </row>
    <row r="988" spans="1:10">
      <c r="B988" s="453" t="s">
        <v>816</v>
      </c>
    </row>
    <row r="989" spans="1:10">
      <c r="C989" s="453" t="s">
        <v>429</v>
      </c>
      <c r="E989" s="462">
        <v>0.1</v>
      </c>
    </row>
    <row r="990" spans="1:10">
      <c r="C990" s="453" t="s">
        <v>815</v>
      </c>
      <c r="E990" s="462">
        <v>0.01</v>
      </c>
    </row>
    <row r="991" spans="1:10">
      <c r="E991" s="457"/>
    </row>
    <row r="992" spans="1:10">
      <c r="E992" s="457"/>
    </row>
    <row r="996" spans="1:10">
      <c r="A996" s="460" t="s">
        <v>1015</v>
      </c>
      <c r="B996" s="460"/>
      <c r="C996" s="460"/>
      <c r="D996" s="460"/>
      <c r="E996" s="460"/>
      <c r="F996" s="456"/>
      <c r="G996" s="460"/>
      <c r="H996" s="460"/>
      <c r="I996" s="460"/>
      <c r="J996" s="459" t="s">
        <v>1014</v>
      </c>
    </row>
    <row r="998" spans="1:10">
      <c r="B998" s="453" t="s">
        <v>816</v>
      </c>
    </row>
    <row r="999" spans="1:10">
      <c r="C999" s="453" t="s">
        <v>429</v>
      </c>
      <c r="E999" s="462">
        <v>0.15</v>
      </c>
    </row>
    <row r="1000" spans="1:10">
      <c r="C1000" s="453" t="s">
        <v>815</v>
      </c>
      <c r="E1000" s="462">
        <v>1.4999999999999999E-2</v>
      </c>
    </row>
    <row r="1001" spans="1:10">
      <c r="E1001" s="457"/>
    </row>
    <row r="1002" spans="1:10">
      <c r="E1002" s="457"/>
    </row>
    <row r="1006" spans="1:10">
      <c r="A1006" s="460" t="s">
        <v>1013</v>
      </c>
      <c r="B1006" s="460"/>
      <c r="C1006" s="460"/>
      <c r="D1006" s="460"/>
      <c r="E1006" s="460"/>
      <c r="F1006" s="456"/>
      <c r="G1006" s="460"/>
      <c r="H1006" s="460"/>
      <c r="I1006" s="460"/>
      <c r="J1006" s="459" t="s">
        <v>1012</v>
      </c>
    </row>
    <row r="1008" spans="1:10">
      <c r="B1008" s="453" t="s">
        <v>816</v>
      </c>
    </row>
    <row r="1009" spans="1:10">
      <c r="C1009" s="453" t="s">
        <v>429</v>
      </c>
      <c r="E1009" s="462">
        <v>0.2</v>
      </c>
    </row>
    <row r="1010" spans="1:10">
      <c r="C1010" s="453" t="s">
        <v>815</v>
      </c>
      <c r="E1010" s="462">
        <v>0.02</v>
      </c>
    </row>
    <row r="1011" spans="1:10">
      <c r="E1011" s="457"/>
    </row>
    <row r="1012" spans="1:10">
      <c r="E1012" s="457"/>
    </row>
    <row r="1016" spans="1:10">
      <c r="A1016" s="460" t="s">
        <v>1011</v>
      </c>
      <c r="B1016" s="460"/>
      <c r="C1016" s="460"/>
      <c r="D1016" s="460"/>
      <c r="E1016" s="460"/>
      <c r="F1016" s="456"/>
      <c r="G1016" s="460"/>
      <c r="H1016" s="460"/>
      <c r="I1016" s="460"/>
      <c r="J1016" s="459" t="s">
        <v>1010</v>
      </c>
    </row>
    <row r="1018" spans="1:10">
      <c r="B1018" s="453" t="s">
        <v>816</v>
      </c>
    </row>
    <row r="1019" spans="1:10">
      <c r="C1019" s="453" t="s">
        <v>429</v>
      </c>
      <c r="E1019" s="462">
        <v>0.15</v>
      </c>
    </row>
    <row r="1020" spans="1:10">
      <c r="C1020" s="453" t="s">
        <v>815</v>
      </c>
      <c r="E1020" s="462">
        <v>1.4999999999999999E-2</v>
      </c>
    </row>
    <row r="1021" spans="1:10">
      <c r="E1021" s="457"/>
    </row>
    <row r="1022" spans="1:10">
      <c r="E1022" s="457"/>
    </row>
    <row r="1026" spans="1:10">
      <c r="A1026" s="460" t="s">
        <v>1235</v>
      </c>
    </row>
    <row r="1028" spans="1:10">
      <c r="A1028" s="460" t="s">
        <v>830</v>
      </c>
      <c r="B1028" s="460"/>
      <c r="C1028" s="460"/>
      <c r="D1028" s="460"/>
      <c r="E1028" s="460"/>
      <c r="F1028" s="456"/>
      <c r="G1028" s="460"/>
      <c r="H1028" s="460"/>
      <c r="I1028" s="460"/>
      <c r="J1028" s="459" t="s">
        <v>829</v>
      </c>
    </row>
    <row r="1030" spans="1:10">
      <c r="B1030" s="453" t="s">
        <v>816</v>
      </c>
    </row>
    <row r="1031" spans="1:10">
      <c r="C1031" s="453" t="s">
        <v>429</v>
      </c>
      <c r="E1031" s="461">
        <v>4.9083316512498865E-2</v>
      </c>
    </row>
    <row r="1032" spans="1:10">
      <c r="C1032" s="453" t="s">
        <v>815</v>
      </c>
      <c r="E1032" s="461">
        <v>1.4999999999999999E-2</v>
      </c>
    </row>
    <row r="1033" spans="1:10">
      <c r="E1033" s="457"/>
    </row>
    <row r="1034" spans="1:10">
      <c r="E1034" s="457"/>
    </row>
    <row r="1038" spans="1:10">
      <c r="A1038" s="460" t="s">
        <v>828</v>
      </c>
      <c r="B1038" s="460"/>
      <c r="C1038" s="460"/>
      <c r="D1038" s="460"/>
      <c r="E1038" s="460"/>
      <c r="F1038" s="456"/>
      <c r="G1038" s="460"/>
      <c r="H1038" s="460"/>
      <c r="I1038" s="460"/>
      <c r="J1038" s="459" t="s">
        <v>827</v>
      </c>
    </row>
    <row r="1040" spans="1:10">
      <c r="B1040" s="453" t="s">
        <v>816</v>
      </c>
    </row>
    <row r="1041" spans="1:10">
      <c r="C1041" s="453" t="s">
        <v>429</v>
      </c>
      <c r="E1041" s="461">
        <v>9.1363297736570925E-2</v>
      </c>
    </row>
    <row r="1042" spans="1:10">
      <c r="C1042" s="453" t="s">
        <v>815</v>
      </c>
      <c r="E1042" s="461">
        <v>0.02</v>
      </c>
    </row>
    <row r="1043" spans="1:10">
      <c r="E1043" s="457"/>
    </row>
    <row r="1044" spans="1:10">
      <c r="E1044" s="457"/>
    </row>
    <row r="1048" spans="1:10">
      <c r="A1048" s="460" t="s">
        <v>826</v>
      </c>
      <c r="B1048" s="460"/>
      <c r="C1048" s="460"/>
      <c r="D1048" s="460"/>
      <c r="E1048" s="460"/>
      <c r="F1048" s="456"/>
      <c r="G1048" s="460"/>
      <c r="H1048" s="460"/>
      <c r="I1048" s="460"/>
      <c r="J1048" s="459" t="s">
        <v>825</v>
      </c>
    </row>
    <row r="1050" spans="1:10">
      <c r="B1050" s="453" t="s">
        <v>816</v>
      </c>
    </row>
    <row r="1051" spans="1:10">
      <c r="C1051" s="453" t="s">
        <v>429</v>
      </c>
      <c r="E1051" s="461">
        <v>0.30675290302434066</v>
      </c>
    </row>
    <row r="1052" spans="1:10">
      <c r="C1052" s="453" t="s">
        <v>815</v>
      </c>
      <c r="E1052" s="461">
        <v>5.0999999999999997E-2</v>
      </c>
    </row>
    <row r="1053" spans="1:10">
      <c r="E1053" s="457"/>
    </row>
    <row r="1054" spans="1:10">
      <c r="E1054" s="457"/>
    </row>
    <row r="1058" spans="1:10">
      <c r="A1058" s="460" t="s">
        <v>824</v>
      </c>
      <c r="B1058" s="460"/>
      <c r="C1058" s="460"/>
      <c r="D1058" s="460"/>
      <c r="E1058" s="460"/>
      <c r="F1058" s="456"/>
      <c r="G1058" s="460"/>
      <c r="H1058" s="460"/>
      <c r="I1058" s="460"/>
      <c r="J1058" s="459" t="s">
        <v>823</v>
      </c>
    </row>
    <row r="1060" spans="1:10">
      <c r="B1060" s="453" t="s">
        <v>816</v>
      </c>
    </row>
    <row r="1061" spans="1:10">
      <c r="C1061" s="453" t="s">
        <v>429</v>
      </c>
      <c r="E1061" s="461">
        <v>0.22973515272238387</v>
      </c>
    </row>
    <row r="1062" spans="1:10">
      <c r="C1062" s="453" t="s">
        <v>815</v>
      </c>
      <c r="E1062" s="461">
        <v>3.3000000000000002E-2</v>
      </c>
    </row>
    <row r="1063" spans="1:10">
      <c r="E1063" s="457"/>
    </row>
    <row r="1064" spans="1:10">
      <c r="E1064" s="457"/>
    </row>
    <row r="1068" spans="1:10">
      <c r="A1068" s="460" t="s">
        <v>822</v>
      </c>
      <c r="B1068" s="460"/>
      <c r="C1068" s="460"/>
      <c r="D1068" s="460"/>
      <c r="E1068" s="460"/>
      <c r="F1068" s="456"/>
      <c r="G1068" s="460"/>
      <c r="H1068" s="460"/>
      <c r="I1068" s="460"/>
      <c r="J1068" s="459" t="s">
        <v>821</v>
      </c>
    </row>
    <row r="1070" spans="1:10">
      <c r="B1070" s="453" t="s">
        <v>816</v>
      </c>
    </row>
    <row r="1071" spans="1:10">
      <c r="C1071" s="453" t="s">
        <v>429</v>
      </c>
      <c r="E1071" s="458">
        <v>7.5992771546960457E-3</v>
      </c>
    </row>
    <row r="1072" spans="1:10">
      <c r="C1072" s="453" t="s">
        <v>815</v>
      </c>
      <c r="E1072" s="458">
        <v>3.0000000000000001E-3</v>
      </c>
    </row>
    <row r="1073" spans="1:10">
      <c r="E1073" s="457"/>
    </row>
    <row r="1074" spans="1:10">
      <c r="E1074" s="457"/>
    </row>
    <row r="1078" spans="1:10">
      <c r="A1078" s="460" t="s">
        <v>820</v>
      </c>
      <c r="B1078" s="460"/>
      <c r="C1078" s="460"/>
      <c r="D1078" s="460"/>
      <c r="E1078" s="460"/>
      <c r="F1078" s="456"/>
      <c r="G1078" s="460"/>
      <c r="H1078" s="460"/>
      <c r="I1078" s="460"/>
      <c r="J1078" s="459" t="s">
        <v>819</v>
      </c>
    </row>
    <row r="1080" spans="1:10">
      <c r="B1080" s="453" t="s">
        <v>816</v>
      </c>
    </row>
    <row r="1081" spans="1:10">
      <c r="C1081" s="453" t="s">
        <v>429</v>
      </c>
      <c r="E1081" s="458">
        <v>4.1528147123543824E-3</v>
      </c>
    </row>
    <row r="1082" spans="1:10">
      <c r="C1082" s="453" t="s">
        <v>815</v>
      </c>
      <c r="E1082" s="458">
        <v>1E-3</v>
      </c>
    </row>
    <row r="1083" spans="1:10">
      <c r="E1083" s="457"/>
    </row>
    <row r="1084" spans="1:10">
      <c r="E1084" s="457"/>
    </row>
    <row r="1088" spans="1:10">
      <c r="A1088" s="460" t="s">
        <v>818</v>
      </c>
      <c r="B1088" s="460"/>
      <c r="C1088" s="460"/>
      <c r="D1088" s="460"/>
      <c r="E1088" s="460"/>
      <c r="F1088" s="456"/>
      <c r="G1088" s="460"/>
      <c r="H1088" s="460"/>
      <c r="I1088" s="460"/>
      <c r="J1088" s="459" t="s">
        <v>817</v>
      </c>
    </row>
    <row r="1090" spans="1:10">
      <c r="B1090" s="453" t="s">
        <v>816</v>
      </c>
    </row>
    <row r="1091" spans="1:10">
      <c r="C1091" s="453" t="s">
        <v>429</v>
      </c>
      <c r="E1091" s="458">
        <v>0.10329902063198657</v>
      </c>
    </row>
    <row r="1092" spans="1:10">
      <c r="C1092" s="453" t="s">
        <v>815</v>
      </c>
      <c r="E1092" s="458">
        <v>1.4999999999999999E-2</v>
      </c>
    </row>
    <row r="1093" spans="1:10">
      <c r="E1093" s="457"/>
    </row>
    <row r="1094" spans="1:10">
      <c r="E1094" s="457"/>
    </row>
    <row r="1098" spans="1:10">
      <c r="A1098" s="460" t="s">
        <v>1234</v>
      </c>
    </row>
    <row r="1100" spans="1:10">
      <c r="A1100" s="460" t="s">
        <v>1233</v>
      </c>
      <c r="B1100" s="460"/>
      <c r="C1100" s="460"/>
      <c r="D1100" s="460"/>
      <c r="E1100" s="460"/>
      <c r="F1100" s="456"/>
      <c r="G1100" s="460"/>
      <c r="H1100" s="460"/>
      <c r="I1100" s="460"/>
      <c r="J1100" s="459" t="s">
        <v>821</v>
      </c>
    </row>
    <row r="1102" spans="1:10">
      <c r="B1102" s="453" t="s">
        <v>816</v>
      </c>
    </row>
    <row r="1103" spans="1:10">
      <c r="C1103" s="453" t="s">
        <v>429</v>
      </c>
      <c r="E1103" s="461">
        <v>0.42499999999999999</v>
      </c>
    </row>
    <row r="1104" spans="1:10">
      <c r="C1104" s="453" t="s">
        <v>815</v>
      </c>
      <c r="E1104" s="461">
        <v>0.05</v>
      </c>
    </row>
    <row r="1105" spans="1:10">
      <c r="E1105" s="457"/>
    </row>
    <row r="1106" spans="1:10">
      <c r="E1106" s="457"/>
    </row>
    <row r="1110" spans="1:10">
      <c r="A1110" s="460" t="s">
        <v>1232</v>
      </c>
      <c r="B1110" s="460"/>
      <c r="C1110" s="460"/>
      <c r="D1110" s="460"/>
      <c r="E1110" s="460"/>
      <c r="F1110" s="456"/>
      <c r="G1110" s="460"/>
      <c r="H1110" s="460"/>
      <c r="I1110" s="460"/>
      <c r="J1110" s="459" t="s">
        <v>1231</v>
      </c>
    </row>
    <row r="1112" spans="1:10">
      <c r="B1112" s="453" t="s">
        <v>816</v>
      </c>
    </row>
    <row r="1113" spans="1:10">
      <c r="C1113" s="453" t="s">
        <v>429</v>
      </c>
      <c r="E1113" s="461">
        <v>0.42499999999999999</v>
      </c>
    </row>
    <row r="1114" spans="1:10">
      <c r="C1114" s="453" t="s">
        <v>815</v>
      </c>
      <c r="E1114" s="461">
        <v>0.05</v>
      </c>
    </row>
    <row r="1115" spans="1:10">
      <c r="E1115" s="457"/>
    </row>
    <row r="1116" spans="1:10">
      <c r="E1116" s="457"/>
    </row>
    <row r="1120" spans="1:10">
      <c r="A1120" s="453" t="s">
        <v>814</v>
      </c>
    </row>
    <row r="1121" spans="6:6">
      <c r="F1121" s="456" t="s">
        <v>813</v>
      </c>
    </row>
    <row r="1356" spans="1:1">
      <c r="A1356" s="453" t="s">
        <v>812</v>
      </c>
    </row>
  </sheetData>
  <mergeCells count="1">
    <mergeCell ref="C587:I587"/>
  </mergeCells>
  <printOptions gridLinesSet="0"/>
  <pageMargins left="0.75" right="0.75" top="1" bottom="1" header="0.5" footer="0.5"/>
  <pageSetup orientation="portrait" r:id="rId1"/>
  <headerFooter alignWithMargins="0">
    <oddHeader>&amp;f</oddHeader>
    <oddFooter>Page &amp;p</oddFooter>
  </headerFooter>
  <rowBreaks count="38" manualBreakCount="38">
    <brk id="23" max="16383" man="1"/>
    <brk id="56" max="16383" man="1"/>
    <brk id="87" max="16383" man="1"/>
    <brk id="134" max="16383" man="1"/>
    <brk id="149" max="16383" man="1"/>
    <brk id="182" max="16383" man="1"/>
    <brk id="213" max="16383" man="1"/>
    <brk id="247" max="16383" man="1"/>
    <brk id="279" max="16383" man="1"/>
    <brk id="323" max="16383" man="1"/>
    <brk id="363" max="16383" man="1"/>
    <brk id="403" max="16383" man="1"/>
    <brk id="443" max="16383" man="1"/>
    <brk id="483" max="16383" man="1"/>
    <brk id="523" max="16383" man="1"/>
    <brk id="563" max="16383" man="1"/>
    <brk id="605" max="16383" man="1"/>
    <brk id="645" max="16383" man="1"/>
    <brk id="685" max="16383" man="1"/>
    <brk id="725" max="16383" man="1"/>
    <brk id="765" max="16383" man="1"/>
    <brk id="805" max="16383" man="1"/>
    <brk id="845" max="16383" man="1"/>
    <brk id="887" max="16383" man="1"/>
    <brk id="933" max="16383" man="1"/>
    <brk id="974" max="16383" man="1"/>
    <brk id="1014" max="16383" man="1"/>
    <brk id="1056" max="16383" man="1"/>
    <brk id="1098" max="16383" man="1"/>
    <brk id="1120" max="16383" man="1"/>
    <brk id="1152" max="16383" man="1"/>
    <brk id="1181" max="16383" man="1"/>
    <brk id="1210" max="16383" man="1"/>
    <brk id="1239" max="16383" man="1"/>
    <brk id="1268" max="16383" man="1"/>
    <brk id="1298" max="16383" man="1"/>
    <brk id="1327" max="16383" man="1"/>
    <brk id="1356" max="16383" man="1"/>
  </rowBreaks>
  <colBreaks count="1" manualBreakCount="1">
    <brk id="10"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0F4E4-8E0A-408A-B1AE-142038CB784D}">
  <sheetPr>
    <tabColor theme="5" tint="-0.499984740745262"/>
  </sheetPr>
  <dimension ref="A1:J1328"/>
  <sheetViews>
    <sheetView showGridLines="0" showRowColHeaders="0" workbookViewId="0">
      <selection activeCell="K38" sqref="K38"/>
    </sheetView>
  </sheetViews>
  <sheetFormatPr baseColWidth="10" defaultColWidth="9" defaultRowHeight="13"/>
  <cols>
    <col min="1" max="2" width="1.6640625" style="453" customWidth="1"/>
    <col min="3" max="4" width="10.6640625" style="453" customWidth="1"/>
    <col min="5" max="5" width="16" style="453" customWidth="1"/>
    <col min="6" max="6" width="1.5" style="455" customWidth="1"/>
    <col min="7" max="7" width="4.6640625" style="453" customWidth="1"/>
    <col min="8" max="8" width="13.6640625" style="453" customWidth="1"/>
    <col min="9" max="9" width="9.6640625" style="453" customWidth="1"/>
    <col min="10" max="10" width="2.33203125" style="454" customWidth="1"/>
    <col min="11" max="11" width="70.6640625" style="453" customWidth="1"/>
    <col min="12" max="16384" width="9" style="453"/>
  </cols>
  <sheetData>
    <row r="1" spans="2:6">
      <c r="E1" s="471"/>
      <c r="F1" s="456" t="s">
        <v>1003</v>
      </c>
    </row>
    <row r="2" spans="2:6">
      <c r="F2" s="455" t="s">
        <v>1257</v>
      </c>
    </row>
    <row r="3" spans="2:6">
      <c r="F3" s="455" t="s">
        <v>1256</v>
      </c>
    </row>
    <row r="5" spans="2:6">
      <c r="B5" s="453" t="s">
        <v>1000</v>
      </c>
    </row>
    <row r="6" spans="2:6">
      <c r="C6" s="453" t="s">
        <v>999</v>
      </c>
      <c r="E6" s="467">
        <v>3000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504.53007259999998</v>
      </c>
    </row>
    <row r="14" spans="2:6">
      <c r="C14" s="453" t="s">
        <v>992</v>
      </c>
      <c r="E14" s="467">
        <v>5.9461272239731304</v>
      </c>
    </row>
    <row r="15" spans="2:6">
      <c r="C15" s="453" t="s">
        <v>991</v>
      </c>
      <c r="E15" s="467">
        <v>481.63630514182358</v>
      </c>
    </row>
    <row r="17" spans="1:10">
      <c r="B17" s="453" t="s">
        <v>990</v>
      </c>
    </row>
    <row r="18" spans="1:10">
      <c r="C18" s="453" t="s">
        <v>787</v>
      </c>
      <c r="E18" s="453">
        <v>81</v>
      </c>
    </row>
    <row r="19" spans="1:10">
      <c r="C19" s="453" t="s">
        <v>989</v>
      </c>
      <c r="E19" s="453">
        <v>0</v>
      </c>
    </row>
    <row r="20" spans="1:10">
      <c r="C20" s="453" t="s">
        <v>988</v>
      </c>
      <c r="E20" s="453">
        <v>0</v>
      </c>
    </row>
    <row r="21" spans="1:10">
      <c r="C21" s="453" t="s">
        <v>987</v>
      </c>
      <c r="E21" s="453">
        <v>0</v>
      </c>
    </row>
    <row r="22" spans="1:10">
      <c r="C22" s="453" t="s">
        <v>986</v>
      </c>
      <c r="E22" s="453">
        <v>4</v>
      </c>
    </row>
    <row r="24" spans="1:10">
      <c r="F24" s="456" t="s">
        <v>986</v>
      </c>
    </row>
    <row r="27" spans="1:10">
      <c r="A27" s="460" t="s">
        <v>1237</v>
      </c>
    </row>
    <row r="29" spans="1:10">
      <c r="A29" s="460" t="s">
        <v>985</v>
      </c>
      <c r="B29" s="460"/>
      <c r="C29" s="460"/>
      <c r="D29" s="460"/>
      <c r="E29" s="460"/>
      <c r="F29" s="456"/>
      <c r="G29" s="460"/>
      <c r="H29" s="460"/>
      <c r="I29" s="460"/>
      <c r="J29" s="459" t="s">
        <v>978</v>
      </c>
    </row>
    <row r="31" spans="1:10">
      <c r="B31" s="453" t="s">
        <v>976</v>
      </c>
    </row>
    <row r="32" spans="1:10">
      <c r="C32" s="453" t="s">
        <v>1255</v>
      </c>
    </row>
    <row r="33" spans="3:3">
      <c r="C33" s="453" t="s">
        <v>983</v>
      </c>
    </row>
    <row r="34" spans="3:3">
      <c r="C34" s="453" t="s">
        <v>1254</v>
      </c>
    </row>
    <row r="35" spans="3:3">
      <c r="C35" s="453" t="s">
        <v>1253</v>
      </c>
    </row>
    <row r="36" spans="3:3">
      <c r="C36" s="453" t="s">
        <v>1252</v>
      </c>
    </row>
    <row r="57" spans="1:10">
      <c r="A57" s="460" t="s">
        <v>979</v>
      </c>
      <c r="B57" s="460"/>
      <c r="C57" s="460"/>
      <c r="D57" s="460"/>
      <c r="E57" s="460"/>
      <c r="F57" s="456"/>
      <c r="G57" s="460"/>
      <c r="H57" s="460"/>
      <c r="I57" s="460"/>
      <c r="J57" s="459" t="s">
        <v>978</v>
      </c>
    </row>
    <row r="59" spans="1:10">
      <c r="B59" s="453" t="s">
        <v>968</v>
      </c>
      <c r="E59" s="457" t="s">
        <v>770</v>
      </c>
    </row>
    <row r="60" spans="1:10">
      <c r="C60" s="453" t="s">
        <v>772</v>
      </c>
      <c r="E60" s="467">
        <v>3000</v>
      </c>
    </row>
    <row r="61" spans="1:10">
      <c r="C61" s="453" t="s">
        <v>773</v>
      </c>
      <c r="E61" s="468">
        <v>174.18689004199973</v>
      </c>
    </row>
    <row r="62" spans="1:10">
      <c r="C62" s="453" t="s">
        <v>429</v>
      </c>
      <c r="E62" s="468">
        <v>216.50216504937509</v>
      </c>
    </row>
    <row r="63" spans="1:10">
      <c r="C63" s="453" t="s">
        <v>428</v>
      </c>
      <c r="E63" s="468">
        <v>214.75883435303041</v>
      </c>
    </row>
    <row r="64" spans="1:10">
      <c r="C64" s="453" t="s">
        <v>774</v>
      </c>
      <c r="E64" s="469" t="s">
        <v>967</v>
      </c>
    </row>
    <row r="65" spans="2:5">
      <c r="C65" s="453" t="s">
        <v>776</v>
      </c>
      <c r="E65" s="468">
        <v>124.22687398038998</v>
      </c>
    </row>
    <row r="66" spans="2:5">
      <c r="C66" s="453" t="s">
        <v>777</v>
      </c>
      <c r="E66" s="468">
        <v>15432.316218939693</v>
      </c>
    </row>
    <row r="67" spans="2:5">
      <c r="C67" s="453" t="s">
        <v>778</v>
      </c>
      <c r="E67" s="464">
        <v>0.27486584089566302</v>
      </c>
    </row>
    <row r="68" spans="2:5">
      <c r="C68" s="453" t="s">
        <v>779</v>
      </c>
      <c r="E68" s="465">
        <v>3.9853475061271832</v>
      </c>
    </row>
    <row r="69" spans="2:5">
      <c r="C69" s="453" t="s">
        <v>780</v>
      </c>
      <c r="E69" s="464">
        <v>0.57379044663160306</v>
      </c>
    </row>
    <row r="70" spans="2:5">
      <c r="C70" s="453" t="s">
        <v>781</v>
      </c>
      <c r="E70" s="468">
        <v>-291.26852951852601</v>
      </c>
    </row>
    <row r="71" spans="2:5">
      <c r="C71" s="453" t="s">
        <v>782</v>
      </c>
      <c r="E71" s="468">
        <v>935.26171492182891</v>
      </c>
    </row>
    <row r="72" spans="2:5">
      <c r="C72" s="453" t="s">
        <v>966</v>
      </c>
      <c r="E72" s="468">
        <v>1226.5302444403549</v>
      </c>
    </row>
    <row r="73" spans="2:5">
      <c r="C73" s="453" t="s">
        <v>783</v>
      </c>
      <c r="E73" s="468">
        <v>2.2680620375803726</v>
      </c>
    </row>
    <row r="75" spans="2:5">
      <c r="B75" s="453" t="s">
        <v>965</v>
      </c>
      <c r="E75" s="457" t="s">
        <v>770</v>
      </c>
    </row>
    <row r="76" spans="2:5">
      <c r="C76" s="453" t="s">
        <v>964</v>
      </c>
      <c r="E76" s="468">
        <v>-291.26852951852601</v>
      </c>
    </row>
    <row r="77" spans="2:5">
      <c r="C77" s="453" t="s">
        <v>963</v>
      </c>
      <c r="E77" s="468">
        <v>61.832481151506528</v>
      </c>
    </row>
    <row r="78" spans="2:5">
      <c r="C78" s="453" t="s">
        <v>962</v>
      </c>
      <c r="E78" s="468">
        <v>117.67965951731551</v>
      </c>
    </row>
    <row r="79" spans="2:5">
      <c r="C79" s="453" t="s">
        <v>961</v>
      </c>
      <c r="E79" s="468">
        <v>153.92583569807999</v>
      </c>
    </row>
    <row r="80" spans="2:5">
      <c r="C80" s="453" t="s">
        <v>960</v>
      </c>
      <c r="E80" s="468">
        <v>185.49375375346665</v>
      </c>
    </row>
    <row r="81" spans="1:10">
      <c r="C81" s="453" t="s">
        <v>959</v>
      </c>
      <c r="E81" s="468">
        <v>214.75415824499433</v>
      </c>
    </row>
    <row r="82" spans="1:10">
      <c r="C82" s="453" t="s">
        <v>958</v>
      </c>
      <c r="E82" s="468">
        <v>243.63324675448987</v>
      </c>
    </row>
    <row r="83" spans="1:10">
      <c r="C83" s="453" t="s">
        <v>957</v>
      </c>
      <c r="E83" s="468">
        <v>274.66111268163212</v>
      </c>
    </row>
    <row r="84" spans="1:10">
      <c r="C84" s="453" t="s">
        <v>956</v>
      </c>
      <c r="E84" s="468">
        <v>312.45162003851448</v>
      </c>
    </row>
    <row r="85" spans="1:10">
      <c r="C85" s="453" t="s">
        <v>955</v>
      </c>
      <c r="E85" s="468">
        <v>369.65682233797605</v>
      </c>
    </row>
    <row r="86" spans="1:10">
      <c r="C86" s="453" t="s">
        <v>954</v>
      </c>
      <c r="E86" s="468">
        <v>935.26171492182891</v>
      </c>
    </row>
    <row r="88" spans="1:10">
      <c r="A88" s="460" t="s">
        <v>1236</v>
      </c>
    </row>
    <row r="90" spans="1:10">
      <c r="A90" s="460" t="s">
        <v>1053</v>
      </c>
      <c r="B90" s="460"/>
      <c r="C90" s="460"/>
      <c r="D90" s="460"/>
      <c r="E90" s="460"/>
      <c r="F90" s="456"/>
      <c r="G90" s="460"/>
      <c r="H90" s="460"/>
      <c r="I90" s="460"/>
      <c r="J90" s="459" t="s">
        <v>1048</v>
      </c>
    </row>
    <row r="92" spans="1:10">
      <c r="B92" s="453" t="s">
        <v>976</v>
      </c>
    </row>
    <row r="93" spans="1:10">
      <c r="C93" s="453" t="s">
        <v>1251</v>
      </c>
    </row>
    <row r="94" spans="1:10">
      <c r="C94" s="453" t="s">
        <v>1250</v>
      </c>
    </row>
    <row r="95" spans="1:10">
      <c r="C95" s="453" t="s">
        <v>1249</v>
      </c>
    </row>
    <row r="96" spans="1:10">
      <c r="C96" s="453" t="s">
        <v>1051</v>
      </c>
    </row>
    <row r="97" spans="3:3">
      <c r="C97" s="453" t="s">
        <v>1248</v>
      </c>
    </row>
    <row r="121" spans="1:10">
      <c r="A121" s="460" t="s">
        <v>1049</v>
      </c>
      <c r="B121" s="460"/>
      <c r="C121" s="460"/>
      <c r="D121" s="460"/>
      <c r="E121" s="460"/>
      <c r="F121" s="456"/>
      <c r="G121" s="460"/>
      <c r="H121" s="460"/>
      <c r="I121" s="460"/>
      <c r="J121" s="459" t="s">
        <v>1048</v>
      </c>
    </row>
    <row r="123" spans="1:10">
      <c r="B123" s="453" t="s">
        <v>968</v>
      </c>
      <c r="E123" s="457" t="s">
        <v>770</v>
      </c>
    </row>
    <row r="124" spans="1:10">
      <c r="C124" s="453" t="s">
        <v>772</v>
      </c>
      <c r="E124" s="467">
        <v>3000</v>
      </c>
    </row>
    <row r="125" spans="1:10">
      <c r="C125" s="453" t="s">
        <v>773</v>
      </c>
      <c r="E125" s="463">
        <v>158.86547849097127</v>
      </c>
    </row>
    <row r="126" spans="1:10">
      <c r="C126" s="453" t="s">
        <v>429</v>
      </c>
      <c r="E126" s="463">
        <v>165.3094402838085</v>
      </c>
    </row>
    <row r="127" spans="1:10">
      <c r="C127" s="453" t="s">
        <v>428</v>
      </c>
      <c r="E127" s="463">
        <v>164.61744938660956</v>
      </c>
    </row>
    <row r="128" spans="1:10">
      <c r="C128" s="453" t="s">
        <v>774</v>
      </c>
      <c r="E128" s="466" t="s">
        <v>967</v>
      </c>
    </row>
    <row r="129" spans="2:5">
      <c r="C129" s="453" t="s">
        <v>776</v>
      </c>
      <c r="E129" s="463">
        <v>53.671363629370305</v>
      </c>
    </row>
    <row r="130" spans="2:5">
      <c r="C130" s="453" t="s">
        <v>777</v>
      </c>
      <c r="E130" s="463">
        <v>2880.6152738360938</v>
      </c>
    </row>
    <row r="131" spans="2:5">
      <c r="C131" s="453" t="s">
        <v>778</v>
      </c>
      <c r="E131" s="464">
        <v>8.8108086205320568E-2</v>
      </c>
    </row>
    <row r="132" spans="2:5">
      <c r="C132" s="453" t="s">
        <v>779</v>
      </c>
      <c r="E132" s="465">
        <v>2.7176767031788702</v>
      </c>
    </row>
    <row r="133" spans="2:5">
      <c r="C133" s="453" t="s">
        <v>780</v>
      </c>
      <c r="E133" s="464">
        <v>0.32467210304036842</v>
      </c>
    </row>
    <row r="134" spans="2:5">
      <c r="C134" s="453" t="s">
        <v>781</v>
      </c>
      <c r="E134" s="463">
        <v>23.808705542879334</v>
      </c>
    </row>
    <row r="135" spans="2:5">
      <c r="C135" s="453" t="s">
        <v>782</v>
      </c>
      <c r="E135" s="463">
        <v>341.94818681592949</v>
      </c>
    </row>
    <row r="136" spans="2:5">
      <c r="C136" s="453" t="s">
        <v>966</v>
      </c>
      <c r="E136" s="463">
        <v>318.13948127305014</v>
      </c>
    </row>
    <row r="137" spans="2:5">
      <c r="C137" s="453" t="s">
        <v>783</v>
      </c>
      <c r="E137" s="463">
        <v>0.97990055172894852</v>
      </c>
    </row>
    <row r="139" spans="2:5">
      <c r="B139" s="453" t="s">
        <v>965</v>
      </c>
      <c r="E139" s="457" t="s">
        <v>770</v>
      </c>
    </row>
    <row r="140" spans="2:5">
      <c r="C140" s="453" t="s">
        <v>964</v>
      </c>
      <c r="E140" s="463">
        <v>23.808705542879338</v>
      </c>
    </row>
    <row r="141" spans="2:5">
      <c r="C141" s="453" t="s">
        <v>963</v>
      </c>
      <c r="E141" s="463">
        <v>94.610266569373465</v>
      </c>
    </row>
    <row r="142" spans="2:5">
      <c r="C142" s="453" t="s">
        <v>962</v>
      </c>
      <c r="E142" s="463">
        <v>119.0026024773623</v>
      </c>
    </row>
    <row r="143" spans="2:5">
      <c r="C143" s="453" t="s">
        <v>961</v>
      </c>
      <c r="E143" s="463">
        <v>136.46068178930832</v>
      </c>
    </row>
    <row r="144" spans="2:5">
      <c r="C144" s="453" t="s">
        <v>960</v>
      </c>
      <c r="E144" s="463">
        <v>151.11817162985486</v>
      </c>
    </row>
    <row r="145" spans="1:10">
      <c r="C145" s="453" t="s">
        <v>959</v>
      </c>
      <c r="E145" s="463">
        <v>164.61140739065493</v>
      </c>
    </row>
    <row r="146" spans="1:10">
      <c r="C146" s="453" t="s">
        <v>958</v>
      </c>
      <c r="E146" s="463">
        <v>178.37609115997932</v>
      </c>
    </row>
    <row r="147" spans="1:10">
      <c r="C147" s="453" t="s">
        <v>957</v>
      </c>
      <c r="E147" s="463">
        <v>194.21570991935926</v>
      </c>
    </row>
    <row r="148" spans="1:10">
      <c r="C148" s="453" t="s">
        <v>956</v>
      </c>
      <c r="E148" s="463">
        <v>212.25478504354649</v>
      </c>
    </row>
    <row r="149" spans="1:10">
      <c r="C149" s="453" t="s">
        <v>955</v>
      </c>
      <c r="E149" s="463">
        <v>235.69502617891143</v>
      </c>
    </row>
    <row r="150" spans="1:10">
      <c r="C150" s="453" t="s">
        <v>954</v>
      </c>
      <c r="E150" s="463">
        <v>341.94818681592949</v>
      </c>
    </row>
    <row r="152" spans="1:10">
      <c r="A152" s="460" t="s">
        <v>1235</v>
      </c>
    </row>
    <row r="154" spans="1:10">
      <c r="A154" s="460" t="s">
        <v>977</v>
      </c>
      <c r="B154" s="460"/>
      <c r="C154" s="460"/>
      <c r="D154" s="460"/>
      <c r="E154" s="460"/>
      <c r="F154" s="456"/>
      <c r="G154" s="460"/>
      <c r="H154" s="460"/>
      <c r="I154" s="460"/>
      <c r="J154" s="459" t="s">
        <v>969</v>
      </c>
    </row>
    <row r="156" spans="1:10">
      <c r="B156" s="453" t="s">
        <v>976</v>
      </c>
    </row>
    <row r="157" spans="1:10">
      <c r="C157" s="453" t="s">
        <v>1247</v>
      </c>
    </row>
    <row r="158" spans="1:10">
      <c r="C158" s="453" t="s">
        <v>974</v>
      </c>
    </row>
    <row r="159" spans="1:10">
      <c r="C159" s="453" t="s">
        <v>1246</v>
      </c>
    </row>
    <row r="160" spans="1:10">
      <c r="C160" s="453" t="s">
        <v>1245</v>
      </c>
    </row>
    <row r="161" spans="3:3">
      <c r="C161" s="453" t="s">
        <v>1244</v>
      </c>
    </row>
    <row r="185" spans="1:10">
      <c r="A185" s="460" t="s">
        <v>970</v>
      </c>
      <c r="B185" s="460"/>
      <c r="C185" s="460"/>
      <c r="D185" s="460"/>
      <c r="E185" s="460"/>
      <c r="F185" s="456"/>
      <c r="G185" s="460"/>
      <c r="H185" s="460"/>
      <c r="I185" s="460"/>
      <c r="J185" s="459" t="s">
        <v>969</v>
      </c>
    </row>
    <row r="187" spans="1:10">
      <c r="B187" s="453" t="s">
        <v>968</v>
      </c>
      <c r="E187" s="457" t="s">
        <v>770</v>
      </c>
    </row>
    <row r="188" spans="1:10">
      <c r="C188" s="453" t="s">
        <v>772</v>
      </c>
      <c r="E188" s="467">
        <v>3000</v>
      </c>
    </row>
    <row r="189" spans="1:10">
      <c r="C189" s="453" t="s">
        <v>773</v>
      </c>
      <c r="E189" s="463">
        <v>274.24647981850893</v>
      </c>
    </row>
    <row r="190" spans="1:10">
      <c r="C190" s="453" t="s">
        <v>429</v>
      </c>
      <c r="E190" s="463">
        <v>285.97550095741639</v>
      </c>
    </row>
    <row r="191" spans="1:10">
      <c r="C191" s="453" t="s">
        <v>428</v>
      </c>
      <c r="E191" s="463">
        <v>272.129503548873</v>
      </c>
    </row>
    <row r="192" spans="1:10">
      <c r="C192" s="453" t="s">
        <v>774</v>
      </c>
      <c r="E192" s="466" t="s">
        <v>967</v>
      </c>
    </row>
    <row r="193" spans="2:5">
      <c r="C193" s="453" t="s">
        <v>776</v>
      </c>
      <c r="E193" s="463">
        <v>73.036942406264899</v>
      </c>
    </row>
    <row r="194" spans="2:5">
      <c r="C194" s="453" t="s">
        <v>777</v>
      </c>
      <c r="E194" s="463">
        <v>5334.3949560560568</v>
      </c>
    </row>
    <row r="195" spans="2:5">
      <c r="C195" s="453" t="s">
        <v>778</v>
      </c>
      <c r="E195" s="465">
        <v>1.9298700973598664</v>
      </c>
    </row>
    <row r="196" spans="2:5">
      <c r="C196" s="453" t="s">
        <v>779</v>
      </c>
      <c r="E196" s="465">
        <v>9.9310236826279592</v>
      </c>
    </row>
    <row r="197" spans="2:5">
      <c r="C197" s="453" t="s">
        <v>780</v>
      </c>
      <c r="E197" s="464">
        <v>0.25539580195417011</v>
      </c>
    </row>
    <row r="198" spans="2:5">
      <c r="C198" s="453" t="s">
        <v>781</v>
      </c>
      <c r="E198" s="463">
        <v>153.03501280862926</v>
      </c>
    </row>
    <row r="199" spans="2:5">
      <c r="C199" s="453" t="s">
        <v>782</v>
      </c>
      <c r="E199" s="463">
        <v>882.41136764803468</v>
      </c>
    </row>
    <row r="200" spans="2:5">
      <c r="C200" s="453" t="s">
        <v>966</v>
      </c>
      <c r="E200" s="463">
        <v>729.37635483940539</v>
      </c>
    </row>
    <row r="201" spans="2:5">
      <c r="C201" s="453" t="s">
        <v>783</v>
      </c>
      <c r="E201" s="463">
        <v>1.3334660295705643</v>
      </c>
    </row>
    <row r="203" spans="2:5">
      <c r="B203" s="453" t="s">
        <v>965</v>
      </c>
      <c r="E203" s="457" t="s">
        <v>770</v>
      </c>
    </row>
    <row r="204" spans="2:5">
      <c r="C204" s="453" t="s">
        <v>964</v>
      </c>
      <c r="E204" s="463">
        <v>153.03501280862926</v>
      </c>
    </row>
    <row r="205" spans="2:5">
      <c r="C205" s="453" t="s">
        <v>963</v>
      </c>
      <c r="E205" s="463">
        <v>212.54140552008474</v>
      </c>
    </row>
    <row r="206" spans="2:5">
      <c r="C206" s="453" t="s">
        <v>962</v>
      </c>
      <c r="E206" s="463">
        <v>230.43330502993305</v>
      </c>
    </row>
    <row r="207" spans="2:5">
      <c r="C207" s="453" t="s">
        <v>961</v>
      </c>
      <c r="E207" s="463">
        <v>244.5573877177664</v>
      </c>
    </row>
    <row r="208" spans="2:5">
      <c r="C208" s="453" t="s">
        <v>960</v>
      </c>
      <c r="E208" s="463">
        <v>257.95397059337216</v>
      </c>
    </row>
    <row r="209" spans="1:10">
      <c r="C209" s="453" t="s">
        <v>959</v>
      </c>
      <c r="E209" s="463">
        <v>272.09851177990322</v>
      </c>
    </row>
    <row r="210" spans="1:10">
      <c r="C210" s="453" t="s">
        <v>958</v>
      </c>
      <c r="E210" s="463">
        <v>286.68697032240107</v>
      </c>
    </row>
    <row r="211" spans="1:10">
      <c r="C211" s="453" t="s">
        <v>957</v>
      </c>
      <c r="E211" s="463">
        <v>305.78865298690118</v>
      </c>
    </row>
    <row r="212" spans="1:10">
      <c r="C212" s="453" t="s">
        <v>956</v>
      </c>
      <c r="E212" s="463">
        <v>329.12975713811767</v>
      </c>
    </row>
    <row r="213" spans="1:10">
      <c r="C213" s="453" t="s">
        <v>955</v>
      </c>
      <c r="E213" s="463">
        <v>372.20732732368407</v>
      </c>
    </row>
    <row r="214" spans="1:10">
      <c r="C214" s="453" t="s">
        <v>954</v>
      </c>
      <c r="E214" s="463">
        <v>882.41136764803468</v>
      </c>
    </row>
    <row r="216" spans="1:10">
      <c r="A216" s="460" t="s">
        <v>1234</v>
      </c>
    </row>
    <row r="218" spans="1:10">
      <c r="A218" s="460" t="s">
        <v>1243</v>
      </c>
      <c r="B218" s="460"/>
      <c r="C218" s="460"/>
      <c r="D218" s="460"/>
      <c r="E218" s="460"/>
      <c r="F218" s="456"/>
      <c r="G218" s="460"/>
      <c r="H218" s="460"/>
      <c r="I218" s="460"/>
      <c r="J218" s="459" t="s">
        <v>1238</v>
      </c>
    </row>
    <row r="220" spans="1:10">
      <c r="B220" s="453" t="s">
        <v>976</v>
      </c>
    </row>
    <row r="221" spans="1:10">
      <c r="C221" s="453" t="s">
        <v>1242</v>
      </c>
    </row>
    <row r="222" spans="1:10">
      <c r="C222" s="453" t="s">
        <v>1241</v>
      </c>
    </row>
    <row r="223" spans="1:10">
      <c r="C223" s="453" t="s">
        <v>1240</v>
      </c>
    </row>
    <row r="250" spans="1:10">
      <c r="A250" s="460" t="s">
        <v>1239</v>
      </c>
      <c r="B250" s="460"/>
      <c r="C250" s="460"/>
      <c r="D250" s="460"/>
      <c r="E250" s="460"/>
      <c r="F250" s="456"/>
      <c r="G250" s="460"/>
      <c r="H250" s="460"/>
      <c r="I250" s="460"/>
      <c r="J250" s="459" t="s">
        <v>1238</v>
      </c>
    </row>
    <row r="252" spans="1:10">
      <c r="B252" s="453" t="s">
        <v>968</v>
      </c>
      <c r="E252" s="457" t="s">
        <v>770</v>
      </c>
    </row>
    <row r="253" spans="1:10">
      <c r="C253" s="453" t="s">
        <v>772</v>
      </c>
      <c r="E253" s="467">
        <v>3000</v>
      </c>
    </row>
    <row r="254" spans="1:10">
      <c r="C254" s="453" t="s">
        <v>773</v>
      </c>
      <c r="E254" s="463">
        <v>182.68422859928899</v>
      </c>
    </row>
    <row r="255" spans="1:10">
      <c r="C255" s="453" t="s">
        <v>429</v>
      </c>
      <c r="E255" s="463">
        <v>182.84695034205922</v>
      </c>
    </row>
    <row r="256" spans="1:10">
      <c r="C256" s="453" t="s">
        <v>428</v>
      </c>
      <c r="E256" s="463">
        <v>182.91999868942602</v>
      </c>
    </row>
    <row r="257" spans="2:5">
      <c r="C257" s="453" t="s">
        <v>774</v>
      </c>
      <c r="E257" s="466" t="s">
        <v>967</v>
      </c>
    </row>
    <row r="258" spans="2:5">
      <c r="C258" s="453" t="s">
        <v>776</v>
      </c>
      <c r="E258" s="463">
        <v>7.6120875853422199</v>
      </c>
    </row>
    <row r="259" spans="2:5">
      <c r="C259" s="453" t="s">
        <v>777</v>
      </c>
      <c r="E259" s="463">
        <v>57.943877406921153</v>
      </c>
    </row>
    <row r="260" spans="2:5">
      <c r="C260" s="453" t="s">
        <v>778</v>
      </c>
      <c r="E260" s="464">
        <v>7.0039630478813938E-2</v>
      </c>
    </row>
    <row r="261" spans="2:5">
      <c r="C261" s="453" t="s">
        <v>779</v>
      </c>
      <c r="E261" s="465">
        <v>2.946179693941033</v>
      </c>
    </row>
    <row r="262" spans="2:5">
      <c r="C262" s="453" t="s">
        <v>780</v>
      </c>
      <c r="E262" s="464">
        <v>4.1630924503263403E-2</v>
      </c>
    </row>
    <row r="263" spans="2:5">
      <c r="C263" s="453" t="s">
        <v>781</v>
      </c>
      <c r="E263" s="463">
        <v>159.8563773993302</v>
      </c>
    </row>
    <row r="264" spans="2:5">
      <c r="C264" s="453" t="s">
        <v>782</v>
      </c>
      <c r="E264" s="463">
        <v>212.33771063341709</v>
      </c>
    </row>
    <row r="265" spans="2:5">
      <c r="C265" s="453" t="s">
        <v>966</v>
      </c>
      <c r="E265" s="463">
        <v>52.48133323408689</v>
      </c>
    </row>
    <row r="266" spans="2:5">
      <c r="C266" s="453" t="s">
        <v>783</v>
      </c>
      <c r="E266" s="463">
        <v>0.13897706933989884</v>
      </c>
    </row>
    <row r="268" spans="2:5">
      <c r="B268" s="453" t="s">
        <v>965</v>
      </c>
      <c r="E268" s="457" t="s">
        <v>770</v>
      </c>
    </row>
    <row r="269" spans="2:5">
      <c r="C269" s="453" t="s">
        <v>964</v>
      </c>
      <c r="E269" s="463">
        <v>159.8563773993302</v>
      </c>
    </row>
    <row r="270" spans="2:5">
      <c r="C270" s="453" t="s">
        <v>963</v>
      </c>
      <c r="E270" s="463">
        <v>172.86487441933056</v>
      </c>
    </row>
    <row r="271" spans="2:5">
      <c r="C271" s="453" t="s">
        <v>962</v>
      </c>
      <c r="E271" s="463">
        <v>176.30917683877385</v>
      </c>
    </row>
    <row r="272" spans="2:5">
      <c r="C272" s="453" t="s">
        <v>961</v>
      </c>
      <c r="E272" s="463">
        <v>178.89044560397056</v>
      </c>
    </row>
    <row r="273" spans="1:10">
      <c r="C273" s="453" t="s">
        <v>960</v>
      </c>
      <c r="E273" s="463">
        <v>180.75814847165839</v>
      </c>
    </row>
    <row r="274" spans="1:10">
      <c r="C274" s="453" t="s">
        <v>959</v>
      </c>
      <c r="E274" s="463">
        <v>182.91795092045359</v>
      </c>
    </row>
    <row r="275" spans="1:10">
      <c r="C275" s="453" t="s">
        <v>958</v>
      </c>
      <c r="E275" s="463">
        <v>184.67607336332773</v>
      </c>
    </row>
    <row r="276" spans="1:10">
      <c r="C276" s="453" t="s">
        <v>957</v>
      </c>
      <c r="E276" s="463">
        <v>186.86398884533963</v>
      </c>
    </row>
    <row r="277" spans="1:10">
      <c r="C277" s="453" t="s">
        <v>956</v>
      </c>
      <c r="E277" s="463">
        <v>189.24392139987367</v>
      </c>
    </row>
    <row r="278" spans="1:10">
      <c r="C278" s="453" t="s">
        <v>955</v>
      </c>
      <c r="E278" s="463">
        <v>192.63107622152916</v>
      </c>
    </row>
    <row r="279" spans="1:10">
      <c r="C279" s="453" t="s">
        <v>954</v>
      </c>
      <c r="E279" s="463">
        <v>212.33771063341709</v>
      </c>
    </row>
    <row r="281" spans="1:10">
      <c r="A281" s="453" t="s">
        <v>953</v>
      </c>
    </row>
    <row r="282" spans="1:10">
      <c r="F282" s="456" t="s">
        <v>787</v>
      </c>
    </row>
    <row r="285" spans="1:10">
      <c r="A285" s="460" t="s">
        <v>1237</v>
      </c>
    </row>
    <row r="287" spans="1:10">
      <c r="A287" s="460" t="s">
        <v>951</v>
      </c>
      <c r="B287" s="460"/>
      <c r="C287" s="460"/>
      <c r="D287" s="460"/>
      <c r="E287" s="460"/>
      <c r="F287" s="456"/>
      <c r="G287" s="460"/>
      <c r="H287" s="460"/>
      <c r="I287" s="460"/>
      <c r="J287" s="459" t="s">
        <v>950</v>
      </c>
    </row>
    <row r="289" spans="1:10">
      <c r="B289" s="453" t="s">
        <v>816</v>
      </c>
    </row>
    <row r="290" spans="1:10">
      <c r="C290" s="453" t="s">
        <v>429</v>
      </c>
      <c r="E290" s="462">
        <v>-0.1585730392347055</v>
      </c>
    </row>
    <row r="291" spans="1:10">
      <c r="C291" s="453" t="s">
        <v>815</v>
      </c>
      <c r="E291" s="462">
        <v>1.585730392347055E-2</v>
      </c>
    </row>
    <row r="292" spans="1:10">
      <c r="E292" s="457"/>
    </row>
    <row r="293" spans="1:10">
      <c r="E293" s="457"/>
    </row>
    <row r="297" spans="1:10">
      <c r="A297" s="460" t="s">
        <v>949</v>
      </c>
      <c r="B297" s="460"/>
      <c r="C297" s="460"/>
      <c r="D297" s="460"/>
      <c r="E297" s="460"/>
      <c r="F297" s="456"/>
      <c r="G297" s="460"/>
      <c r="H297" s="460"/>
      <c r="I297" s="460"/>
      <c r="J297" s="459" t="s">
        <v>948</v>
      </c>
    </row>
    <row r="299" spans="1:10">
      <c r="B299" s="453" t="s">
        <v>816</v>
      </c>
    </row>
    <row r="300" spans="1:10">
      <c r="C300" s="453" t="s">
        <v>429</v>
      </c>
      <c r="E300" s="462">
        <v>-0.36070986380520015</v>
      </c>
    </row>
    <row r="301" spans="1:10">
      <c r="C301" s="453" t="s">
        <v>815</v>
      </c>
      <c r="E301" s="462">
        <v>3.6070986380520018E-2</v>
      </c>
    </row>
    <row r="302" spans="1:10">
      <c r="E302" s="457"/>
    </row>
    <row r="303" spans="1:10">
      <c r="E303" s="457"/>
    </row>
    <row r="307" spans="1:10">
      <c r="A307" s="460" t="s">
        <v>947</v>
      </c>
      <c r="B307" s="460"/>
      <c r="C307" s="460"/>
      <c r="D307" s="460"/>
      <c r="E307" s="460"/>
      <c r="F307" s="456"/>
      <c r="G307" s="460"/>
      <c r="H307" s="460"/>
      <c r="I307" s="460"/>
      <c r="J307" s="459" t="s">
        <v>946</v>
      </c>
    </row>
    <row r="309" spans="1:10">
      <c r="B309" s="453" t="s">
        <v>843</v>
      </c>
    </row>
    <row r="310" spans="1:10">
      <c r="C310" s="453" t="s">
        <v>781</v>
      </c>
      <c r="E310" s="462">
        <v>5.2417649941293276E-2</v>
      </c>
    </row>
    <row r="311" spans="1:10">
      <c r="C311" s="453" t="s">
        <v>782</v>
      </c>
      <c r="E311" s="462">
        <v>0.14000000000000001</v>
      </c>
    </row>
    <row r="312" spans="1:10">
      <c r="E312" s="457"/>
    </row>
    <row r="313" spans="1:10">
      <c r="E313" s="457"/>
    </row>
    <row r="317" spans="1:10">
      <c r="A317" s="460" t="s">
        <v>945</v>
      </c>
      <c r="B317" s="460"/>
      <c r="C317" s="460"/>
      <c r="D317" s="460"/>
      <c r="E317" s="460"/>
      <c r="F317" s="456"/>
      <c r="G317" s="460"/>
      <c r="H317" s="460"/>
      <c r="I317" s="460"/>
      <c r="J317" s="459" t="s">
        <v>944</v>
      </c>
    </row>
    <row r="319" spans="1:10">
      <c r="B319" s="453" t="s">
        <v>816</v>
      </c>
    </row>
    <row r="320" spans="1:10">
      <c r="C320" s="453" t="s">
        <v>429</v>
      </c>
      <c r="E320" s="462">
        <v>0</v>
      </c>
    </row>
    <row r="321" spans="1:10">
      <c r="C321" s="453" t="s">
        <v>815</v>
      </c>
      <c r="E321" s="462">
        <v>0.01</v>
      </c>
    </row>
    <row r="322" spans="1:10">
      <c r="E322" s="457"/>
    </row>
    <row r="323" spans="1:10">
      <c r="E323" s="457"/>
    </row>
    <row r="327" spans="1:10">
      <c r="A327" s="460" t="s">
        <v>943</v>
      </c>
      <c r="B327" s="460"/>
      <c r="C327" s="460"/>
      <c r="D327" s="460"/>
      <c r="E327" s="460"/>
      <c r="F327" s="456"/>
      <c r="G327" s="460"/>
      <c r="H327" s="460"/>
      <c r="I327" s="460"/>
      <c r="J327" s="459" t="s">
        <v>942</v>
      </c>
    </row>
    <row r="329" spans="1:10">
      <c r="B329" s="453" t="s">
        <v>816</v>
      </c>
    </row>
    <row r="330" spans="1:10">
      <c r="C330" s="453" t="s">
        <v>429</v>
      </c>
      <c r="E330" s="462">
        <v>4.1887753137519371E-2</v>
      </c>
    </row>
    <row r="331" spans="1:10">
      <c r="C331" s="453" t="s">
        <v>815</v>
      </c>
      <c r="E331" s="462">
        <v>4.1887753137519372E-3</v>
      </c>
    </row>
    <row r="332" spans="1:10">
      <c r="E332" s="457"/>
    </row>
    <row r="333" spans="1:10">
      <c r="E333" s="457"/>
    </row>
    <row r="337" spans="1:10">
      <c r="A337" s="460" t="s">
        <v>941</v>
      </c>
      <c r="B337" s="460"/>
      <c r="C337" s="460"/>
      <c r="D337" s="460"/>
      <c r="E337" s="460"/>
      <c r="F337" s="456"/>
      <c r="G337" s="460"/>
      <c r="H337" s="460"/>
      <c r="I337" s="460"/>
      <c r="J337" s="459" t="s">
        <v>940</v>
      </c>
    </row>
    <row r="339" spans="1:10">
      <c r="B339" s="453" t="s">
        <v>816</v>
      </c>
    </row>
    <row r="340" spans="1:10">
      <c r="C340" s="453" t="s">
        <v>429</v>
      </c>
      <c r="E340" s="462">
        <v>6.3724808720432194E-2</v>
      </c>
    </row>
    <row r="341" spans="1:10">
      <c r="C341" s="453" t="s">
        <v>815</v>
      </c>
      <c r="E341" s="462">
        <v>6.3724808720432196E-3</v>
      </c>
    </row>
    <row r="342" spans="1:10">
      <c r="E342" s="457"/>
    </row>
    <row r="343" spans="1:10">
      <c r="E343" s="457"/>
    </row>
    <row r="347" spans="1:10">
      <c r="A347" s="460" t="s">
        <v>939</v>
      </c>
      <c r="B347" s="460"/>
      <c r="C347" s="460"/>
      <c r="D347" s="460"/>
      <c r="E347" s="460"/>
      <c r="F347" s="456"/>
      <c r="G347" s="460"/>
      <c r="H347" s="460"/>
      <c r="I347" s="460"/>
      <c r="J347" s="459" t="s">
        <v>938</v>
      </c>
    </row>
    <row r="349" spans="1:10">
      <c r="B349" s="453" t="s">
        <v>816</v>
      </c>
    </row>
    <row r="350" spans="1:10">
      <c r="C350" s="453" t="s">
        <v>429</v>
      </c>
      <c r="E350" s="462">
        <v>0.11357395908527125</v>
      </c>
    </row>
    <row r="351" spans="1:10">
      <c r="C351" s="453" t="s">
        <v>815</v>
      </c>
      <c r="E351" s="462">
        <v>1.1357395908527124E-2</v>
      </c>
    </row>
    <row r="352" spans="1:10">
      <c r="E352" s="457"/>
    </row>
    <row r="353" spans="1:10">
      <c r="E353" s="457"/>
    </row>
    <row r="357" spans="1:10">
      <c r="A357" s="460" t="s">
        <v>937</v>
      </c>
      <c r="B357" s="460"/>
      <c r="C357" s="460"/>
      <c r="D357" s="460"/>
      <c r="E357" s="460"/>
      <c r="F357" s="456"/>
      <c r="G357" s="460"/>
      <c r="H357" s="460"/>
      <c r="I357" s="460"/>
      <c r="J357" s="459" t="s">
        <v>936</v>
      </c>
    </row>
    <row r="359" spans="1:10">
      <c r="B359" s="453" t="s">
        <v>816</v>
      </c>
    </row>
    <row r="360" spans="1:10">
      <c r="C360" s="453" t="s">
        <v>429</v>
      </c>
      <c r="E360" s="462">
        <v>0</v>
      </c>
    </row>
    <row r="361" spans="1:10">
      <c r="C361" s="453" t="s">
        <v>815</v>
      </c>
      <c r="E361" s="462">
        <v>0.01</v>
      </c>
    </row>
    <row r="362" spans="1:10">
      <c r="E362" s="457"/>
    </row>
    <row r="363" spans="1:10">
      <c r="E363" s="457"/>
    </row>
    <row r="367" spans="1:10">
      <c r="A367" s="460" t="s">
        <v>935</v>
      </c>
      <c r="B367" s="460"/>
      <c r="C367" s="460"/>
      <c r="D367" s="460"/>
      <c r="E367" s="460"/>
      <c r="F367" s="456"/>
      <c r="G367" s="460"/>
      <c r="H367" s="460"/>
      <c r="I367" s="460"/>
      <c r="J367" s="459" t="s">
        <v>934</v>
      </c>
    </row>
    <row r="369" spans="1:10">
      <c r="B369" s="453" t="s">
        <v>816</v>
      </c>
    </row>
    <row r="370" spans="1:10">
      <c r="C370" s="453" t="s">
        <v>429</v>
      </c>
      <c r="E370" s="462">
        <v>1.659758263966713</v>
      </c>
    </row>
    <row r="371" spans="1:10">
      <c r="C371" s="453" t="s">
        <v>815</v>
      </c>
      <c r="E371" s="462">
        <v>0.1659758263966713</v>
      </c>
    </row>
    <row r="372" spans="1:10">
      <c r="E372" s="457"/>
    </row>
    <row r="373" spans="1:10">
      <c r="E373" s="457"/>
    </row>
    <row r="377" spans="1:10">
      <c r="A377" s="460" t="s">
        <v>933</v>
      </c>
      <c r="B377" s="460"/>
      <c r="C377" s="460"/>
      <c r="D377" s="460"/>
      <c r="E377" s="460"/>
      <c r="F377" s="456"/>
      <c r="G377" s="460"/>
      <c r="H377" s="460"/>
      <c r="I377" s="460"/>
      <c r="J377" s="459" t="s">
        <v>932</v>
      </c>
    </row>
    <row r="379" spans="1:10">
      <c r="B379" s="453" t="s">
        <v>816</v>
      </c>
    </row>
    <row r="380" spans="1:10">
      <c r="C380" s="453" t="s">
        <v>429</v>
      </c>
      <c r="E380" s="462">
        <v>9.8055503852247483E-2</v>
      </c>
    </row>
    <row r="381" spans="1:10">
      <c r="C381" s="453" t="s">
        <v>815</v>
      </c>
      <c r="E381" s="462">
        <v>9.8055503852247476E-3</v>
      </c>
    </row>
    <row r="382" spans="1:10">
      <c r="E382" s="457"/>
    </row>
    <row r="383" spans="1:10">
      <c r="E383" s="457"/>
    </row>
    <row r="387" spans="1:10">
      <c r="A387" s="460" t="s">
        <v>931</v>
      </c>
      <c r="B387" s="460"/>
      <c r="C387" s="460"/>
      <c r="D387" s="460"/>
      <c r="E387" s="460"/>
      <c r="F387" s="456"/>
      <c r="G387" s="460"/>
      <c r="H387" s="460"/>
      <c r="I387" s="460"/>
      <c r="J387" s="459" t="s">
        <v>930</v>
      </c>
    </row>
    <row r="389" spans="1:10">
      <c r="B389" s="453" t="s">
        <v>816</v>
      </c>
    </row>
    <row r="390" spans="1:10">
      <c r="C390" s="453" t="s">
        <v>429</v>
      </c>
      <c r="E390" s="462">
        <v>1.6786106262748464E-2</v>
      </c>
    </row>
    <row r="391" spans="1:10">
      <c r="C391" s="453" t="s">
        <v>815</v>
      </c>
      <c r="E391" s="462">
        <v>1.6786106262748463E-3</v>
      </c>
    </row>
    <row r="392" spans="1:10">
      <c r="E392" s="457"/>
    </row>
    <row r="393" spans="1:10">
      <c r="E393" s="457"/>
    </row>
    <row r="397" spans="1:10">
      <c r="A397" s="460" t="s">
        <v>929</v>
      </c>
      <c r="B397" s="460"/>
      <c r="C397" s="460"/>
      <c r="D397" s="460"/>
      <c r="E397" s="460"/>
      <c r="F397" s="456"/>
      <c r="G397" s="460"/>
      <c r="H397" s="460"/>
      <c r="I397" s="460"/>
      <c r="J397" s="459" t="s">
        <v>928</v>
      </c>
    </row>
    <row r="399" spans="1:10">
      <c r="B399" s="453" t="s">
        <v>816</v>
      </c>
    </row>
    <row r="400" spans="1:10">
      <c r="C400" s="453" t="s">
        <v>429</v>
      </c>
      <c r="E400" s="462">
        <v>1.733018822509989E-3</v>
      </c>
    </row>
    <row r="401" spans="1:10">
      <c r="C401" s="453" t="s">
        <v>815</v>
      </c>
      <c r="E401" s="462">
        <v>1.733018822509989E-4</v>
      </c>
    </row>
    <row r="402" spans="1:10">
      <c r="E402" s="457"/>
    </row>
    <row r="403" spans="1:10">
      <c r="E403" s="457"/>
    </row>
    <row r="407" spans="1:10">
      <c r="A407" s="460" t="s">
        <v>927</v>
      </c>
      <c r="B407" s="460"/>
      <c r="C407" s="460"/>
      <c r="D407" s="460"/>
      <c r="E407" s="460"/>
      <c r="F407" s="456"/>
      <c r="G407" s="460"/>
      <c r="H407" s="460"/>
      <c r="I407" s="460"/>
      <c r="J407" s="459" t="s">
        <v>926</v>
      </c>
    </row>
    <row r="409" spans="1:10">
      <c r="B409" s="453" t="s">
        <v>816</v>
      </c>
    </row>
    <row r="410" spans="1:10">
      <c r="C410" s="453" t="s">
        <v>429</v>
      </c>
      <c r="E410" s="462">
        <v>7.8882926204694337E-2</v>
      </c>
    </row>
    <row r="411" spans="1:10">
      <c r="C411" s="453" t="s">
        <v>815</v>
      </c>
      <c r="E411" s="462">
        <v>7.8882926204694344E-3</v>
      </c>
    </row>
    <row r="412" spans="1:10">
      <c r="E412" s="457"/>
    </row>
    <row r="413" spans="1:10">
      <c r="E413" s="457"/>
    </row>
    <row r="417" spans="1:10">
      <c r="A417" s="460" t="s">
        <v>925</v>
      </c>
      <c r="B417" s="460"/>
      <c r="C417" s="460"/>
      <c r="D417" s="460"/>
      <c r="E417" s="460"/>
      <c r="F417" s="456"/>
      <c r="G417" s="460"/>
      <c r="H417" s="460"/>
      <c r="I417" s="460"/>
      <c r="J417" s="459" t="s">
        <v>924</v>
      </c>
    </row>
    <row r="419" spans="1:10">
      <c r="B419" s="453" t="s">
        <v>816</v>
      </c>
    </row>
    <row r="420" spans="1:10">
      <c r="C420" s="453" t="s">
        <v>429</v>
      </c>
      <c r="E420" s="462">
        <v>9.6506862561638262E-2</v>
      </c>
    </row>
    <row r="421" spans="1:10">
      <c r="C421" s="453" t="s">
        <v>815</v>
      </c>
      <c r="E421" s="462">
        <v>9.6506862561638266E-3</v>
      </c>
    </row>
    <row r="422" spans="1:10">
      <c r="E422" s="457"/>
    </row>
    <row r="423" spans="1:10">
      <c r="E423" s="457"/>
    </row>
    <row r="427" spans="1:10">
      <c r="A427" s="460" t="s">
        <v>923</v>
      </c>
      <c r="B427" s="460"/>
      <c r="C427" s="460"/>
      <c r="D427" s="460"/>
      <c r="E427" s="460"/>
      <c r="F427" s="456"/>
      <c r="G427" s="460"/>
      <c r="H427" s="460"/>
      <c r="I427" s="460"/>
      <c r="J427" s="459" t="s">
        <v>922</v>
      </c>
    </row>
    <row r="429" spans="1:10">
      <c r="B429" s="453" t="s">
        <v>843</v>
      </c>
    </row>
    <row r="430" spans="1:10">
      <c r="C430" s="453" t="s">
        <v>781</v>
      </c>
      <c r="E430" s="462">
        <v>-0.48</v>
      </c>
    </row>
    <row r="431" spans="1:10">
      <c r="C431" s="453" t="s">
        <v>782</v>
      </c>
      <c r="E431" s="462">
        <v>-0.14000000000000001</v>
      </c>
    </row>
    <row r="432" spans="1:10">
      <c r="E432" s="457"/>
    </row>
    <row r="433" spans="1:10">
      <c r="E433" s="457"/>
    </row>
    <row r="437" spans="1:10">
      <c r="A437" s="460" t="s">
        <v>921</v>
      </c>
      <c r="B437" s="460"/>
      <c r="C437" s="460"/>
      <c r="D437" s="460"/>
      <c r="E437" s="460"/>
      <c r="F437" s="456"/>
      <c r="G437" s="460"/>
      <c r="H437" s="460"/>
      <c r="I437" s="460"/>
      <c r="J437" s="459" t="s">
        <v>920</v>
      </c>
    </row>
    <row r="439" spans="1:10">
      <c r="B439" s="453" t="s">
        <v>816</v>
      </c>
    </row>
    <row r="440" spans="1:10">
      <c r="C440" s="453" t="s">
        <v>429</v>
      </c>
      <c r="E440" s="462">
        <v>-0.12</v>
      </c>
    </row>
    <row r="441" spans="1:10">
      <c r="C441" s="453" t="s">
        <v>815</v>
      </c>
      <c r="E441" s="462">
        <v>1.2E-2</v>
      </c>
    </row>
    <row r="442" spans="1:10">
      <c r="E442" s="457"/>
    </row>
    <row r="443" spans="1:10">
      <c r="E443" s="457"/>
    </row>
    <row r="447" spans="1:10">
      <c r="A447" s="460" t="s">
        <v>919</v>
      </c>
      <c r="B447" s="460"/>
      <c r="C447" s="460"/>
      <c r="D447" s="460"/>
      <c r="E447" s="460"/>
      <c r="F447" s="456"/>
      <c r="G447" s="460"/>
      <c r="H447" s="460"/>
      <c r="I447" s="460"/>
      <c r="J447" s="459" t="s">
        <v>918</v>
      </c>
    </row>
    <row r="449" spans="1:10">
      <c r="B449" s="453" t="s">
        <v>816</v>
      </c>
    </row>
    <row r="450" spans="1:10">
      <c r="C450" s="453" t="s">
        <v>429</v>
      </c>
      <c r="E450" s="462">
        <v>-0.12</v>
      </c>
    </row>
    <row r="451" spans="1:10">
      <c r="C451" s="453" t="s">
        <v>815</v>
      </c>
      <c r="E451" s="462">
        <v>1.2E-2</v>
      </c>
    </row>
    <row r="452" spans="1:10">
      <c r="E452" s="457"/>
    </row>
    <row r="453" spans="1:10">
      <c r="E453" s="457"/>
    </row>
    <row r="457" spans="1:10">
      <c r="A457" s="460" t="s">
        <v>917</v>
      </c>
      <c r="B457" s="460"/>
      <c r="C457" s="460"/>
      <c r="D457" s="460"/>
      <c r="E457" s="460"/>
      <c r="F457" s="456"/>
      <c r="G457" s="460"/>
      <c r="H457" s="460"/>
      <c r="I457" s="460"/>
      <c r="J457" s="459" t="s">
        <v>916</v>
      </c>
    </row>
    <row r="459" spans="1:10">
      <c r="B459" s="453" t="s">
        <v>816</v>
      </c>
    </row>
    <row r="460" spans="1:10">
      <c r="C460" s="453" t="s">
        <v>429</v>
      </c>
      <c r="E460" s="462">
        <v>4.2082793410944196E-2</v>
      </c>
    </row>
    <row r="461" spans="1:10">
      <c r="C461" s="453" t="s">
        <v>815</v>
      </c>
      <c r="E461" s="462">
        <v>4.2082793410944197E-3</v>
      </c>
    </row>
    <row r="462" spans="1:10">
      <c r="E462" s="457"/>
    </row>
    <row r="463" spans="1:10">
      <c r="E463" s="457"/>
    </row>
    <row r="467" spans="1:10">
      <c r="A467" s="460" t="s">
        <v>915</v>
      </c>
      <c r="B467" s="460"/>
      <c r="C467" s="460"/>
      <c r="D467" s="460"/>
      <c r="E467" s="460"/>
      <c r="F467" s="456"/>
      <c r="G467" s="460"/>
      <c r="H467" s="460"/>
      <c r="I467" s="460"/>
      <c r="J467" s="459" t="s">
        <v>914</v>
      </c>
    </row>
    <row r="469" spans="1:10">
      <c r="B469" s="453" t="s">
        <v>816</v>
      </c>
    </row>
    <row r="470" spans="1:10">
      <c r="C470" s="453" t="s">
        <v>429</v>
      </c>
      <c r="E470" s="462">
        <v>9.0447902743732607E-3</v>
      </c>
    </row>
    <row r="471" spans="1:10">
      <c r="C471" s="453" t="s">
        <v>815</v>
      </c>
      <c r="E471" s="462">
        <v>9.0447902743732609E-4</v>
      </c>
    </row>
    <row r="472" spans="1:10">
      <c r="E472" s="457"/>
    </row>
    <row r="473" spans="1:10">
      <c r="E473" s="457"/>
    </row>
    <row r="477" spans="1:10">
      <c r="A477" s="460" t="s">
        <v>913</v>
      </c>
      <c r="B477" s="460"/>
      <c r="C477" s="460"/>
      <c r="D477" s="460"/>
      <c r="E477" s="460"/>
      <c r="F477" s="456"/>
      <c r="G477" s="460"/>
      <c r="H477" s="460"/>
      <c r="I477" s="460"/>
      <c r="J477" s="459" t="s">
        <v>912</v>
      </c>
    </row>
    <row r="479" spans="1:10">
      <c r="B479" s="453" t="s">
        <v>843</v>
      </c>
    </row>
    <row r="480" spans="1:10">
      <c r="C480" s="453" t="s">
        <v>781</v>
      </c>
      <c r="E480" s="462">
        <v>-2.09</v>
      </c>
    </row>
    <row r="481" spans="1:10">
      <c r="C481" s="453" t="s">
        <v>782</v>
      </c>
      <c r="E481" s="462">
        <v>0.42</v>
      </c>
    </row>
    <row r="482" spans="1:10">
      <c r="E482" s="457"/>
    </row>
    <row r="483" spans="1:10">
      <c r="E483" s="457"/>
    </row>
    <row r="487" spans="1:10">
      <c r="A487" s="460" t="s">
        <v>911</v>
      </c>
      <c r="B487" s="460"/>
      <c r="C487" s="460"/>
      <c r="D487" s="460"/>
      <c r="E487" s="460"/>
      <c r="F487" s="456"/>
      <c r="G487" s="460"/>
      <c r="H487" s="460"/>
      <c r="I487" s="460"/>
      <c r="J487" s="459" t="s">
        <v>910</v>
      </c>
    </row>
    <row r="489" spans="1:10">
      <c r="B489" s="453" t="s">
        <v>843</v>
      </c>
    </row>
    <row r="490" spans="1:10">
      <c r="C490" s="453" t="s">
        <v>781</v>
      </c>
      <c r="E490" s="462">
        <v>-0.06</v>
      </c>
    </row>
    <row r="491" spans="1:10">
      <c r="C491" s="453" t="s">
        <v>782</v>
      </c>
      <c r="E491" s="462">
        <v>0.14000000000000001</v>
      </c>
    </row>
    <row r="492" spans="1:10">
      <c r="E492" s="457"/>
    </row>
    <row r="493" spans="1:10">
      <c r="E493" s="457"/>
    </row>
    <row r="497" spans="1:10">
      <c r="A497" s="460" t="s">
        <v>909</v>
      </c>
      <c r="B497" s="460"/>
      <c r="C497" s="460"/>
      <c r="D497" s="460"/>
      <c r="E497" s="460"/>
      <c r="F497" s="456"/>
      <c r="G497" s="460"/>
      <c r="H497" s="460"/>
      <c r="I497" s="460"/>
      <c r="J497" s="459" t="s">
        <v>908</v>
      </c>
    </row>
    <row r="499" spans="1:10">
      <c r="B499" s="453" t="s">
        <v>843</v>
      </c>
    </row>
    <row r="500" spans="1:10">
      <c r="C500" s="453" t="s">
        <v>781</v>
      </c>
      <c r="E500" s="462">
        <v>-0.06</v>
      </c>
    </row>
    <row r="501" spans="1:10">
      <c r="C501" s="453" t="s">
        <v>782</v>
      </c>
      <c r="E501" s="462">
        <v>0.14000000000000001</v>
      </c>
    </row>
    <row r="502" spans="1:10">
      <c r="E502" s="457"/>
    </row>
    <row r="503" spans="1:10">
      <c r="E503" s="457"/>
    </row>
    <row r="507" spans="1:10">
      <c r="A507" s="460" t="s">
        <v>907</v>
      </c>
      <c r="B507" s="460"/>
      <c r="C507" s="460"/>
      <c r="D507" s="460"/>
      <c r="E507" s="460"/>
      <c r="F507" s="456"/>
      <c r="G507" s="460"/>
      <c r="H507" s="460"/>
      <c r="I507" s="460"/>
      <c r="J507" s="459" t="s">
        <v>906</v>
      </c>
    </row>
    <row r="509" spans="1:10">
      <c r="B509" s="453" t="s">
        <v>816</v>
      </c>
    </row>
    <row r="510" spans="1:10">
      <c r="C510" s="453" t="s">
        <v>429</v>
      </c>
      <c r="E510" s="462">
        <v>2.6301030034267651E-2</v>
      </c>
    </row>
    <row r="511" spans="1:10">
      <c r="C511" s="453" t="s">
        <v>815</v>
      </c>
      <c r="E511" s="462">
        <v>2.6301030034267649E-3</v>
      </c>
    </row>
    <row r="512" spans="1:10">
      <c r="E512" s="457"/>
    </row>
    <row r="513" spans="1:10">
      <c r="E513" s="457"/>
    </row>
    <row r="517" spans="1:10">
      <c r="A517" s="460" t="s">
        <v>905</v>
      </c>
      <c r="B517" s="460"/>
      <c r="C517" s="460"/>
      <c r="D517" s="460"/>
      <c r="E517" s="460"/>
      <c r="F517" s="456"/>
      <c r="G517" s="460"/>
      <c r="H517" s="460"/>
      <c r="I517" s="460"/>
      <c r="J517" s="459" t="s">
        <v>904</v>
      </c>
    </row>
    <row r="519" spans="1:10">
      <c r="B519" s="453" t="s">
        <v>816</v>
      </c>
    </row>
    <row r="520" spans="1:10">
      <c r="C520" s="453" t="s">
        <v>429</v>
      </c>
      <c r="E520" s="462">
        <v>1.1211319073083779</v>
      </c>
    </row>
    <row r="521" spans="1:10">
      <c r="C521" s="453" t="s">
        <v>815</v>
      </c>
      <c r="E521" s="462">
        <v>0.11211319073083778</v>
      </c>
    </row>
    <row r="522" spans="1:10">
      <c r="E522" s="457"/>
    </row>
    <row r="523" spans="1:10">
      <c r="E523" s="457"/>
    </row>
    <row r="527" spans="1:10">
      <c r="A527" s="460" t="s">
        <v>903</v>
      </c>
      <c r="B527" s="460"/>
      <c r="C527" s="460"/>
      <c r="D527" s="460"/>
      <c r="E527" s="460"/>
      <c r="F527" s="456"/>
      <c r="G527" s="460"/>
      <c r="H527" s="460"/>
      <c r="I527" s="460"/>
      <c r="J527" s="459" t="s">
        <v>902</v>
      </c>
    </row>
    <row r="529" spans="1:10">
      <c r="B529" s="453" t="s">
        <v>816</v>
      </c>
    </row>
    <row r="530" spans="1:10">
      <c r="C530" s="453" t="s">
        <v>429</v>
      </c>
      <c r="E530" s="462">
        <v>-5.2750473464197603E-2</v>
      </c>
    </row>
    <row r="531" spans="1:10">
      <c r="C531" s="453" t="s">
        <v>815</v>
      </c>
      <c r="E531" s="462">
        <v>5.2750473464197607E-3</v>
      </c>
    </row>
    <row r="532" spans="1:10">
      <c r="E532" s="457"/>
    </row>
    <row r="533" spans="1:10">
      <c r="E533" s="457"/>
    </row>
    <row r="537" spans="1:10">
      <c r="A537" s="460" t="s">
        <v>901</v>
      </c>
      <c r="B537" s="460"/>
      <c r="C537" s="460"/>
      <c r="D537" s="460"/>
      <c r="E537" s="460"/>
      <c r="F537" s="456"/>
      <c r="G537" s="460"/>
      <c r="H537" s="460"/>
      <c r="I537" s="460"/>
      <c r="J537" s="459" t="s">
        <v>900</v>
      </c>
    </row>
    <row r="539" spans="1:10">
      <c r="B539" s="453" t="s">
        <v>816</v>
      </c>
    </row>
    <row r="540" spans="1:10">
      <c r="C540" s="453" t="s">
        <v>429</v>
      </c>
      <c r="E540" s="462">
        <v>-5.2750473464197589E-2</v>
      </c>
    </row>
    <row r="541" spans="1:10">
      <c r="C541" s="453" t="s">
        <v>815</v>
      </c>
      <c r="E541" s="462">
        <v>5.2750473464197589E-3</v>
      </c>
    </row>
    <row r="542" spans="1:10">
      <c r="E542" s="457"/>
    </row>
    <row r="543" spans="1:10">
      <c r="E543" s="457"/>
    </row>
    <row r="547" spans="1:10">
      <c r="A547" s="460" t="s">
        <v>899</v>
      </c>
      <c r="B547" s="460"/>
      <c r="C547" s="460"/>
      <c r="D547" s="460"/>
      <c r="E547" s="460"/>
      <c r="F547" s="456"/>
      <c r="G547" s="460"/>
      <c r="H547" s="460"/>
      <c r="I547" s="460"/>
      <c r="J547" s="459" t="s">
        <v>898</v>
      </c>
    </row>
    <row r="549" spans="1:10">
      <c r="B549" s="453" t="s">
        <v>816</v>
      </c>
    </row>
    <row r="550" spans="1:10">
      <c r="C550" s="453" t="s">
        <v>429</v>
      </c>
      <c r="E550" s="462">
        <v>3.7582989756941008E-3</v>
      </c>
    </row>
    <row r="551" spans="1:10">
      <c r="C551" s="453" t="s">
        <v>815</v>
      </c>
      <c r="E551" s="462">
        <v>1E-3</v>
      </c>
    </row>
    <row r="552" spans="1:10">
      <c r="E552" s="457"/>
    </row>
    <row r="553" spans="1:10">
      <c r="E553" s="457"/>
    </row>
    <row r="557" spans="1:10">
      <c r="A557" s="460" t="s">
        <v>897</v>
      </c>
      <c r="B557" s="460"/>
      <c r="C557" s="460"/>
      <c r="D557" s="460"/>
      <c r="E557" s="460"/>
      <c r="F557" s="456"/>
      <c r="G557" s="460"/>
      <c r="H557" s="460"/>
      <c r="I557" s="460"/>
      <c r="J557" s="459" t="s">
        <v>896</v>
      </c>
    </row>
    <row r="559" spans="1:10">
      <c r="B559" s="453" t="s">
        <v>816</v>
      </c>
    </row>
    <row r="560" spans="1:10">
      <c r="C560" s="453" t="s">
        <v>429</v>
      </c>
      <c r="E560" s="462">
        <v>3.7582989756941012E-3</v>
      </c>
    </row>
    <row r="561" spans="1:10">
      <c r="C561" s="453" t="s">
        <v>815</v>
      </c>
      <c r="E561" s="462">
        <v>3.7582989756941012E-4</v>
      </c>
    </row>
    <row r="562" spans="1:10">
      <c r="E562" s="457"/>
    </row>
    <row r="563" spans="1:10">
      <c r="E563" s="457"/>
    </row>
    <row r="567" spans="1:10">
      <c r="A567" s="460" t="s">
        <v>895</v>
      </c>
      <c r="B567" s="460"/>
      <c r="C567" s="460"/>
      <c r="D567" s="460"/>
      <c r="E567" s="460"/>
      <c r="F567" s="456"/>
      <c r="G567" s="460"/>
      <c r="H567" s="460"/>
      <c r="I567" s="460"/>
      <c r="J567" s="459" t="s">
        <v>894</v>
      </c>
    </row>
    <row r="569" spans="1:10">
      <c r="B569" s="453" t="s">
        <v>816</v>
      </c>
    </row>
    <row r="570" spans="1:10">
      <c r="C570" s="453" t="s">
        <v>429</v>
      </c>
      <c r="E570" s="462">
        <v>-3.9349875028942952E-2</v>
      </c>
    </row>
    <row r="571" spans="1:10">
      <c r="C571" s="453" t="s">
        <v>815</v>
      </c>
      <c r="E571" s="462">
        <v>3.9349875028942948E-3</v>
      </c>
    </row>
    <row r="572" spans="1:10">
      <c r="E572" s="457"/>
    </row>
    <row r="573" spans="1:10">
      <c r="E573" s="457"/>
    </row>
    <row r="577" spans="1:10">
      <c r="A577" s="460" t="s">
        <v>893</v>
      </c>
      <c r="B577" s="460"/>
      <c r="C577" s="460"/>
      <c r="D577" s="460"/>
      <c r="E577" s="460"/>
      <c r="F577" s="456"/>
      <c r="G577" s="460"/>
      <c r="H577" s="460"/>
      <c r="I577" s="460"/>
      <c r="J577" s="459" t="s">
        <v>892</v>
      </c>
    </row>
    <row r="579" spans="1:10">
      <c r="B579" s="453" t="s">
        <v>816</v>
      </c>
    </row>
    <row r="580" spans="1:10">
      <c r="C580" s="453" t="s">
        <v>429</v>
      </c>
      <c r="E580" s="462">
        <v>-3.9349875028942952E-2</v>
      </c>
    </row>
    <row r="581" spans="1:10">
      <c r="C581" s="453" t="s">
        <v>815</v>
      </c>
      <c r="E581" s="462">
        <v>3.9349875028942948E-3</v>
      </c>
    </row>
    <row r="582" spans="1:10">
      <c r="E582" s="457"/>
    </row>
    <row r="583" spans="1:10">
      <c r="E583" s="457"/>
    </row>
    <row r="587" spans="1:10">
      <c r="A587" s="460" t="s">
        <v>891</v>
      </c>
      <c r="B587" s="460"/>
      <c r="C587" s="460"/>
      <c r="D587" s="460"/>
      <c r="E587" s="460"/>
      <c r="F587" s="456"/>
      <c r="G587" s="460"/>
      <c r="H587" s="460"/>
      <c r="I587" s="460"/>
      <c r="J587" s="459" t="s">
        <v>890</v>
      </c>
    </row>
    <row r="589" spans="1:10" ht="140.25" customHeight="1">
      <c r="C589" s="708" t="s">
        <v>889</v>
      </c>
      <c r="D589" s="708"/>
      <c r="E589" s="708"/>
      <c r="F589" s="708"/>
      <c r="G589" s="708"/>
      <c r="H589" s="708"/>
      <c r="I589" s="708"/>
    </row>
    <row r="591" spans="1:10">
      <c r="B591" s="453" t="s">
        <v>843</v>
      </c>
    </row>
    <row r="592" spans="1:10">
      <c r="C592" s="453" t="s">
        <v>781</v>
      </c>
      <c r="E592" s="462">
        <v>0.02</v>
      </c>
    </row>
    <row r="593" spans="1:10">
      <c r="C593" s="453" t="s">
        <v>782</v>
      </c>
      <c r="E593" s="462">
        <v>0.12</v>
      </c>
    </row>
    <row r="594" spans="1:10">
      <c r="E594" s="457"/>
    </row>
    <row r="595" spans="1:10">
      <c r="E595" s="457"/>
    </row>
    <row r="599" spans="1:10">
      <c r="A599" s="460" t="s">
        <v>888</v>
      </c>
      <c r="B599" s="460"/>
      <c r="C599" s="460"/>
      <c r="D599" s="460"/>
      <c r="E599" s="460"/>
      <c r="F599" s="456"/>
      <c r="G599" s="460"/>
      <c r="H599" s="460"/>
      <c r="I599" s="460"/>
      <c r="J599" s="459" t="s">
        <v>887</v>
      </c>
    </row>
    <row r="601" spans="1:10">
      <c r="B601" s="453" t="s">
        <v>843</v>
      </c>
    </row>
    <row r="602" spans="1:10">
      <c r="C602" s="453" t="s">
        <v>781</v>
      </c>
      <c r="E602" s="462">
        <v>0.02</v>
      </c>
    </row>
    <row r="603" spans="1:10">
      <c r="C603" s="453" t="s">
        <v>782</v>
      </c>
      <c r="E603" s="462">
        <v>0.12</v>
      </c>
    </row>
    <row r="604" spans="1:10">
      <c r="E604" s="457"/>
    </row>
    <row r="605" spans="1:10">
      <c r="E605" s="457"/>
    </row>
    <row r="609" spans="1:10">
      <c r="A609" s="460" t="s">
        <v>886</v>
      </c>
      <c r="B609" s="460"/>
      <c r="C609" s="460"/>
      <c r="D609" s="460"/>
      <c r="E609" s="460"/>
      <c r="F609" s="456"/>
      <c r="G609" s="460"/>
      <c r="H609" s="460"/>
      <c r="I609" s="460"/>
      <c r="J609" s="459" t="s">
        <v>885</v>
      </c>
    </row>
    <row r="611" spans="1:10">
      <c r="B611" s="453" t="s">
        <v>816</v>
      </c>
    </row>
    <row r="612" spans="1:10">
      <c r="C612" s="453" t="s">
        <v>429</v>
      </c>
      <c r="E612" s="461">
        <v>0.30675290302434066</v>
      </c>
    </row>
    <row r="613" spans="1:10">
      <c r="C613" s="453" t="s">
        <v>815</v>
      </c>
      <c r="E613" s="461">
        <v>3.0675290302434065E-2</v>
      </c>
    </row>
    <row r="614" spans="1:10">
      <c r="E614" s="457"/>
    </row>
    <row r="615" spans="1:10">
      <c r="E615" s="457"/>
    </row>
    <row r="619" spans="1:10">
      <c r="A619" s="460" t="s">
        <v>884</v>
      </c>
      <c r="B619" s="460"/>
      <c r="C619" s="460"/>
      <c r="D619" s="460"/>
      <c r="E619" s="460"/>
      <c r="F619" s="456"/>
      <c r="G619" s="460"/>
      <c r="H619" s="460"/>
      <c r="I619" s="460"/>
      <c r="J619" s="459" t="s">
        <v>883</v>
      </c>
    </row>
    <row r="621" spans="1:10">
      <c r="B621" s="453" t="s">
        <v>816</v>
      </c>
    </row>
    <row r="622" spans="1:10">
      <c r="C622" s="453" t="s">
        <v>429</v>
      </c>
      <c r="E622" s="461">
        <v>4.9083316512498865E-2</v>
      </c>
    </row>
    <row r="623" spans="1:10">
      <c r="C623" s="453" t="s">
        <v>815</v>
      </c>
      <c r="E623" s="461">
        <v>4.9083316512498866E-3</v>
      </c>
    </row>
    <row r="624" spans="1:10">
      <c r="E624" s="457"/>
    </row>
    <row r="625" spans="1:10">
      <c r="E625" s="457"/>
    </row>
    <row r="629" spans="1:10">
      <c r="A629" s="460" t="s">
        <v>882</v>
      </c>
      <c r="B629" s="460"/>
      <c r="C629" s="460"/>
      <c r="D629" s="460"/>
      <c r="E629" s="460"/>
      <c r="F629" s="456"/>
      <c r="G629" s="460"/>
      <c r="H629" s="460"/>
      <c r="I629" s="460"/>
      <c r="J629" s="459" t="s">
        <v>881</v>
      </c>
    </row>
    <row r="631" spans="1:10">
      <c r="B631" s="453" t="s">
        <v>816</v>
      </c>
    </row>
    <row r="632" spans="1:10">
      <c r="C632" s="453" t="s">
        <v>429</v>
      </c>
      <c r="E632" s="458">
        <v>7.5992771546960457E-3</v>
      </c>
    </row>
    <row r="633" spans="1:10">
      <c r="C633" s="453" t="s">
        <v>815</v>
      </c>
      <c r="E633" s="458">
        <v>7.5992771546960455E-4</v>
      </c>
    </row>
    <row r="634" spans="1:10">
      <c r="E634" s="457"/>
    </row>
    <row r="635" spans="1:10">
      <c r="E635" s="457"/>
    </row>
    <row r="639" spans="1:10">
      <c r="A639" s="460" t="s">
        <v>880</v>
      </c>
      <c r="B639" s="460"/>
      <c r="C639" s="460"/>
      <c r="D639" s="460"/>
      <c r="E639" s="460"/>
      <c r="F639" s="456"/>
      <c r="G639" s="460"/>
      <c r="H639" s="460"/>
      <c r="I639" s="460"/>
      <c r="J639" s="459" t="s">
        <v>879</v>
      </c>
    </row>
    <row r="641" spans="1:10">
      <c r="B641" s="453" t="s">
        <v>816</v>
      </c>
    </row>
    <row r="642" spans="1:10">
      <c r="C642" s="453" t="s">
        <v>429</v>
      </c>
      <c r="E642" s="462">
        <v>-2.3670347116980586E-3</v>
      </c>
    </row>
    <row r="643" spans="1:10">
      <c r="C643" s="453" t="s">
        <v>815</v>
      </c>
      <c r="E643" s="462">
        <v>1E-3</v>
      </c>
    </row>
    <row r="644" spans="1:10">
      <c r="E644" s="457"/>
    </row>
    <row r="645" spans="1:10">
      <c r="E645" s="457"/>
    </row>
    <row r="649" spans="1:10">
      <c r="A649" s="460" t="s">
        <v>878</v>
      </c>
      <c r="B649" s="460"/>
      <c r="C649" s="460"/>
      <c r="D649" s="460"/>
      <c r="E649" s="460"/>
      <c r="F649" s="456"/>
      <c r="G649" s="460"/>
      <c r="H649" s="460"/>
      <c r="I649" s="460"/>
      <c r="J649" s="459" t="s">
        <v>877</v>
      </c>
    </row>
    <row r="651" spans="1:10">
      <c r="B651" s="453" t="s">
        <v>816</v>
      </c>
    </row>
    <row r="652" spans="1:10">
      <c r="C652" s="453" t="s">
        <v>429</v>
      </c>
      <c r="E652" s="462">
        <v>-2.3670347116980586E-3</v>
      </c>
    </row>
    <row r="653" spans="1:10">
      <c r="C653" s="453" t="s">
        <v>815</v>
      </c>
      <c r="E653" s="462">
        <v>2.3670347116980586E-4</v>
      </c>
    </row>
    <row r="654" spans="1:10">
      <c r="E654" s="457"/>
    </row>
    <row r="655" spans="1:10">
      <c r="E655" s="457"/>
    </row>
    <row r="659" spans="1:10">
      <c r="A659" s="460" t="s">
        <v>876</v>
      </c>
      <c r="B659" s="460"/>
      <c r="C659" s="460"/>
      <c r="D659" s="460"/>
      <c r="E659" s="460"/>
      <c r="F659" s="456"/>
      <c r="G659" s="460"/>
      <c r="H659" s="460"/>
      <c r="I659" s="460"/>
      <c r="J659" s="459" t="s">
        <v>875</v>
      </c>
    </row>
    <row r="661" spans="1:10">
      <c r="B661" s="453" t="s">
        <v>843</v>
      </c>
    </row>
    <row r="662" spans="1:10">
      <c r="C662" s="453" t="s">
        <v>781</v>
      </c>
      <c r="E662" s="462">
        <v>0.11</v>
      </c>
    </row>
    <row r="663" spans="1:10">
      <c r="C663" s="453" t="s">
        <v>782</v>
      </c>
      <c r="E663" s="462">
        <v>0.18</v>
      </c>
    </row>
    <row r="664" spans="1:10">
      <c r="E664" s="457"/>
    </row>
    <row r="665" spans="1:10">
      <c r="E665" s="457"/>
    </row>
    <row r="669" spans="1:10">
      <c r="A669" s="460" t="s">
        <v>874</v>
      </c>
      <c r="B669" s="460"/>
      <c r="C669" s="460"/>
      <c r="D669" s="460"/>
      <c r="E669" s="460"/>
      <c r="F669" s="456"/>
      <c r="G669" s="460"/>
      <c r="H669" s="460"/>
      <c r="I669" s="460"/>
      <c r="J669" s="459" t="s">
        <v>873</v>
      </c>
    </row>
    <row r="671" spans="1:10">
      <c r="B671" s="453" t="s">
        <v>843</v>
      </c>
    </row>
    <row r="672" spans="1:10">
      <c r="C672" s="453" t="s">
        <v>781</v>
      </c>
      <c r="E672" s="462">
        <v>0.13923776980191141</v>
      </c>
    </row>
    <row r="673" spans="1:10">
      <c r="C673" s="453" t="s">
        <v>782</v>
      </c>
      <c r="E673" s="462">
        <v>0.43</v>
      </c>
    </row>
    <row r="674" spans="1:10">
      <c r="E674" s="457"/>
    </row>
    <row r="675" spans="1:10">
      <c r="E675" s="457"/>
    </row>
    <row r="679" spans="1:10">
      <c r="A679" s="460" t="s">
        <v>872</v>
      </c>
      <c r="B679" s="460"/>
      <c r="C679" s="460"/>
      <c r="D679" s="460"/>
      <c r="E679" s="460"/>
      <c r="F679" s="456"/>
      <c r="G679" s="460"/>
      <c r="H679" s="460"/>
      <c r="I679" s="460"/>
      <c r="J679" s="459" t="s">
        <v>871</v>
      </c>
    </row>
    <row r="681" spans="1:10">
      <c r="B681" s="453" t="s">
        <v>816</v>
      </c>
    </row>
    <row r="682" spans="1:10">
      <c r="C682" s="453" t="s">
        <v>429</v>
      </c>
      <c r="E682" s="462">
        <v>-8.0919964099763382E-3</v>
      </c>
    </row>
    <row r="683" spans="1:10">
      <c r="C683" s="453" t="s">
        <v>815</v>
      </c>
      <c r="E683" s="462">
        <v>1E-3</v>
      </c>
    </row>
    <row r="684" spans="1:10">
      <c r="E684" s="457"/>
    </row>
    <row r="685" spans="1:10">
      <c r="E685" s="457"/>
    </row>
    <row r="689" spans="1:10">
      <c r="A689" s="460" t="s">
        <v>870</v>
      </c>
      <c r="B689" s="460"/>
      <c r="C689" s="460"/>
      <c r="D689" s="460"/>
      <c r="E689" s="460"/>
      <c r="F689" s="456"/>
      <c r="G689" s="460"/>
      <c r="H689" s="460"/>
      <c r="I689" s="460"/>
      <c r="J689" s="459" t="s">
        <v>869</v>
      </c>
    </row>
    <row r="691" spans="1:10">
      <c r="B691" s="453" t="s">
        <v>816</v>
      </c>
    </row>
    <row r="692" spans="1:10">
      <c r="C692" s="453" t="s">
        <v>429</v>
      </c>
      <c r="E692" s="462">
        <v>-8.0919964099763382E-3</v>
      </c>
    </row>
    <row r="693" spans="1:10">
      <c r="C693" s="453" t="s">
        <v>815</v>
      </c>
      <c r="E693" s="462">
        <v>8.091996409976338E-4</v>
      </c>
    </row>
    <row r="694" spans="1:10">
      <c r="E694" s="457"/>
    </row>
    <row r="695" spans="1:10">
      <c r="E695" s="457"/>
    </row>
    <row r="699" spans="1:10">
      <c r="A699" s="460" t="s">
        <v>824</v>
      </c>
      <c r="B699" s="460"/>
      <c r="C699" s="460"/>
      <c r="D699" s="460"/>
      <c r="E699" s="460"/>
      <c r="F699" s="456"/>
      <c r="G699" s="460"/>
      <c r="H699" s="460"/>
      <c r="I699" s="460"/>
      <c r="J699" s="459" t="s">
        <v>868</v>
      </c>
    </row>
    <row r="701" spans="1:10">
      <c r="B701" s="453" t="s">
        <v>816</v>
      </c>
    </row>
    <row r="702" spans="1:10">
      <c r="C702" s="453" t="s">
        <v>429</v>
      </c>
      <c r="E702" s="461">
        <v>0.22973515272238387</v>
      </c>
    </row>
    <row r="703" spans="1:10">
      <c r="C703" s="453" t="s">
        <v>815</v>
      </c>
      <c r="E703" s="461">
        <v>2.2973515272238388E-2</v>
      </c>
    </row>
    <row r="704" spans="1:10">
      <c r="E704" s="457"/>
    </row>
    <row r="705" spans="1:10">
      <c r="E705" s="457"/>
    </row>
    <row r="709" spans="1:10">
      <c r="A709" s="460" t="s">
        <v>867</v>
      </c>
      <c r="B709" s="460"/>
      <c r="C709" s="460"/>
      <c r="D709" s="460"/>
      <c r="E709" s="460"/>
      <c r="F709" s="456"/>
      <c r="G709" s="460"/>
      <c r="H709" s="460"/>
      <c r="I709" s="460"/>
      <c r="J709" s="459" t="s">
        <v>866</v>
      </c>
    </row>
    <row r="711" spans="1:10">
      <c r="B711" s="453" t="s">
        <v>816</v>
      </c>
    </row>
    <row r="712" spans="1:10">
      <c r="C712" s="453" t="s">
        <v>429</v>
      </c>
      <c r="E712" s="461">
        <v>9.1363297736570925E-2</v>
      </c>
    </row>
    <row r="713" spans="1:10">
      <c r="C713" s="453" t="s">
        <v>815</v>
      </c>
      <c r="E713" s="461">
        <v>9.1363297736570918E-3</v>
      </c>
    </row>
    <row r="714" spans="1:10">
      <c r="E714" s="457"/>
    </row>
    <row r="715" spans="1:10">
      <c r="E715" s="457"/>
    </row>
    <row r="719" spans="1:10">
      <c r="A719" s="460" t="s">
        <v>865</v>
      </c>
      <c r="B719" s="460"/>
      <c r="C719" s="460"/>
      <c r="D719" s="460"/>
      <c r="E719" s="460"/>
      <c r="F719" s="456"/>
      <c r="G719" s="460"/>
      <c r="H719" s="460"/>
      <c r="I719" s="460"/>
      <c r="J719" s="459" t="s">
        <v>864</v>
      </c>
    </row>
    <row r="721" spans="1:10">
      <c r="B721" s="453" t="s">
        <v>816</v>
      </c>
    </row>
    <row r="722" spans="1:10">
      <c r="C722" s="453" t="s">
        <v>429</v>
      </c>
      <c r="E722" s="458">
        <v>4.1528147123543824E-3</v>
      </c>
    </row>
    <row r="723" spans="1:10">
      <c r="C723" s="453" t="s">
        <v>815</v>
      </c>
      <c r="E723" s="458">
        <v>4.1528147123543824E-4</v>
      </c>
    </row>
    <row r="724" spans="1:10">
      <c r="E724" s="457"/>
    </row>
    <row r="725" spans="1:10">
      <c r="E725" s="457"/>
    </row>
    <row r="729" spans="1:10">
      <c r="A729" s="460" t="s">
        <v>863</v>
      </c>
      <c r="B729" s="460"/>
      <c r="C729" s="460"/>
      <c r="D729" s="460"/>
      <c r="E729" s="460"/>
      <c r="F729" s="456"/>
      <c r="G729" s="460"/>
      <c r="H729" s="460"/>
      <c r="I729" s="460"/>
      <c r="J729" s="459" t="s">
        <v>862</v>
      </c>
    </row>
    <row r="731" spans="1:10">
      <c r="B731" s="453" t="s">
        <v>816</v>
      </c>
    </row>
    <row r="732" spans="1:10">
      <c r="C732" s="453" t="s">
        <v>429</v>
      </c>
      <c r="E732" s="462">
        <v>6.3059441274082376E-3</v>
      </c>
    </row>
    <row r="733" spans="1:10">
      <c r="C733" s="453" t="s">
        <v>815</v>
      </c>
      <c r="E733" s="462">
        <v>6.3059441274082378E-4</v>
      </c>
    </row>
    <row r="734" spans="1:10">
      <c r="E734" s="457"/>
    </row>
    <row r="735" spans="1:10">
      <c r="E735" s="457"/>
    </row>
    <row r="739" spans="1:10">
      <c r="A739" s="460" t="s">
        <v>861</v>
      </c>
      <c r="B739" s="460"/>
      <c r="C739" s="460"/>
      <c r="D739" s="460"/>
      <c r="E739" s="460"/>
      <c r="F739" s="456"/>
      <c r="G739" s="460"/>
      <c r="H739" s="460"/>
      <c r="I739" s="460"/>
      <c r="J739" s="459" t="s">
        <v>860</v>
      </c>
    </row>
    <row r="741" spans="1:10">
      <c r="B741" s="453" t="s">
        <v>816</v>
      </c>
    </row>
    <row r="742" spans="1:10">
      <c r="C742" s="453" t="s">
        <v>429</v>
      </c>
      <c r="E742" s="462">
        <v>-5.716596011945593E-3</v>
      </c>
    </row>
    <row r="743" spans="1:10">
      <c r="C743" s="453" t="s">
        <v>815</v>
      </c>
      <c r="E743" s="462">
        <v>5.7165960119455927E-4</v>
      </c>
    </row>
    <row r="744" spans="1:10">
      <c r="E744" s="457"/>
    </row>
    <row r="745" spans="1:10">
      <c r="E745" s="457"/>
    </row>
    <row r="749" spans="1:10">
      <c r="A749" s="460" t="s">
        <v>859</v>
      </c>
      <c r="B749" s="460"/>
      <c r="C749" s="460"/>
      <c r="D749" s="460"/>
      <c r="E749" s="460"/>
      <c r="F749" s="456"/>
      <c r="G749" s="460"/>
      <c r="H749" s="460"/>
      <c r="I749" s="460"/>
      <c r="J749" s="459" t="s">
        <v>858</v>
      </c>
    </row>
    <row r="751" spans="1:10">
      <c r="B751" s="453" t="s">
        <v>816</v>
      </c>
    </row>
    <row r="752" spans="1:10">
      <c r="C752" s="453" t="s">
        <v>429</v>
      </c>
      <c r="E752" s="462">
        <v>-5.8876063913510281E-2</v>
      </c>
    </row>
    <row r="753" spans="1:10">
      <c r="C753" s="453" t="s">
        <v>815</v>
      </c>
      <c r="E753" s="462">
        <v>5.8876063913510281E-3</v>
      </c>
    </row>
    <row r="754" spans="1:10">
      <c r="E754" s="457"/>
    </row>
    <row r="755" spans="1:10">
      <c r="E755" s="457"/>
    </row>
    <row r="759" spans="1:10">
      <c r="A759" s="460" t="s">
        <v>857</v>
      </c>
      <c r="B759" s="460"/>
      <c r="C759" s="460"/>
      <c r="D759" s="460"/>
      <c r="E759" s="460"/>
      <c r="F759" s="456"/>
      <c r="G759" s="460"/>
      <c r="H759" s="460"/>
      <c r="I759" s="460"/>
      <c r="J759" s="459" t="s">
        <v>856</v>
      </c>
    </row>
    <row r="761" spans="1:10">
      <c r="B761" s="453" t="s">
        <v>816</v>
      </c>
    </row>
    <row r="762" spans="1:10">
      <c r="C762" s="453" t="s">
        <v>429</v>
      </c>
      <c r="E762" s="462">
        <v>-5.8876063913510281E-2</v>
      </c>
    </row>
    <row r="763" spans="1:10">
      <c r="C763" s="453" t="s">
        <v>815</v>
      </c>
      <c r="E763" s="462">
        <v>5.8876063913510281E-3</v>
      </c>
    </row>
    <row r="764" spans="1:10">
      <c r="E764" s="457"/>
    </row>
    <row r="765" spans="1:10">
      <c r="E765" s="457"/>
    </row>
    <row r="769" spans="1:10">
      <c r="A769" s="460" t="s">
        <v>855</v>
      </c>
      <c r="B769" s="460"/>
      <c r="C769" s="460"/>
      <c r="D769" s="460"/>
      <c r="E769" s="460"/>
      <c r="F769" s="456"/>
      <c r="G769" s="460"/>
      <c r="H769" s="460"/>
      <c r="I769" s="460"/>
      <c r="J769" s="459" t="s">
        <v>854</v>
      </c>
    </row>
    <row r="771" spans="1:10">
      <c r="B771" s="453" t="s">
        <v>816</v>
      </c>
    </row>
    <row r="772" spans="1:10">
      <c r="C772" s="453" t="s">
        <v>429</v>
      </c>
      <c r="E772" s="462">
        <v>2.9951923298960192E-2</v>
      </c>
    </row>
    <row r="773" spans="1:10">
      <c r="C773" s="453" t="s">
        <v>815</v>
      </c>
      <c r="E773" s="462">
        <v>2.9951923298960192E-3</v>
      </c>
    </row>
    <row r="774" spans="1:10">
      <c r="E774" s="457"/>
    </row>
    <row r="775" spans="1:10">
      <c r="E775" s="457"/>
    </row>
    <row r="779" spans="1:10">
      <c r="A779" s="460" t="s">
        <v>853</v>
      </c>
      <c r="B779" s="460"/>
      <c r="C779" s="460"/>
      <c r="D779" s="460"/>
      <c r="E779" s="460"/>
      <c r="F779" s="456"/>
      <c r="G779" s="460"/>
      <c r="H779" s="460"/>
      <c r="I779" s="460"/>
      <c r="J779" s="459" t="s">
        <v>852</v>
      </c>
    </row>
    <row r="781" spans="1:10">
      <c r="B781" s="453" t="s">
        <v>843</v>
      </c>
    </row>
    <row r="782" spans="1:10">
      <c r="C782" s="453" t="s">
        <v>781</v>
      </c>
      <c r="E782" s="462">
        <v>0</v>
      </c>
    </row>
    <row r="783" spans="1:10">
      <c r="C783" s="453" t="s">
        <v>782</v>
      </c>
      <c r="E783" s="462">
        <v>0.08</v>
      </c>
    </row>
    <row r="784" spans="1:10">
      <c r="E784" s="457"/>
    </row>
    <row r="785" spans="1:10">
      <c r="E785" s="457"/>
    </row>
    <row r="789" spans="1:10">
      <c r="A789" s="460" t="s">
        <v>851</v>
      </c>
      <c r="B789" s="460"/>
      <c r="C789" s="460"/>
      <c r="D789" s="460"/>
      <c r="E789" s="460"/>
      <c r="F789" s="456"/>
      <c r="G789" s="460"/>
      <c r="H789" s="460"/>
      <c r="I789" s="460"/>
      <c r="J789" s="459" t="s">
        <v>850</v>
      </c>
    </row>
    <row r="791" spans="1:10">
      <c r="B791" s="453" t="s">
        <v>816</v>
      </c>
    </row>
    <row r="792" spans="1:10">
      <c r="C792" s="453" t="s">
        <v>429</v>
      </c>
      <c r="E792" s="462">
        <v>2.8254277389950233E-2</v>
      </c>
    </row>
    <row r="793" spans="1:10">
      <c r="C793" s="453" t="s">
        <v>815</v>
      </c>
      <c r="E793" s="462">
        <v>2.8254277389950233E-3</v>
      </c>
    </row>
    <row r="794" spans="1:10">
      <c r="E794" s="457"/>
    </row>
    <row r="795" spans="1:10">
      <c r="E795" s="457"/>
    </row>
    <row r="799" spans="1:10">
      <c r="A799" s="460" t="s">
        <v>849</v>
      </c>
      <c r="B799" s="460"/>
      <c r="C799" s="460"/>
      <c r="D799" s="460"/>
      <c r="E799" s="460"/>
      <c r="F799" s="456"/>
      <c r="G799" s="460"/>
      <c r="H799" s="460"/>
      <c r="I799" s="460"/>
      <c r="J799" s="459" t="s">
        <v>848</v>
      </c>
    </row>
    <row r="801" spans="1:10">
      <c r="B801" s="453" t="s">
        <v>816</v>
      </c>
    </row>
    <row r="802" spans="1:10">
      <c r="C802" s="453" t="s">
        <v>429</v>
      </c>
      <c r="E802" s="462">
        <v>0.10318678070339327</v>
      </c>
    </row>
    <row r="803" spans="1:10">
      <c r="C803" s="453" t="s">
        <v>815</v>
      </c>
      <c r="E803" s="462">
        <v>1.0318678070339326E-2</v>
      </c>
    </row>
    <row r="804" spans="1:10">
      <c r="E804" s="457"/>
    </row>
    <row r="805" spans="1:10">
      <c r="E805" s="457"/>
    </row>
    <row r="809" spans="1:10">
      <c r="A809" s="460" t="s">
        <v>847</v>
      </c>
      <c r="B809" s="460"/>
      <c r="C809" s="460"/>
      <c r="D809" s="460"/>
      <c r="E809" s="460"/>
      <c r="F809" s="456"/>
      <c r="G809" s="460"/>
      <c r="H809" s="460"/>
      <c r="I809" s="460"/>
      <c r="J809" s="459" t="s">
        <v>846</v>
      </c>
    </row>
    <row r="811" spans="1:10">
      <c r="B811" s="453" t="s">
        <v>816</v>
      </c>
    </row>
    <row r="812" spans="1:10">
      <c r="C812" s="453" t="s">
        <v>429</v>
      </c>
      <c r="E812" s="462">
        <v>1.1774719465622904E-2</v>
      </c>
    </row>
    <row r="813" spans="1:10">
      <c r="C813" s="453" t="s">
        <v>815</v>
      </c>
      <c r="E813" s="462">
        <v>1.1774719465622904E-3</v>
      </c>
    </row>
    <row r="814" spans="1:10">
      <c r="E814" s="457"/>
    </row>
    <row r="815" spans="1:10">
      <c r="E815" s="457"/>
    </row>
    <row r="819" spans="1:10">
      <c r="A819" s="460" t="s">
        <v>845</v>
      </c>
      <c r="B819" s="460"/>
      <c r="C819" s="460"/>
      <c r="D819" s="460"/>
      <c r="E819" s="460"/>
      <c r="F819" s="456"/>
      <c r="G819" s="460"/>
      <c r="H819" s="460"/>
      <c r="I819" s="460"/>
      <c r="J819" s="459" t="s">
        <v>844</v>
      </c>
    </row>
    <row r="821" spans="1:10">
      <c r="B821" s="453" t="s">
        <v>843</v>
      </c>
    </row>
    <row r="822" spans="1:10">
      <c r="C822" s="453" t="s">
        <v>781</v>
      </c>
      <c r="E822" s="462">
        <v>-0.14000000000000001</v>
      </c>
    </row>
    <row r="823" spans="1:10">
      <c r="C823" s="453" t="s">
        <v>782</v>
      </c>
      <c r="E823" s="462">
        <v>0.03</v>
      </c>
    </row>
    <row r="824" spans="1:10">
      <c r="E824" s="457"/>
    </row>
    <row r="825" spans="1:10">
      <c r="E825" s="457"/>
    </row>
    <row r="829" spans="1:10">
      <c r="A829" s="460" t="s">
        <v>842</v>
      </c>
      <c r="B829" s="460"/>
      <c r="C829" s="460"/>
      <c r="D829" s="460"/>
      <c r="E829" s="460"/>
      <c r="F829" s="456"/>
      <c r="G829" s="460"/>
      <c r="H829" s="460"/>
      <c r="I829" s="460"/>
      <c r="J829" s="459" t="s">
        <v>841</v>
      </c>
    </row>
    <row r="831" spans="1:10">
      <c r="B831" s="453" t="s">
        <v>816</v>
      </c>
    </row>
    <row r="832" spans="1:10">
      <c r="C832" s="453" t="s">
        <v>429</v>
      </c>
      <c r="E832" s="462">
        <v>-0.76313160448303363</v>
      </c>
    </row>
    <row r="833" spans="1:10">
      <c r="C833" s="453" t="s">
        <v>815</v>
      </c>
      <c r="E833" s="462">
        <v>7.6313160448303358E-2</v>
      </c>
    </row>
    <row r="834" spans="1:10">
      <c r="E834" s="457"/>
    </row>
    <row r="835" spans="1:10">
      <c r="E835" s="457"/>
    </row>
    <row r="839" spans="1:10">
      <c r="A839" s="460" t="s">
        <v>840</v>
      </c>
      <c r="B839" s="460"/>
      <c r="C839" s="460"/>
      <c r="D839" s="460"/>
      <c r="E839" s="460"/>
      <c r="F839" s="456"/>
      <c r="G839" s="460"/>
      <c r="H839" s="460"/>
      <c r="I839" s="460"/>
      <c r="J839" s="459" t="s">
        <v>839</v>
      </c>
    </row>
    <row r="841" spans="1:10">
      <c r="B841" s="453" t="s">
        <v>816</v>
      </c>
    </row>
    <row r="842" spans="1:10">
      <c r="C842" s="453" t="s">
        <v>429</v>
      </c>
      <c r="E842" s="462">
        <v>-0.76313160448303363</v>
      </c>
    </row>
    <row r="843" spans="1:10">
      <c r="C843" s="453" t="s">
        <v>815</v>
      </c>
      <c r="E843" s="462">
        <v>7.6313160448303358E-2</v>
      </c>
    </row>
    <row r="844" spans="1:10">
      <c r="E844" s="457"/>
    </row>
    <row r="845" spans="1:10">
      <c r="E845" s="457"/>
    </row>
    <row r="849" spans="1:10">
      <c r="A849" s="460" t="s">
        <v>838</v>
      </c>
      <c r="B849" s="460"/>
      <c r="C849" s="460"/>
      <c r="D849" s="460"/>
      <c r="E849" s="460"/>
      <c r="F849" s="456"/>
      <c r="G849" s="460"/>
      <c r="H849" s="460"/>
      <c r="I849" s="460"/>
      <c r="J849" s="459" t="s">
        <v>837</v>
      </c>
    </row>
    <row r="851" spans="1:10">
      <c r="B851" s="453" t="s">
        <v>816</v>
      </c>
    </row>
    <row r="852" spans="1:10">
      <c r="C852" s="453" t="s">
        <v>429</v>
      </c>
      <c r="E852" s="462">
        <v>5.0064988205844128E-3</v>
      </c>
    </row>
    <row r="853" spans="1:10">
      <c r="C853" s="453" t="s">
        <v>815</v>
      </c>
      <c r="E853" s="462">
        <v>5.006498820584413E-4</v>
      </c>
    </row>
    <row r="854" spans="1:10">
      <c r="E854" s="457"/>
    </row>
    <row r="855" spans="1:10">
      <c r="E855" s="457"/>
    </row>
    <row r="859" spans="1:10">
      <c r="A859" s="460" t="s">
        <v>836</v>
      </c>
      <c r="B859" s="460"/>
      <c r="C859" s="460"/>
      <c r="D859" s="460"/>
      <c r="E859" s="460"/>
      <c r="F859" s="456"/>
      <c r="G859" s="460"/>
      <c r="H859" s="460"/>
      <c r="I859" s="460"/>
      <c r="J859" s="459" t="s">
        <v>835</v>
      </c>
    </row>
    <row r="861" spans="1:10">
      <c r="B861" s="453" t="s">
        <v>816</v>
      </c>
    </row>
    <row r="862" spans="1:10">
      <c r="C862" s="453" t="s">
        <v>429</v>
      </c>
      <c r="E862" s="462">
        <v>0.20816666666666667</v>
      </c>
    </row>
    <row r="863" spans="1:10">
      <c r="C863" s="453" t="s">
        <v>815</v>
      </c>
      <c r="E863" s="462">
        <v>2.0816666666666667E-2</v>
      </c>
    </row>
    <row r="864" spans="1:10">
      <c r="E864" s="457"/>
    </row>
    <row r="865" spans="1:10">
      <c r="E865" s="457"/>
    </row>
    <row r="869" spans="1:10">
      <c r="A869" s="460" t="s">
        <v>834</v>
      </c>
      <c r="B869" s="460"/>
      <c r="C869" s="460"/>
      <c r="D869" s="460"/>
      <c r="E869" s="460"/>
      <c r="F869" s="456"/>
      <c r="G869" s="460"/>
      <c r="H869" s="460"/>
      <c r="I869" s="460"/>
      <c r="J869" s="459" t="s">
        <v>833</v>
      </c>
    </row>
    <row r="871" spans="1:10">
      <c r="B871" s="453" t="s">
        <v>816</v>
      </c>
    </row>
    <row r="872" spans="1:10">
      <c r="C872" s="453" t="s">
        <v>429</v>
      </c>
      <c r="E872" s="462">
        <v>0.20816666666666667</v>
      </c>
    </row>
    <row r="873" spans="1:10">
      <c r="C873" s="453" t="s">
        <v>815</v>
      </c>
      <c r="E873" s="462">
        <v>2.0816666666666667E-2</v>
      </c>
    </row>
    <row r="874" spans="1:10">
      <c r="E874" s="457"/>
    </row>
    <row r="875" spans="1:10">
      <c r="E875" s="457"/>
    </row>
    <row r="879" spans="1:10">
      <c r="A879" s="460" t="s">
        <v>818</v>
      </c>
      <c r="B879" s="460"/>
      <c r="C879" s="460"/>
      <c r="D879" s="460"/>
      <c r="E879" s="460"/>
      <c r="F879" s="456"/>
      <c r="G879" s="460"/>
      <c r="H879" s="460"/>
      <c r="I879" s="460"/>
      <c r="J879" s="459" t="s">
        <v>832</v>
      </c>
    </row>
    <row r="881" spans="1:10">
      <c r="B881" s="453" t="s">
        <v>816</v>
      </c>
    </row>
    <row r="882" spans="1:10">
      <c r="C882" s="453" t="s">
        <v>429</v>
      </c>
      <c r="E882" s="458">
        <v>0.10329902063198657</v>
      </c>
    </row>
    <row r="883" spans="1:10">
      <c r="C883" s="453" t="s">
        <v>815</v>
      </c>
      <c r="E883" s="458">
        <v>1.0329902063198657E-2</v>
      </c>
    </row>
    <row r="884" spans="1:10">
      <c r="E884" s="457"/>
    </row>
    <row r="885" spans="1:10">
      <c r="E885" s="457"/>
    </row>
    <row r="889" spans="1:10">
      <c r="A889" s="460" t="s">
        <v>1236</v>
      </c>
    </row>
    <row r="891" spans="1:10">
      <c r="A891" s="460" t="s">
        <v>1043</v>
      </c>
      <c r="B891" s="460"/>
      <c r="C891" s="460"/>
      <c r="D891" s="460"/>
      <c r="E891" s="460"/>
      <c r="F891" s="456"/>
      <c r="G891" s="460"/>
      <c r="H891" s="460"/>
      <c r="I891" s="460"/>
      <c r="J891" s="459" t="s">
        <v>1042</v>
      </c>
    </row>
    <row r="893" spans="1:10">
      <c r="B893" s="453" t="s">
        <v>843</v>
      </c>
    </row>
    <row r="894" spans="1:10">
      <c r="C894" s="453" t="s">
        <v>781</v>
      </c>
      <c r="E894" s="466">
        <v>0.32803418547726437</v>
      </c>
      <c r="G894" s="453" t="s">
        <v>1041</v>
      </c>
    </row>
    <row r="895" spans="1:10">
      <c r="C895" s="453" t="s">
        <v>782</v>
      </c>
      <c r="E895" s="466">
        <v>28.568558393218467</v>
      </c>
      <c r="G895" s="453" t="s">
        <v>1040</v>
      </c>
    </row>
    <row r="896" spans="1:10">
      <c r="E896" s="457"/>
    </row>
    <row r="897" spans="1:10">
      <c r="E897" s="457"/>
    </row>
    <row r="904" spans="1:10">
      <c r="A904" s="460" t="s">
        <v>1039</v>
      </c>
      <c r="B904" s="460"/>
      <c r="C904" s="460"/>
      <c r="D904" s="460"/>
      <c r="E904" s="460"/>
      <c r="F904" s="456"/>
      <c r="G904" s="460"/>
      <c r="H904" s="460"/>
      <c r="I904" s="460"/>
      <c r="J904" s="459" t="s">
        <v>1038</v>
      </c>
    </row>
    <row r="906" spans="1:10">
      <c r="B906" s="453" t="s">
        <v>843</v>
      </c>
    </row>
    <row r="907" spans="1:10">
      <c r="C907" s="453" t="s">
        <v>781</v>
      </c>
      <c r="E907" s="466">
        <v>3.8102587461892048</v>
      </c>
      <c r="G907" s="453" t="s">
        <v>1037</v>
      </c>
    </row>
    <row r="908" spans="1:10">
      <c r="C908" s="453" t="s">
        <v>782</v>
      </c>
      <c r="E908" s="466">
        <v>21.057369474508398</v>
      </c>
      <c r="G908" s="453" t="s">
        <v>1036</v>
      </c>
    </row>
    <row r="909" spans="1:10">
      <c r="E909" s="457"/>
    </row>
    <row r="910" spans="1:10">
      <c r="E910" s="457"/>
    </row>
    <row r="917" spans="1:10">
      <c r="A917" s="460" t="s">
        <v>1035</v>
      </c>
      <c r="B917" s="460"/>
      <c r="C917" s="460"/>
      <c r="D917" s="460"/>
      <c r="E917" s="460"/>
      <c r="F917" s="456"/>
      <c r="G917" s="460"/>
      <c r="H917" s="460"/>
      <c r="I917" s="460"/>
      <c r="J917" s="459" t="s">
        <v>1034</v>
      </c>
    </row>
    <row r="919" spans="1:10">
      <c r="B919" s="453" t="s">
        <v>843</v>
      </c>
    </row>
    <row r="920" spans="1:10">
      <c r="C920" s="453" t="s">
        <v>781</v>
      </c>
      <c r="E920" s="466">
        <v>4.5999999999999996</v>
      </c>
      <c r="G920" s="453" t="s">
        <v>1033</v>
      </c>
    </row>
    <row r="921" spans="1:10">
      <c r="C921" s="453" t="s">
        <v>782</v>
      </c>
      <c r="E921" s="466">
        <v>20.9</v>
      </c>
      <c r="G921" s="453" t="s">
        <v>1032</v>
      </c>
    </row>
    <row r="922" spans="1:10">
      <c r="E922" s="457"/>
    </row>
    <row r="923" spans="1:10">
      <c r="E923" s="457"/>
    </row>
    <row r="930" spans="1:10">
      <c r="A930" s="460" t="s">
        <v>1031</v>
      </c>
      <c r="B930" s="460"/>
      <c r="C930" s="460"/>
      <c r="D930" s="460"/>
      <c r="E930" s="460"/>
      <c r="F930" s="456"/>
      <c r="G930" s="460"/>
      <c r="H930" s="460"/>
      <c r="I930" s="460"/>
      <c r="J930" s="459" t="s">
        <v>1028</v>
      </c>
    </row>
    <row r="932" spans="1:10">
      <c r="B932" s="453" t="s">
        <v>843</v>
      </c>
    </row>
    <row r="933" spans="1:10">
      <c r="C933" s="453" t="s">
        <v>781</v>
      </c>
      <c r="E933" s="466">
        <v>1.98</v>
      </c>
    </row>
    <row r="934" spans="1:10">
      <c r="C934" s="453" t="s">
        <v>782</v>
      </c>
      <c r="E934" s="466">
        <v>11.351391862955033</v>
      </c>
      <c r="G934" s="453" t="s">
        <v>1030</v>
      </c>
    </row>
    <row r="935" spans="1:10">
      <c r="E935" s="457"/>
    </row>
    <row r="936" spans="1:10">
      <c r="A936" s="460" t="s">
        <v>1029</v>
      </c>
      <c r="B936" s="460"/>
      <c r="C936" s="460"/>
      <c r="D936" s="460"/>
      <c r="E936" s="472"/>
      <c r="F936" s="456"/>
      <c r="G936" s="460"/>
      <c r="H936" s="460"/>
      <c r="I936" s="460"/>
      <c r="J936" s="459" t="s">
        <v>1028</v>
      </c>
    </row>
    <row r="945" spans="1:10">
      <c r="A945" s="460" t="s">
        <v>1027</v>
      </c>
      <c r="B945" s="460"/>
      <c r="C945" s="460"/>
      <c r="D945" s="460"/>
      <c r="E945" s="460"/>
      <c r="F945" s="456"/>
      <c r="G945" s="460"/>
      <c r="H945" s="460"/>
      <c r="I945" s="460"/>
      <c r="J945" s="459" t="s">
        <v>1026</v>
      </c>
    </row>
    <row r="947" spans="1:10">
      <c r="B947" s="453" t="s">
        <v>843</v>
      </c>
    </row>
    <row r="948" spans="1:10">
      <c r="C948" s="453" t="s">
        <v>781</v>
      </c>
      <c r="E948" s="466">
        <v>-2.2599999999999998</v>
      </c>
    </row>
    <row r="949" spans="1:10">
      <c r="C949" s="453" t="s">
        <v>782</v>
      </c>
      <c r="E949" s="466">
        <v>27.71</v>
      </c>
    </row>
    <row r="950" spans="1:10">
      <c r="E950" s="457"/>
    </row>
    <row r="951" spans="1:10">
      <c r="E951" s="457"/>
    </row>
    <row r="955" spans="1:10">
      <c r="A955" s="460" t="s">
        <v>1025</v>
      </c>
      <c r="B955" s="460"/>
      <c r="C955" s="460"/>
      <c r="D955" s="460"/>
      <c r="E955" s="460"/>
      <c r="F955" s="456"/>
      <c r="G955" s="460"/>
      <c r="H955" s="460"/>
      <c r="I955" s="460"/>
      <c r="J955" s="459" t="s">
        <v>1024</v>
      </c>
    </row>
    <row r="957" spans="1:10">
      <c r="B957" s="453" t="s">
        <v>843</v>
      </c>
    </row>
    <row r="958" spans="1:10">
      <c r="C958" s="453" t="s">
        <v>781</v>
      </c>
      <c r="E958" s="466">
        <v>-3.5885976822904366</v>
      </c>
      <c r="G958" s="453" t="s">
        <v>1023</v>
      </c>
    </row>
    <row r="959" spans="1:10">
      <c r="C959" s="453" t="s">
        <v>782</v>
      </c>
      <c r="E959" s="466">
        <v>9.4354324089223098</v>
      </c>
      <c r="G959" s="453" t="s">
        <v>1022</v>
      </c>
    </row>
    <row r="960" spans="1:10">
      <c r="E960" s="457"/>
    </row>
    <row r="961" spans="1:10">
      <c r="E961" s="457"/>
    </row>
    <row r="968" spans="1:10">
      <c r="A968" s="460" t="s">
        <v>1021</v>
      </c>
      <c r="B968" s="460"/>
      <c r="C968" s="460"/>
      <c r="D968" s="460"/>
      <c r="E968" s="460"/>
      <c r="F968" s="456"/>
      <c r="G968" s="460"/>
      <c r="H968" s="460"/>
      <c r="I968" s="460"/>
      <c r="J968" s="459" t="s">
        <v>1020</v>
      </c>
    </row>
    <row r="970" spans="1:10">
      <c r="B970" s="453" t="s">
        <v>816</v>
      </c>
    </row>
    <row r="971" spans="1:10">
      <c r="C971" s="453" t="s">
        <v>429</v>
      </c>
      <c r="E971" s="462">
        <v>0.2</v>
      </c>
    </row>
    <row r="972" spans="1:10">
      <c r="C972" s="453" t="s">
        <v>815</v>
      </c>
      <c r="E972" s="462">
        <v>0.02</v>
      </c>
    </row>
    <row r="973" spans="1:10">
      <c r="E973" s="457"/>
    </row>
    <row r="974" spans="1:10">
      <c r="E974" s="457"/>
    </row>
    <row r="978" spans="1:10">
      <c r="A978" s="460" t="s">
        <v>1019</v>
      </c>
      <c r="B978" s="460"/>
      <c r="C978" s="460"/>
      <c r="D978" s="460"/>
      <c r="E978" s="460"/>
      <c r="F978" s="456"/>
      <c r="G978" s="460"/>
      <c r="H978" s="460"/>
      <c r="I978" s="460"/>
      <c r="J978" s="459" t="s">
        <v>1018</v>
      </c>
    </row>
    <row r="980" spans="1:10">
      <c r="B980" s="453" t="s">
        <v>816</v>
      </c>
    </row>
    <row r="981" spans="1:10">
      <c r="C981" s="453" t="s">
        <v>429</v>
      </c>
      <c r="E981" s="462">
        <v>0.2</v>
      </c>
    </row>
    <row r="982" spans="1:10">
      <c r="C982" s="453" t="s">
        <v>815</v>
      </c>
      <c r="E982" s="462">
        <v>0.02</v>
      </c>
    </row>
    <row r="983" spans="1:10">
      <c r="E983" s="457"/>
    </row>
    <row r="984" spans="1:10">
      <c r="E984" s="457"/>
    </row>
    <row r="988" spans="1:10">
      <c r="A988" s="460" t="s">
        <v>1017</v>
      </c>
      <c r="B988" s="460"/>
      <c r="C988" s="460"/>
      <c r="D988" s="460"/>
      <c r="E988" s="460"/>
      <c r="F988" s="456"/>
      <c r="G988" s="460"/>
      <c r="H988" s="460"/>
      <c r="I988" s="460"/>
      <c r="J988" s="459" t="s">
        <v>1016</v>
      </c>
    </row>
    <row r="990" spans="1:10">
      <c r="B990" s="453" t="s">
        <v>816</v>
      </c>
    </row>
    <row r="991" spans="1:10">
      <c r="C991" s="453" t="s">
        <v>429</v>
      </c>
      <c r="E991" s="462">
        <v>0.1</v>
      </c>
    </row>
    <row r="992" spans="1:10">
      <c r="C992" s="453" t="s">
        <v>815</v>
      </c>
      <c r="E992" s="462">
        <v>0.01</v>
      </c>
    </row>
    <row r="993" spans="1:10">
      <c r="E993" s="457"/>
    </row>
    <row r="994" spans="1:10">
      <c r="E994" s="457"/>
    </row>
    <row r="998" spans="1:10">
      <c r="A998" s="460" t="s">
        <v>1015</v>
      </c>
      <c r="B998" s="460"/>
      <c r="C998" s="460"/>
      <c r="D998" s="460"/>
      <c r="E998" s="460"/>
      <c r="F998" s="456"/>
      <c r="G998" s="460"/>
      <c r="H998" s="460"/>
      <c r="I998" s="460"/>
      <c r="J998" s="459" t="s">
        <v>1014</v>
      </c>
    </row>
    <row r="1000" spans="1:10">
      <c r="B1000" s="453" t="s">
        <v>816</v>
      </c>
    </row>
    <row r="1001" spans="1:10">
      <c r="C1001" s="453" t="s">
        <v>429</v>
      </c>
      <c r="E1001" s="462">
        <v>0.15</v>
      </c>
    </row>
    <row r="1002" spans="1:10">
      <c r="C1002" s="453" t="s">
        <v>815</v>
      </c>
      <c r="E1002" s="462">
        <v>1.4999999999999999E-2</v>
      </c>
    </row>
    <row r="1003" spans="1:10">
      <c r="E1003" s="457"/>
    </row>
    <row r="1004" spans="1:10">
      <c r="E1004" s="457"/>
    </row>
    <row r="1008" spans="1:10">
      <c r="A1008" s="460" t="s">
        <v>1013</v>
      </c>
      <c r="B1008" s="460"/>
      <c r="C1008" s="460"/>
      <c r="D1008" s="460"/>
      <c r="E1008" s="460"/>
      <c r="F1008" s="456"/>
      <c r="G1008" s="460"/>
      <c r="H1008" s="460"/>
      <c r="I1008" s="460"/>
      <c r="J1008" s="459" t="s">
        <v>1012</v>
      </c>
    </row>
    <row r="1010" spans="1:10">
      <c r="B1010" s="453" t="s">
        <v>816</v>
      </c>
    </row>
    <row r="1011" spans="1:10">
      <c r="C1011" s="453" t="s">
        <v>429</v>
      </c>
      <c r="E1011" s="462">
        <v>0.2</v>
      </c>
    </row>
    <row r="1012" spans="1:10">
      <c r="C1012" s="453" t="s">
        <v>815</v>
      </c>
      <c r="E1012" s="462">
        <v>0.02</v>
      </c>
    </row>
    <row r="1013" spans="1:10">
      <c r="E1013" s="457"/>
    </row>
    <row r="1014" spans="1:10">
      <c r="E1014" s="457"/>
    </row>
    <row r="1018" spans="1:10">
      <c r="A1018" s="460" t="s">
        <v>1011</v>
      </c>
      <c r="B1018" s="460"/>
      <c r="C1018" s="460"/>
      <c r="D1018" s="460"/>
      <c r="E1018" s="460"/>
      <c r="F1018" s="456"/>
      <c r="G1018" s="460"/>
      <c r="H1018" s="460"/>
      <c r="I1018" s="460"/>
      <c r="J1018" s="459" t="s">
        <v>1010</v>
      </c>
    </row>
    <row r="1020" spans="1:10">
      <c r="B1020" s="453" t="s">
        <v>816</v>
      </c>
    </row>
    <row r="1021" spans="1:10">
      <c r="C1021" s="453" t="s">
        <v>429</v>
      </c>
      <c r="E1021" s="462">
        <v>0.15</v>
      </c>
    </row>
    <row r="1022" spans="1:10">
      <c r="C1022" s="453" t="s">
        <v>815</v>
      </c>
      <c r="E1022" s="462">
        <v>1.4999999999999999E-2</v>
      </c>
    </row>
    <row r="1023" spans="1:10">
      <c r="E1023" s="457"/>
    </row>
    <row r="1024" spans="1:10">
      <c r="E1024" s="457"/>
    </row>
    <row r="1028" spans="1:10">
      <c r="A1028" s="460" t="s">
        <v>1235</v>
      </c>
    </row>
    <row r="1030" spans="1:10">
      <c r="A1030" s="460" t="s">
        <v>830</v>
      </c>
      <c r="B1030" s="460"/>
      <c r="C1030" s="460"/>
      <c r="D1030" s="460"/>
      <c r="E1030" s="460"/>
      <c r="F1030" s="456"/>
      <c r="G1030" s="460"/>
      <c r="H1030" s="460"/>
      <c r="I1030" s="460"/>
      <c r="J1030" s="459" t="s">
        <v>829</v>
      </c>
    </row>
    <row r="1032" spans="1:10">
      <c r="B1032" s="453" t="s">
        <v>816</v>
      </c>
    </row>
    <row r="1033" spans="1:10">
      <c r="C1033" s="453" t="s">
        <v>429</v>
      </c>
      <c r="E1033" s="461">
        <v>4.9083316512498865E-2</v>
      </c>
    </row>
    <row r="1034" spans="1:10">
      <c r="C1034" s="453" t="s">
        <v>815</v>
      </c>
      <c r="E1034" s="461">
        <v>1.4999999999999999E-2</v>
      </c>
    </row>
    <row r="1035" spans="1:10">
      <c r="E1035" s="457"/>
    </row>
    <row r="1036" spans="1:10">
      <c r="E1036" s="457"/>
    </row>
    <row r="1040" spans="1:10">
      <c r="A1040" s="460" t="s">
        <v>828</v>
      </c>
      <c r="B1040" s="460"/>
      <c r="C1040" s="460"/>
      <c r="D1040" s="460"/>
      <c r="E1040" s="460"/>
      <c r="F1040" s="456"/>
      <c r="G1040" s="460"/>
      <c r="H1040" s="460"/>
      <c r="I1040" s="460"/>
      <c r="J1040" s="459" t="s">
        <v>827</v>
      </c>
    </row>
    <row r="1042" spans="1:10">
      <c r="B1042" s="453" t="s">
        <v>816</v>
      </c>
    </row>
    <row r="1043" spans="1:10">
      <c r="C1043" s="453" t="s">
        <v>429</v>
      </c>
      <c r="E1043" s="461">
        <v>9.1363297736570925E-2</v>
      </c>
    </row>
    <row r="1044" spans="1:10">
      <c r="C1044" s="453" t="s">
        <v>815</v>
      </c>
      <c r="E1044" s="461">
        <v>0.02</v>
      </c>
    </row>
    <row r="1045" spans="1:10">
      <c r="E1045" s="457"/>
    </row>
    <row r="1046" spans="1:10">
      <c r="E1046" s="457"/>
    </row>
    <row r="1050" spans="1:10">
      <c r="A1050" s="460" t="s">
        <v>826</v>
      </c>
      <c r="B1050" s="460"/>
      <c r="C1050" s="460"/>
      <c r="D1050" s="460"/>
      <c r="E1050" s="460"/>
      <c r="F1050" s="456"/>
      <c r="G1050" s="460"/>
      <c r="H1050" s="460"/>
      <c r="I1050" s="460"/>
      <c r="J1050" s="459" t="s">
        <v>825</v>
      </c>
    </row>
    <row r="1052" spans="1:10">
      <c r="B1052" s="453" t="s">
        <v>816</v>
      </c>
    </row>
    <row r="1053" spans="1:10">
      <c r="C1053" s="453" t="s">
        <v>429</v>
      </c>
      <c r="E1053" s="461">
        <v>0.30675290302434066</v>
      </c>
    </row>
    <row r="1054" spans="1:10">
      <c r="C1054" s="453" t="s">
        <v>815</v>
      </c>
      <c r="E1054" s="461">
        <v>5.0999999999999997E-2</v>
      </c>
    </row>
    <row r="1055" spans="1:10">
      <c r="E1055" s="457"/>
    </row>
    <row r="1056" spans="1:10">
      <c r="E1056" s="457"/>
    </row>
    <row r="1060" spans="1:10">
      <c r="A1060" s="460" t="s">
        <v>824</v>
      </c>
      <c r="B1060" s="460"/>
      <c r="C1060" s="460"/>
      <c r="D1060" s="460"/>
      <c r="E1060" s="460"/>
      <c r="F1060" s="456"/>
      <c r="G1060" s="460"/>
      <c r="H1060" s="460"/>
      <c r="I1060" s="460"/>
      <c r="J1060" s="459" t="s">
        <v>823</v>
      </c>
    </row>
    <row r="1062" spans="1:10">
      <c r="B1062" s="453" t="s">
        <v>816</v>
      </c>
    </row>
    <row r="1063" spans="1:10">
      <c r="C1063" s="453" t="s">
        <v>429</v>
      </c>
      <c r="E1063" s="461">
        <v>0.22973515272238387</v>
      </c>
    </row>
    <row r="1064" spans="1:10">
      <c r="C1064" s="453" t="s">
        <v>815</v>
      </c>
      <c r="E1064" s="461">
        <v>3.3000000000000002E-2</v>
      </c>
    </row>
    <row r="1065" spans="1:10">
      <c r="E1065" s="457"/>
    </row>
    <row r="1066" spans="1:10">
      <c r="E1066" s="457"/>
    </row>
    <row r="1070" spans="1:10">
      <c r="A1070" s="460" t="s">
        <v>822</v>
      </c>
      <c r="B1070" s="460"/>
      <c r="C1070" s="460"/>
      <c r="D1070" s="460"/>
      <c r="E1070" s="460"/>
      <c r="F1070" s="456"/>
      <c r="G1070" s="460"/>
      <c r="H1070" s="460"/>
      <c r="I1070" s="460"/>
      <c r="J1070" s="459" t="s">
        <v>821</v>
      </c>
    </row>
    <row r="1072" spans="1:10">
      <c r="B1072" s="453" t="s">
        <v>816</v>
      </c>
    </row>
    <row r="1073" spans="1:10">
      <c r="C1073" s="453" t="s">
        <v>429</v>
      </c>
      <c r="E1073" s="458">
        <v>7.5992771546960457E-3</v>
      </c>
    </row>
    <row r="1074" spans="1:10">
      <c r="C1074" s="453" t="s">
        <v>815</v>
      </c>
      <c r="E1074" s="458">
        <v>3.0000000000000001E-3</v>
      </c>
    </row>
    <row r="1075" spans="1:10">
      <c r="E1075" s="457"/>
    </row>
    <row r="1076" spans="1:10">
      <c r="E1076" s="457"/>
    </row>
    <row r="1080" spans="1:10">
      <c r="A1080" s="460" t="s">
        <v>820</v>
      </c>
      <c r="B1080" s="460"/>
      <c r="C1080" s="460"/>
      <c r="D1080" s="460"/>
      <c r="E1080" s="460"/>
      <c r="F1080" s="456"/>
      <c r="G1080" s="460"/>
      <c r="H1080" s="460"/>
      <c r="I1080" s="460"/>
      <c r="J1080" s="459" t="s">
        <v>819</v>
      </c>
    </row>
    <row r="1082" spans="1:10">
      <c r="B1082" s="453" t="s">
        <v>816</v>
      </c>
    </row>
    <row r="1083" spans="1:10">
      <c r="C1083" s="453" t="s">
        <v>429</v>
      </c>
      <c r="E1083" s="458">
        <v>4.1528147123543824E-3</v>
      </c>
    </row>
    <row r="1084" spans="1:10">
      <c r="C1084" s="453" t="s">
        <v>815</v>
      </c>
      <c r="E1084" s="458">
        <v>1E-3</v>
      </c>
    </row>
    <row r="1085" spans="1:10">
      <c r="E1085" s="457"/>
    </row>
    <row r="1086" spans="1:10">
      <c r="E1086" s="457"/>
    </row>
    <row r="1090" spans="1:10">
      <c r="A1090" s="460" t="s">
        <v>818</v>
      </c>
      <c r="B1090" s="460"/>
      <c r="C1090" s="460"/>
      <c r="D1090" s="460"/>
      <c r="E1090" s="460"/>
      <c r="F1090" s="456"/>
      <c r="G1090" s="460"/>
      <c r="H1090" s="460"/>
      <c r="I1090" s="460"/>
      <c r="J1090" s="459" t="s">
        <v>817</v>
      </c>
    </row>
    <row r="1092" spans="1:10">
      <c r="B1092" s="453" t="s">
        <v>816</v>
      </c>
    </row>
    <row r="1093" spans="1:10">
      <c r="C1093" s="453" t="s">
        <v>429</v>
      </c>
      <c r="E1093" s="458">
        <v>0.10329902063198657</v>
      </c>
    </row>
    <row r="1094" spans="1:10">
      <c r="C1094" s="453" t="s">
        <v>815</v>
      </c>
      <c r="E1094" s="458">
        <v>1.4999999999999999E-2</v>
      </c>
    </row>
    <row r="1095" spans="1:10">
      <c r="E1095" s="457"/>
    </row>
    <row r="1096" spans="1:10">
      <c r="E1096" s="457"/>
    </row>
    <row r="1100" spans="1:10">
      <c r="A1100" s="460" t="s">
        <v>1234</v>
      </c>
    </row>
    <row r="1102" spans="1:10">
      <c r="A1102" s="460" t="s">
        <v>1233</v>
      </c>
      <c r="B1102" s="460"/>
      <c r="C1102" s="460"/>
      <c r="D1102" s="460"/>
      <c r="E1102" s="460"/>
      <c r="F1102" s="456"/>
      <c r="G1102" s="460"/>
      <c r="H1102" s="460"/>
      <c r="I1102" s="460"/>
      <c r="J1102" s="459" t="s">
        <v>821</v>
      </c>
    </row>
    <row r="1104" spans="1:10">
      <c r="B1104" s="453" t="s">
        <v>816</v>
      </c>
    </row>
    <row r="1105" spans="1:10">
      <c r="C1105" s="453" t="s">
        <v>429</v>
      </c>
      <c r="E1105" s="461">
        <v>0.42499999999999999</v>
      </c>
    </row>
    <row r="1106" spans="1:10">
      <c r="C1106" s="453" t="s">
        <v>815</v>
      </c>
      <c r="E1106" s="461">
        <v>0.05</v>
      </c>
    </row>
    <row r="1107" spans="1:10">
      <c r="E1107" s="457"/>
    </row>
    <row r="1108" spans="1:10">
      <c r="E1108" s="457"/>
    </row>
    <row r="1112" spans="1:10">
      <c r="A1112" s="460" t="s">
        <v>1232</v>
      </c>
      <c r="B1112" s="460"/>
      <c r="C1112" s="460"/>
      <c r="D1112" s="460"/>
      <c r="E1112" s="460"/>
      <c r="F1112" s="456"/>
      <c r="G1112" s="460"/>
      <c r="H1112" s="460"/>
      <c r="I1112" s="460"/>
      <c r="J1112" s="459" t="s">
        <v>1231</v>
      </c>
    </row>
    <row r="1114" spans="1:10">
      <c r="B1114" s="453" t="s">
        <v>816</v>
      </c>
    </row>
    <row r="1115" spans="1:10">
      <c r="C1115" s="453" t="s">
        <v>429</v>
      </c>
      <c r="E1115" s="461">
        <v>0.42499999999999999</v>
      </c>
    </row>
    <row r="1116" spans="1:10">
      <c r="C1116" s="453" t="s">
        <v>815</v>
      </c>
      <c r="E1116" s="461">
        <v>0.05</v>
      </c>
    </row>
    <row r="1117" spans="1:10">
      <c r="E1117" s="457"/>
    </row>
    <row r="1118" spans="1:10">
      <c r="E1118" s="457"/>
    </row>
    <row r="1122" spans="1:6">
      <c r="A1122" s="453" t="s">
        <v>814</v>
      </c>
    </row>
    <row r="1123" spans="1:6">
      <c r="F1123" s="456" t="s">
        <v>813</v>
      </c>
    </row>
    <row r="1328" spans="1:1">
      <c r="A1328" s="453" t="s">
        <v>812</v>
      </c>
    </row>
  </sheetData>
  <mergeCells count="1">
    <mergeCell ref="C589:I589"/>
  </mergeCells>
  <printOptions gridLinesSet="0"/>
  <pageMargins left="0.75" right="0.75" top="1" bottom="1" header="0.5" footer="0.5"/>
  <pageSetup orientation="portrait" r:id="rId1"/>
  <headerFooter alignWithMargins="0">
    <oddHeader>&amp;f</oddHeader>
    <oddFooter>Page &amp;p</oddFooter>
  </headerFooter>
  <rowBreaks count="37" manualBreakCount="37">
    <brk id="23" max="16383" man="1"/>
    <brk id="56" max="16383" man="1"/>
    <brk id="87" max="16383" man="1"/>
    <brk id="120" max="16383" man="1"/>
    <brk id="151" max="16383" man="1"/>
    <brk id="184" max="16383" man="1"/>
    <brk id="215" max="16383" man="1"/>
    <brk id="249" max="16383" man="1"/>
    <brk id="281" max="16383" man="1"/>
    <brk id="325" max="16383" man="1"/>
    <brk id="365" max="16383" man="1"/>
    <brk id="405" max="16383" man="1"/>
    <brk id="445" max="16383" man="1"/>
    <brk id="485" max="16383" man="1"/>
    <brk id="525" max="16383" man="1"/>
    <brk id="565" max="16383" man="1"/>
    <brk id="607" max="16383" man="1"/>
    <brk id="647" max="16383" man="1"/>
    <brk id="687" max="16383" man="1"/>
    <brk id="727" max="16383" man="1"/>
    <brk id="767" max="16383" man="1"/>
    <brk id="807" max="16383" man="1"/>
    <brk id="847" max="16383" man="1"/>
    <brk id="889" max="16383" man="1"/>
    <brk id="935" max="16383" man="1"/>
    <brk id="976" max="16383" man="1"/>
    <brk id="1016" max="16383" man="1"/>
    <brk id="1058" max="16383" man="1"/>
    <brk id="1100" max="16383" man="1"/>
    <brk id="1122" max="16383" man="1"/>
    <brk id="1154" max="16383" man="1"/>
    <brk id="1183" max="16383" man="1"/>
    <brk id="1212" max="16383" man="1"/>
    <brk id="1241" max="16383" man="1"/>
    <brk id="1270" max="16383" man="1"/>
    <brk id="1299" max="16383" man="1"/>
    <brk id="1328" max="16383" man="1"/>
  </rowBreaks>
  <colBreaks count="1" manualBreakCount="1">
    <brk id="10"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5908D-BE22-434A-A1A2-6A40DC206D12}">
  <sheetPr>
    <tabColor theme="5" tint="-0.499984740745262"/>
  </sheetPr>
  <dimension ref="A1:J22"/>
  <sheetViews>
    <sheetView topLeftCell="A13" zoomScale="125" workbookViewId="0">
      <selection activeCell="A10" sqref="A10:H10"/>
    </sheetView>
  </sheetViews>
  <sheetFormatPr baseColWidth="10" defaultColWidth="10.83203125" defaultRowHeight="16"/>
  <cols>
    <col min="1" max="1" width="26.6640625" style="35" bestFit="1" customWidth="1"/>
    <col min="2" max="8" width="23.33203125" style="35" customWidth="1"/>
    <col min="9" max="16384" width="10.83203125" style="35"/>
  </cols>
  <sheetData>
    <row r="1" spans="1:10" s="2" customFormat="1" ht="25">
      <c r="A1" s="661" t="s">
        <v>668</v>
      </c>
      <c r="B1" s="661"/>
      <c r="C1" s="661"/>
      <c r="D1" s="661"/>
      <c r="E1" s="661"/>
      <c r="F1" s="661"/>
      <c r="G1" s="661"/>
      <c r="H1" s="661"/>
    </row>
    <row r="2" spans="1:10" s="2" customFormat="1" ht="17">
      <c r="A2" s="1"/>
      <c r="B2" s="17"/>
      <c r="C2" s="18"/>
      <c r="D2" s="18"/>
      <c r="E2" s="18"/>
      <c r="F2" s="19"/>
      <c r="G2" s="17"/>
      <c r="H2" s="18"/>
    </row>
    <row r="3" spans="1:10" s="2" customFormat="1" ht="17">
      <c r="A3" s="662" t="s">
        <v>95</v>
      </c>
      <c r="B3" s="662"/>
      <c r="C3" s="662"/>
      <c r="D3" s="662"/>
      <c r="E3" s="662"/>
      <c r="F3" s="662"/>
      <c r="G3" s="662"/>
      <c r="H3" s="662"/>
    </row>
    <row r="4" spans="1:10" s="2" customFormat="1" ht="17">
      <c r="A4" s="20" t="s">
        <v>86</v>
      </c>
      <c r="B4" s="21" t="s">
        <v>87</v>
      </c>
      <c r="C4" s="7"/>
      <c r="D4" s="7"/>
      <c r="E4" s="7"/>
      <c r="F4" s="20" t="s">
        <v>102</v>
      </c>
      <c r="G4" s="23" t="s">
        <v>91</v>
      </c>
      <c r="H4" s="7"/>
    </row>
    <row r="5" spans="1:10" s="2" customFormat="1" ht="17">
      <c r="A5" s="20" t="s">
        <v>88</v>
      </c>
      <c r="B5" s="21" t="s">
        <v>85</v>
      </c>
      <c r="C5" s="7"/>
      <c r="D5" s="7"/>
      <c r="E5" s="7"/>
      <c r="F5" s="50" t="s">
        <v>129</v>
      </c>
      <c r="G5" s="23" t="s">
        <v>90</v>
      </c>
      <c r="H5" s="23"/>
      <c r="J5" s="24"/>
    </row>
    <row r="6" spans="1:10" s="2" customFormat="1" ht="17">
      <c r="A6" s="20" t="s">
        <v>89</v>
      </c>
      <c r="B6" s="21" t="s">
        <v>693</v>
      </c>
      <c r="C6" s="7"/>
      <c r="D6" s="7"/>
      <c r="E6" s="7"/>
      <c r="F6" s="22"/>
      <c r="G6" s="23" t="s">
        <v>92</v>
      </c>
      <c r="H6" s="23"/>
      <c r="I6" s="24"/>
      <c r="J6" s="24"/>
    </row>
    <row r="10" spans="1:10">
      <c r="A10" s="706" t="s">
        <v>691</v>
      </c>
      <c r="B10" s="706"/>
      <c r="C10" s="706"/>
      <c r="D10" s="706"/>
      <c r="E10" s="706"/>
      <c r="F10" s="706"/>
      <c r="G10" s="706"/>
      <c r="H10" s="706"/>
    </row>
    <row r="11" spans="1:10">
      <c r="A11" s="11"/>
      <c r="B11" s="198" t="s">
        <v>1307</v>
      </c>
      <c r="C11" s="198" t="s">
        <v>1308</v>
      </c>
      <c r="D11" s="198" t="s">
        <v>1309</v>
      </c>
      <c r="E11" s="198" t="s">
        <v>1310</v>
      </c>
      <c r="F11" s="198" t="s">
        <v>690</v>
      </c>
      <c r="G11" s="198" t="s">
        <v>674</v>
      </c>
      <c r="H11" s="11"/>
    </row>
    <row r="12" spans="1:10">
      <c r="A12" s="84" t="s">
        <v>669</v>
      </c>
      <c r="B12" s="338">
        <v>144.02919309308641</v>
      </c>
      <c r="C12" s="338">
        <v>206.75354394648406</v>
      </c>
      <c r="D12" s="338">
        <v>174.18689004199973</v>
      </c>
      <c r="E12" s="338">
        <v>206.75354394648406</v>
      </c>
      <c r="F12" s="338">
        <v>174.18689004199973</v>
      </c>
      <c r="G12" s="421">
        <v>0.42499999999999999</v>
      </c>
      <c r="H12" s="11"/>
    </row>
    <row r="13" spans="1:10">
      <c r="A13" s="84" t="s">
        <v>670</v>
      </c>
      <c r="B13" s="447">
        <v>230.65101034806432</v>
      </c>
      <c r="C13" s="447">
        <v>321.32429991956087</v>
      </c>
      <c r="D13" s="447">
        <v>274.24647981850893</v>
      </c>
      <c r="E13" s="447"/>
      <c r="F13" s="447">
        <v>274.24647981850893</v>
      </c>
      <c r="G13" s="421">
        <f>1-G12-G14</f>
        <v>0.14999999999999997</v>
      </c>
      <c r="H13" s="11"/>
    </row>
    <row r="14" spans="1:10">
      <c r="A14" s="84" t="s">
        <v>671</v>
      </c>
      <c r="B14" s="447">
        <v>147.96419469365972</v>
      </c>
      <c r="C14" s="447">
        <v>173.44233351236173</v>
      </c>
      <c r="D14" s="447">
        <v>158.86547849097127</v>
      </c>
      <c r="E14" s="447"/>
      <c r="F14" s="447">
        <v>158.86547849097127</v>
      </c>
      <c r="G14" s="421">
        <v>0.42499999999999999</v>
      </c>
      <c r="H14" s="11"/>
    </row>
    <row r="15" spans="1:10">
      <c r="A15" s="84" t="s">
        <v>692</v>
      </c>
      <c r="B15" s="11"/>
      <c r="C15" s="11"/>
      <c r="D15" s="11"/>
      <c r="E15" s="11"/>
      <c r="F15" s="11"/>
      <c r="G15" s="421">
        <f>SUM(G12:G14)</f>
        <v>1</v>
      </c>
      <c r="H15" s="11"/>
    </row>
    <row r="16" spans="1:10">
      <c r="A16" s="11"/>
      <c r="B16" s="11"/>
      <c r="C16" s="11"/>
      <c r="D16" s="11"/>
      <c r="E16" s="11"/>
      <c r="F16" s="11"/>
      <c r="G16" s="11"/>
      <c r="H16" s="11"/>
    </row>
    <row r="17" spans="1:8" ht="17" thickBot="1">
      <c r="A17" s="448" t="s">
        <v>675</v>
      </c>
      <c r="B17" s="448">
        <v>158.69484136157672</v>
      </c>
      <c r="C17" s="448">
        <v>209.78189290794359</v>
      </c>
      <c r="D17" s="448">
        <v>182.68422859928899</v>
      </c>
      <c r="E17" s="448"/>
      <c r="F17" s="448">
        <f>SUMPRODUCT(F12:F14,G12:G14)</f>
        <v>182.68422859928899</v>
      </c>
      <c r="G17" s="84"/>
      <c r="H17" s="11"/>
    </row>
    <row r="18" spans="1:8" ht="17" thickTop="1">
      <c r="A18" s="3"/>
      <c r="B18" s="3"/>
      <c r="C18" s="3"/>
      <c r="D18" s="3"/>
      <c r="E18" s="3"/>
      <c r="F18" s="3"/>
      <c r="G18" s="3"/>
      <c r="H18" s="3"/>
    </row>
    <row r="19" spans="1:8">
      <c r="A19" s="3"/>
      <c r="B19" s="3"/>
      <c r="C19" s="3"/>
      <c r="D19" s="3"/>
      <c r="E19" s="3"/>
      <c r="F19" s="3"/>
      <c r="G19" s="3"/>
      <c r="H19" s="3"/>
    </row>
    <row r="20" spans="1:8">
      <c r="A20" s="84" t="s">
        <v>669</v>
      </c>
      <c r="B20" s="338">
        <v>144.02919309308641</v>
      </c>
      <c r="C20" s="338">
        <v>206.75354394648406</v>
      </c>
      <c r="D20" s="338"/>
      <c r="E20" s="338"/>
    </row>
    <row r="21" spans="1:8">
      <c r="A21" s="338">
        <v>144.02919309308641</v>
      </c>
    </row>
    <row r="22" spans="1:8">
      <c r="A22" s="338">
        <v>206.75354394648406</v>
      </c>
    </row>
  </sheetData>
  <mergeCells count="3">
    <mergeCell ref="A1:H1"/>
    <mergeCell ref="A3:H3"/>
    <mergeCell ref="A10:H10"/>
  </mergeCells>
  <hyperlinks>
    <hyperlink ref="G4" r:id="rId1" xr:uid="{A6792165-9D67-234A-B0EF-164D2E542890}"/>
    <hyperlink ref="G6" r:id="rId2" xr:uid="{F32A7F20-D95D-A841-96E7-B0CF08C04302}"/>
    <hyperlink ref="G5" r:id="rId3" xr:uid="{0FB74DCD-04AF-6845-A4E9-301D66ADF140}"/>
  </hyperlinks>
  <pageMargins left="0.7" right="0.7" top="0.75" bottom="0.75" header="0.3" footer="0.3"/>
  <pageSetup paperSize="9" orientation="portrait" horizontalDpi="0" verticalDpi="0"/>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FCFEF-57C8-6A46-BE59-058E7EBEF4B4}">
  <sheetPr>
    <tabColor theme="5" tint="-0.499984740745262"/>
  </sheetPr>
  <dimension ref="A1:H19"/>
  <sheetViews>
    <sheetView zoomScale="125" workbookViewId="0">
      <selection activeCell="B14" sqref="B14"/>
    </sheetView>
  </sheetViews>
  <sheetFormatPr baseColWidth="10" defaultColWidth="10.83203125" defaultRowHeight="16"/>
  <cols>
    <col min="1" max="1" width="26.6640625" style="35" bestFit="1" customWidth="1"/>
    <col min="2" max="6" width="23.33203125" style="35" customWidth="1"/>
    <col min="7" max="16384" width="10.83203125" style="35"/>
  </cols>
  <sheetData>
    <row r="1" spans="1:8" s="2" customFormat="1" ht="25">
      <c r="A1" s="661" t="s">
        <v>668</v>
      </c>
      <c r="B1" s="661"/>
      <c r="C1" s="661"/>
      <c r="D1" s="661"/>
      <c r="E1" s="661"/>
      <c r="F1" s="661"/>
    </row>
    <row r="2" spans="1:8" s="2" customFormat="1" ht="17">
      <c r="A2" s="1"/>
      <c r="B2" s="17"/>
      <c r="C2" s="18"/>
      <c r="D2" s="19"/>
      <c r="E2" s="17"/>
      <c r="F2" s="18"/>
    </row>
    <row r="3" spans="1:8" s="2" customFormat="1" ht="17">
      <c r="A3" s="662" t="s">
        <v>95</v>
      </c>
      <c r="B3" s="662"/>
      <c r="C3" s="662"/>
      <c r="D3" s="662"/>
      <c r="E3" s="662"/>
      <c r="F3" s="662"/>
    </row>
    <row r="4" spans="1:8" s="2" customFormat="1" ht="17">
      <c r="A4" s="20" t="s">
        <v>86</v>
      </c>
      <c r="B4" s="21" t="s">
        <v>87</v>
      </c>
      <c r="C4" s="7"/>
      <c r="D4" s="20" t="s">
        <v>102</v>
      </c>
      <c r="E4" s="23" t="s">
        <v>91</v>
      </c>
      <c r="F4" s="7"/>
    </row>
    <row r="5" spans="1:8" s="2" customFormat="1" ht="17">
      <c r="A5" s="20" t="s">
        <v>88</v>
      </c>
      <c r="B5" s="21" t="s">
        <v>85</v>
      </c>
      <c r="C5" s="7"/>
      <c r="D5" s="50" t="s">
        <v>129</v>
      </c>
      <c r="E5" s="23" t="s">
        <v>90</v>
      </c>
      <c r="F5" s="23"/>
      <c r="H5" s="24"/>
    </row>
    <row r="6" spans="1:8" s="2" customFormat="1" ht="17">
      <c r="A6" s="20" t="s">
        <v>89</v>
      </c>
      <c r="B6" s="21" t="s">
        <v>693</v>
      </c>
      <c r="C6" s="7"/>
      <c r="D6" s="22"/>
      <c r="E6" s="23" t="s">
        <v>92</v>
      </c>
      <c r="F6" s="23"/>
      <c r="G6" s="24"/>
      <c r="H6" s="24"/>
    </row>
    <row r="10" spans="1:8">
      <c r="A10" s="706" t="s">
        <v>691</v>
      </c>
      <c r="B10" s="706"/>
      <c r="C10" s="706"/>
      <c r="D10" s="706"/>
      <c r="E10" s="706"/>
      <c r="F10" s="706"/>
    </row>
    <row r="11" spans="1:8">
      <c r="A11" s="11"/>
      <c r="B11" s="198" t="s">
        <v>672</v>
      </c>
      <c r="C11" s="198" t="s">
        <v>673</v>
      </c>
      <c r="D11" s="198" t="s">
        <v>690</v>
      </c>
      <c r="E11" s="198" t="s">
        <v>674</v>
      </c>
      <c r="F11" s="11"/>
    </row>
    <row r="12" spans="1:8">
      <c r="A12" s="84" t="s">
        <v>669</v>
      </c>
      <c r="B12" s="338">
        <v>144.02919309308641</v>
      </c>
      <c r="C12" s="338">
        <v>206.75354394648406</v>
      </c>
      <c r="D12" s="338">
        <v>174.18689004199973</v>
      </c>
      <c r="E12" s="421">
        <v>0.42499999999999999</v>
      </c>
      <c r="F12" s="11"/>
    </row>
    <row r="13" spans="1:8">
      <c r="A13" s="84" t="s">
        <v>670</v>
      </c>
      <c r="B13" s="447">
        <v>230.65101034806432</v>
      </c>
      <c r="C13" s="447">
        <v>321.32429991956087</v>
      </c>
      <c r="D13" s="447">
        <v>274.24647981850893</v>
      </c>
      <c r="E13" s="421">
        <f>1-E12-E14</f>
        <v>0.14999999999999997</v>
      </c>
      <c r="F13" s="11"/>
    </row>
    <row r="14" spans="1:8">
      <c r="A14" s="84" t="s">
        <v>671</v>
      </c>
      <c r="B14" s="447">
        <v>147.96419469365972</v>
      </c>
      <c r="C14" s="447">
        <v>173.44233351236173</v>
      </c>
      <c r="D14" s="447">
        <v>158.86547849097127</v>
      </c>
      <c r="E14" s="421">
        <v>0.42499999999999999</v>
      </c>
      <c r="F14" s="11"/>
    </row>
    <row r="15" spans="1:8">
      <c r="A15" s="84" t="s">
        <v>692</v>
      </c>
      <c r="B15" s="11"/>
      <c r="C15" s="11"/>
      <c r="D15" s="11"/>
      <c r="E15" s="421">
        <f>SUM(E12:E14)</f>
        <v>1</v>
      </c>
      <c r="F15" s="11"/>
    </row>
    <row r="16" spans="1:8">
      <c r="A16" s="11"/>
      <c r="B16" s="11"/>
      <c r="C16" s="11"/>
      <c r="D16" s="11"/>
      <c r="E16" s="11"/>
      <c r="F16" s="11"/>
    </row>
    <row r="17" spans="1:6" ht="17" thickBot="1">
      <c r="A17" s="448" t="s">
        <v>675</v>
      </c>
      <c r="B17" s="448">
        <f>SUMPRODUCT(B12:B14,E12:E14)</f>
        <v>158.69484136157672</v>
      </c>
      <c r="C17" s="448">
        <f>SUMPRODUCT(C12:C14,E12:E14)</f>
        <v>209.78189290794359</v>
      </c>
      <c r="D17" s="448">
        <f>SUMPRODUCT(D12:D14,E12:E14)</f>
        <v>182.68422859928899</v>
      </c>
      <c r="E17" s="84"/>
      <c r="F17" s="11"/>
    </row>
    <row r="18" spans="1:6" ht="17" thickTop="1">
      <c r="A18" s="3"/>
      <c r="B18" s="3"/>
      <c r="C18" s="3"/>
      <c r="D18" s="3"/>
      <c r="E18" s="3"/>
      <c r="F18" s="3"/>
    </row>
    <row r="19" spans="1:6">
      <c r="A19" s="3"/>
      <c r="B19" s="3"/>
      <c r="C19" s="3"/>
      <c r="D19" s="3"/>
      <c r="E19" s="3"/>
      <c r="F19" s="3"/>
    </row>
  </sheetData>
  <mergeCells count="3">
    <mergeCell ref="A1:F1"/>
    <mergeCell ref="A3:F3"/>
    <mergeCell ref="A10:F10"/>
  </mergeCells>
  <hyperlinks>
    <hyperlink ref="E4" r:id="rId1" xr:uid="{31DE6139-AA47-4E4B-BCFD-689611AFEFA0}"/>
    <hyperlink ref="E6" r:id="rId2" xr:uid="{1898F744-EF5C-D743-85FC-2022CA794EFE}"/>
    <hyperlink ref="E5" r:id="rId3" xr:uid="{0DC5C89C-B5AD-174A-BB74-0169E81B20F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EE6DF-3F38-419A-87E5-181405DAA934}">
  <sheetPr>
    <tabColor theme="4" tint="-0.249977111117893"/>
  </sheetPr>
  <dimension ref="A1:P37"/>
  <sheetViews>
    <sheetView workbookViewId="0"/>
  </sheetViews>
  <sheetFormatPr baseColWidth="10" defaultColWidth="8.83203125" defaultRowHeight="16"/>
  <cols>
    <col min="1" max="6" width="36.6640625" customWidth="1"/>
  </cols>
  <sheetData>
    <row r="1" spans="1:16">
      <c r="A1" s="449" t="s">
        <v>695</v>
      </c>
    </row>
    <row r="2" spans="1:16">
      <c r="P2" t="e">
        <f ca="1">_xll.CB.RecalcCounterFN()</f>
        <v>#NAME?</v>
      </c>
    </row>
    <row r="3" spans="1:16">
      <c r="A3" t="s">
        <v>696</v>
      </c>
      <c r="B3" t="s">
        <v>697</v>
      </c>
      <c r="C3">
        <v>0</v>
      </c>
    </row>
    <row r="4" spans="1:16">
      <c r="A4" t="s">
        <v>698</v>
      </c>
    </row>
    <row r="5" spans="1:16">
      <c r="A5" t="s">
        <v>699</v>
      </c>
    </row>
    <row r="7" spans="1:16">
      <c r="A7" s="449" t="s">
        <v>700</v>
      </c>
      <c r="B7" t="s">
        <v>701</v>
      </c>
    </row>
    <row r="8" spans="1:16">
      <c r="B8">
        <v>6</v>
      </c>
    </row>
    <row r="10" spans="1:16">
      <c r="A10" t="s">
        <v>702</v>
      </c>
    </row>
    <row r="11" spans="1:16">
      <c r="A11" t="e">
        <f>CB_DATA_!#REF!</f>
        <v>#REF!</v>
      </c>
      <c r="B11" t="e">
        <f>'FULL Proforma_Revised&amp;DCF RISKS'!#REF!</f>
        <v>#REF!</v>
      </c>
      <c r="C11" t="e">
        <f>'Simple Proforma Risks Crystal'!#REF!</f>
        <v>#REF!</v>
      </c>
      <c r="D11" t="e">
        <f>'Multiples Valuation Crystal'!#REF!</f>
        <v>#REF!</v>
      </c>
      <c r="E11" t="e">
        <f>#REF!</f>
        <v>#REF!</v>
      </c>
      <c r="F11" t="e">
        <f>'Valuation Conclusion Risks'!#REF!</f>
        <v>#REF!</v>
      </c>
    </row>
    <row r="13" spans="1:16">
      <c r="A13" t="s">
        <v>703</v>
      </c>
    </row>
    <row r="14" spans="1:16">
      <c r="A14" t="s">
        <v>707</v>
      </c>
      <c r="B14" t="s">
        <v>711</v>
      </c>
      <c r="C14" t="s">
        <v>784</v>
      </c>
      <c r="D14" t="s">
        <v>1008</v>
      </c>
      <c r="E14" t="s">
        <v>1066</v>
      </c>
      <c r="F14" t="s">
        <v>1229</v>
      </c>
    </row>
    <row r="16" spans="1:16">
      <c r="A16" t="s">
        <v>704</v>
      </c>
    </row>
    <row r="17" spans="1:6">
      <c r="E17">
        <v>1</v>
      </c>
    </row>
    <row r="19" spans="1:6">
      <c r="A19" t="s">
        <v>705</v>
      </c>
    </row>
    <row r="20" spans="1:6">
      <c r="A20">
        <v>31</v>
      </c>
      <c r="B20">
        <v>37</v>
      </c>
      <c r="C20">
        <v>31</v>
      </c>
      <c r="D20">
        <v>31</v>
      </c>
      <c r="E20">
        <v>31</v>
      </c>
      <c r="F20">
        <v>31</v>
      </c>
    </row>
    <row r="25" spans="1:6">
      <c r="A25" s="449" t="s">
        <v>706</v>
      </c>
    </row>
    <row r="26" spans="1:6">
      <c r="A26" s="450" t="s">
        <v>708</v>
      </c>
      <c r="B26" s="450" t="s">
        <v>767</v>
      </c>
      <c r="C26" s="450" t="s">
        <v>712</v>
      </c>
      <c r="D26" s="450" t="s">
        <v>712</v>
      </c>
      <c r="E26" s="450" t="s">
        <v>712</v>
      </c>
      <c r="F26" s="450" t="s">
        <v>712</v>
      </c>
    </row>
    <row r="27" spans="1:6">
      <c r="A27" t="s">
        <v>709</v>
      </c>
      <c r="B27" t="s">
        <v>1227</v>
      </c>
      <c r="C27" t="s">
        <v>1294</v>
      </c>
      <c r="D27" t="s">
        <v>1291</v>
      </c>
      <c r="E27" t="s">
        <v>1068</v>
      </c>
      <c r="F27" t="s">
        <v>1293</v>
      </c>
    </row>
    <row r="28" spans="1:6">
      <c r="A28" s="450" t="s">
        <v>710</v>
      </c>
      <c r="B28" s="450" t="s">
        <v>710</v>
      </c>
      <c r="C28" s="450" t="s">
        <v>710</v>
      </c>
      <c r="D28" s="450" t="s">
        <v>710</v>
      </c>
      <c r="E28" s="450" t="s">
        <v>710</v>
      </c>
      <c r="F28" s="450" t="s">
        <v>710</v>
      </c>
    </row>
    <row r="29" spans="1:6">
      <c r="A29" s="450" t="s">
        <v>712</v>
      </c>
      <c r="B29" s="450" t="s">
        <v>708</v>
      </c>
      <c r="C29" s="450" t="s">
        <v>708</v>
      </c>
      <c r="D29" s="450" t="s">
        <v>708</v>
      </c>
      <c r="E29" s="450" t="s">
        <v>708</v>
      </c>
      <c r="F29" s="450" t="s">
        <v>708</v>
      </c>
    </row>
    <row r="30" spans="1:6">
      <c r="A30" t="s">
        <v>1290</v>
      </c>
      <c r="B30" t="s">
        <v>765</v>
      </c>
      <c r="C30" t="s">
        <v>785</v>
      </c>
      <c r="D30" t="s">
        <v>1009</v>
      </c>
      <c r="E30" t="s">
        <v>1067</v>
      </c>
      <c r="F30" t="s">
        <v>1230</v>
      </c>
    </row>
    <row r="31" spans="1:6">
      <c r="A31" s="450" t="s">
        <v>710</v>
      </c>
      <c r="B31" s="450" t="s">
        <v>710</v>
      </c>
      <c r="C31" s="450" t="s">
        <v>710</v>
      </c>
      <c r="D31" s="450" t="s">
        <v>710</v>
      </c>
      <c r="E31" s="450" t="s">
        <v>710</v>
      </c>
      <c r="F31" s="450" t="s">
        <v>710</v>
      </c>
    </row>
    <row r="32" spans="1:6">
      <c r="B32" s="450" t="s">
        <v>766</v>
      </c>
    </row>
    <row r="33" spans="2:2">
      <c r="B33" t="s">
        <v>1228</v>
      </c>
    </row>
    <row r="34" spans="2:2">
      <c r="B34" s="450" t="s">
        <v>710</v>
      </c>
    </row>
    <row r="35" spans="2:2">
      <c r="B35" s="450" t="s">
        <v>712</v>
      </c>
    </row>
    <row r="36" spans="2:2">
      <c r="B36" t="s">
        <v>1292</v>
      </c>
    </row>
    <row r="37" spans="2:2">
      <c r="B37" s="450" t="s">
        <v>710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44A5C-06CB-0541-8C68-3D3B290E456A}">
  <sheetPr>
    <tabColor rgb="FF7030A0"/>
  </sheetPr>
  <dimension ref="A1:AC213"/>
  <sheetViews>
    <sheetView zoomScale="90" workbookViewId="0">
      <pane xSplit="1" topLeftCell="B1" activePane="topRight" state="frozen"/>
      <selection activeCell="H27" sqref="H27"/>
      <selection pane="topRight" activeCell="J125" sqref="J125"/>
    </sheetView>
  </sheetViews>
  <sheetFormatPr baseColWidth="10" defaultColWidth="10.83203125" defaultRowHeight="17"/>
  <cols>
    <col min="1" max="1" width="69" style="3" bestFit="1" customWidth="1"/>
    <col min="2" max="6" width="23.33203125" style="3" customWidth="1"/>
    <col min="7" max="7" width="11.1640625" style="3" customWidth="1"/>
    <col min="8" max="12" width="13.33203125" style="3" customWidth="1"/>
    <col min="13" max="13" width="9.6640625" style="3" customWidth="1"/>
    <col min="14" max="18" width="11.33203125" style="57" bestFit="1" customWidth="1"/>
    <col min="19" max="19" width="5" style="3" customWidth="1"/>
    <col min="20" max="20" width="36.5" style="3" bestFit="1" customWidth="1"/>
    <col min="21" max="21" width="8.5" style="57" bestFit="1" customWidth="1"/>
    <col min="22" max="22" width="46.6640625" style="3" bestFit="1" customWidth="1"/>
    <col min="23" max="23" width="6.5" style="57" bestFit="1" customWidth="1"/>
    <col min="24" max="24" width="17.6640625" style="129" bestFit="1" customWidth="1"/>
    <col min="25" max="16384" width="10.83203125" style="3"/>
  </cols>
  <sheetData>
    <row r="1" spans="1:24" ht="25">
      <c r="A1" s="661" t="s">
        <v>653</v>
      </c>
      <c r="B1" s="661"/>
      <c r="C1" s="661"/>
      <c r="D1" s="661"/>
      <c r="E1" s="661"/>
      <c r="F1" s="661"/>
      <c r="G1" s="661"/>
      <c r="H1" s="661"/>
      <c r="I1" s="661"/>
      <c r="J1" s="661"/>
      <c r="K1" s="661"/>
      <c r="L1" s="661"/>
      <c r="M1" s="661"/>
      <c r="N1" s="661"/>
      <c r="O1" s="661"/>
      <c r="P1" s="661"/>
      <c r="Q1" s="661"/>
      <c r="R1" s="661"/>
      <c r="T1" s="232"/>
      <c r="U1" s="232"/>
      <c r="V1" s="232"/>
      <c r="W1" s="232"/>
      <c r="X1" s="232"/>
    </row>
    <row r="2" spans="1:24">
      <c r="A2" s="1"/>
    </row>
    <row r="3" spans="1:24" s="2" customFormat="1">
      <c r="A3" s="662" t="s">
        <v>95</v>
      </c>
      <c r="B3" s="662"/>
      <c r="C3" s="662"/>
      <c r="D3" s="662"/>
      <c r="E3" s="662"/>
      <c r="F3" s="662"/>
      <c r="G3" s="662"/>
      <c r="H3" s="662"/>
      <c r="I3" s="662"/>
      <c r="J3" s="662"/>
      <c r="K3" s="662"/>
      <c r="L3" s="662"/>
      <c r="M3" s="662"/>
      <c r="N3" s="662"/>
      <c r="O3" s="662"/>
      <c r="P3" s="662"/>
      <c r="Q3" s="662"/>
      <c r="R3" s="662"/>
      <c r="T3" s="4"/>
      <c r="U3" s="4"/>
      <c r="V3" s="4"/>
      <c r="W3" s="4"/>
      <c r="X3" s="4"/>
    </row>
    <row r="4" spans="1:24" s="2" customFormat="1">
      <c r="A4" s="20" t="s">
        <v>86</v>
      </c>
      <c r="B4" s="21" t="s">
        <v>87</v>
      </c>
      <c r="C4" s="7"/>
      <c r="D4" s="20" t="s">
        <v>102</v>
      </c>
      <c r="E4" s="23" t="s">
        <v>91</v>
      </c>
      <c r="F4" s="7"/>
      <c r="G4" s="7"/>
      <c r="H4" s="7"/>
      <c r="I4" s="7"/>
      <c r="J4" s="7"/>
      <c r="K4" s="7"/>
      <c r="L4" s="7"/>
      <c r="M4" s="7"/>
      <c r="N4" s="58"/>
      <c r="O4" s="62"/>
      <c r="P4" s="65"/>
      <c r="Q4" s="68"/>
      <c r="R4" s="68"/>
      <c r="T4" s="7"/>
      <c r="U4" s="62"/>
      <c r="V4" s="7"/>
      <c r="W4" s="62"/>
      <c r="X4" s="112"/>
    </row>
    <row r="5" spans="1:24" s="2" customFormat="1">
      <c r="A5" s="20" t="s">
        <v>88</v>
      </c>
      <c r="B5" s="21" t="s">
        <v>85</v>
      </c>
      <c r="C5" s="7"/>
      <c r="D5" s="50" t="s">
        <v>129</v>
      </c>
      <c r="E5" s="23" t="s">
        <v>90</v>
      </c>
      <c r="F5" s="23"/>
      <c r="G5" s="23"/>
      <c r="H5" s="7"/>
      <c r="I5" s="7"/>
      <c r="J5" s="7"/>
      <c r="K5" s="7"/>
      <c r="L5" s="7"/>
      <c r="M5" s="7"/>
      <c r="N5" s="58"/>
      <c r="O5" s="62"/>
      <c r="P5" s="66"/>
      <c r="Q5" s="68"/>
      <c r="R5" s="68"/>
      <c r="T5" s="7"/>
      <c r="U5" s="62"/>
      <c r="V5" s="7"/>
      <c r="W5" s="62"/>
      <c r="X5" s="112"/>
    </row>
    <row r="6" spans="1:24" s="2" customFormat="1">
      <c r="A6" s="20" t="s">
        <v>89</v>
      </c>
      <c r="B6" s="21" t="s">
        <v>130</v>
      </c>
      <c r="C6" s="7"/>
      <c r="D6" s="22"/>
      <c r="E6" s="23" t="s">
        <v>92</v>
      </c>
      <c r="F6" s="23"/>
      <c r="G6" s="23"/>
      <c r="H6" s="7"/>
      <c r="I6" s="7"/>
      <c r="J6" s="7"/>
      <c r="K6" s="7"/>
      <c r="L6" s="7"/>
      <c r="M6" s="7"/>
      <c r="N6" s="58"/>
      <c r="O6" s="62"/>
      <c r="P6" s="67"/>
      <c r="Q6" s="68"/>
      <c r="R6" s="68"/>
      <c r="T6" s="7"/>
      <c r="U6" s="62"/>
      <c r="V6" s="7"/>
      <c r="W6" s="62"/>
      <c r="X6" s="112"/>
    </row>
    <row r="7" spans="1:24">
      <c r="A7" s="1"/>
    </row>
    <row r="8" spans="1:24" s="2" customFormat="1">
      <c r="A8" s="15" t="s">
        <v>105</v>
      </c>
      <c r="B8" s="33">
        <v>43465</v>
      </c>
      <c r="C8" s="33">
        <v>43830</v>
      </c>
      <c r="D8" s="33">
        <v>44196</v>
      </c>
      <c r="E8" s="33">
        <v>44561</v>
      </c>
      <c r="F8" s="33">
        <v>44926</v>
      </c>
      <c r="H8" s="106">
        <v>2023</v>
      </c>
      <c r="I8" s="106">
        <v>2024</v>
      </c>
      <c r="J8" s="106">
        <v>2025</v>
      </c>
      <c r="K8" s="106">
        <v>2026</v>
      </c>
      <c r="L8" s="106">
        <v>2027</v>
      </c>
      <c r="M8" s="1"/>
      <c r="N8" s="59" t="s">
        <v>168</v>
      </c>
      <c r="O8" s="59" t="s">
        <v>168</v>
      </c>
      <c r="P8" s="59" t="s">
        <v>168</v>
      </c>
      <c r="Q8" s="59" t="s">
        <v>168</v>
      </c>
      <c r="R8" s="59" t="s">
        <v>168</v>
      </c>
      <c r="T8" s="716">
        <v>2023</v>
      </c>
      <c r="U8" s="716"/>
      <c r="V8" s="677" t="s">
        <v>378</v>
      </c>
      <c r="W8" s="677"/>
      <c r="X8" s="134" t="s">
        <v>339</v>
      </c>
    </row>
    <row r="9" spans="1:24" s="2" customFormat="1">
      <c r="A9" s="4"/>
      <c r="B9" s="34"/>
      <c r="C9" s="34"/>
      <c r="D9" s="34"/>
      <c r="E9" s="34"/>
      <c r="F9" s="34"/>
      <c r="H9" s="7"/>
      <c r="I9" s="7"/>
      <c r="J9" s="7"/>
      <c r="K9" s="7"/>
      <c r="L9" s="7"/>
      <c r="N9" s="60"/>
      <c r="O9" s="60"/>
      <c r="P9" s="60"/>
      <c r="Q9" s="60"/>
      <c r="R9" s="60"/>
      <c r="T9" s="7"/>
      <c r="U9" s="62"/>
      <c r="V9" s="7"/>
      <c r="W9" s="62"/>
      <c r="X9" s="112"/>
    </row>
    <row r="10" spans="1:24" s="2" customFormat="1" ht="20">
      <c r="A10" s="234" t="s">
        <v>116</v>
      </c>
      <c r="B10" s="234"/>
      <c r="C10" s="234"/>
      <c r="D10" s="234"/>
      <c r="E10" s="234"/>
      <c r="F10" s="234"/>
      <c r="H10" s="717" t="s">
        <v>207</v>
      </c>
      <c r="I10" s="717"/>
      <c r="J10" s="717"/>
      <c r="K10" s="717"/>
      <c r="L10" s="717"/>
      <c r="N10" s="717" t="s">
        <v>521</v>
      </c>
      <c r="O10" s="717"/>
      <c r="P10" s="717"/>
      <c r="Q10" s="717"/>
      <c r="R10" s="717"/>
      <c r="T10" s="231" t="s">
        <v>208</v>
      </c>
      <c r="U10" s="231"/>
      <c r="V10" s="231"/>
      <c r="W10" s="231"/>
      <c r="X10" s="231"/>
    </row>
    <row r="11" spans="1:24" s="2" customFormat="1">
      <c r="A11" s="15" t="s">
        <v>109</v>
      </c>
      <c r="B11" s="15"/>
      <c r="C11" s="15"/>
      <c r="D11" s="15"/>
      <c r="E11" s="15"/>
      <c r="F11" s="15"/>
      <c r="H11" s="32"/>
      <c r="I11" s="32"/>
      <c r="J11" s="32"/>
      <c r="K11" s="32"/>
      <c r="L11" s="32"/>
      <c r="N11" s="61"/>
      <c r="O11" s="61"/>
      <c r="P11" s="61"/>
      <c r="Q11" s="61"/>
      <c r="R11" s="61"/>
      <c r="T11" s="32"/>
      <c r="U11" s="64"/>
      <c r="V11" s="32"/>
      <c r="W11" s="64"/>
      <c r="X11" s="113"/>
    </row>
    <row r="12" spans="1:24" s="2" customFormat="1">
      <c r="A12" s="55" t="s">
        <v>141</v>
      </c>
      <c r="B12" s="15"/>
      <c r="C12" s="15"/>
      <c r="D12" s="15"/>
      <c r="E12" s="15"/>
      <c r="F12" s="15"/>
      <c r="H12" s="32"/>
      <c r="I12" s="32"/>
      <c r="J12" s="32"/>
      <c r="K12" s="32"/>
      <c r="L12" s="32"/>
      <c r="N12" s="61"/>
      <c r="O12" s="61"/>
      <c r="P12" s="61"/>
      <c r="Q12" s="61"/>
      <c r="R12" s="61"/>
      <c r="T12" s="32"/>
      <c r="U12" s="64"/>
      <c r="V12" s="32"/>
      <c r="W12" s="64"/>
      <c r="X12" s="113"/>
    </row>
    <row r="13" spans="1:24" s="2" customFormat="1">
      <c r="A13" s="6" t="s">
        <v>135</v>
      </c>
      <c r="B13" s="7">
        <v>2158</v>
      </c>
      <c r="C13" s="7">
        <v>2265</v>
      </c>
      <c r="D13" s="7">
        <v>914</v>
      </c>
      <c r="E13" s="7">
        <v>1580</v>
      </c>
      <c r="F13" s="7">
        <v>2486</v>
      </c>
      <c r="H13" s="7">
        <f>F13*(1+U13)</f>
        <v>3057.1215896678464</v>
      </c>
      <c r="I13" s="7">
        <f>H13*(1+$W$13)</f>
        <v>3336.4302996815686</v>
      </c>
      <c r="J13" s="7">
        <f>I13*(1+$W$13)</f>
        <v>3641.2575745286917</v>
      </c>
      <c r="K13" s="7">
        <f>J13*(1+$W$13)</f>
        <v>3973.9348744459003</v>
      </c>
      <c r="L13" s="7">
        <f>K13*(1+$W$13)</f>
        <v>4337.0066695656433</v>
      </c>
      <c r="N13" s="62">
        <f>B13/$B$29</f>
        <v>0.10395991906734753</v>
      </c>
      <c r="O13" s="62">
        <f>C13/$C$29</f>
        <v>0.10800114438298684</v>
      </c>
      <c r="P13" s="62">
        <f>D13/$D$29</f>
        <v>8.6462964714785734E-2</v>
      </c>
      <c r="Q13" s="62">
        <f>E13/$E$29</f>
        <v>0.11402179403911381</v>
      </c>
      <c r="R13" s="62">
        <f>F13/$F$29</f>
        <v>0.11967457757666201</v>
      </c>
      <c r="T13" s="7" t="s">
        <v>209</v>
      </c>
      <c r="U13" s="62">
        <f>F126</f>
        <v>0.22973515272238387</v>
      </c>
      <c r="V13" s="7" t="s">
        <v>174</v>
      </c>
      <c r="W13" s="62">
        <f>G126</f>
        <v>9.1363297736570925E-2</v>
      </c>
      <c r="X13" s="112" t="s">
        <v>344</v>
      </c>
    </row>
    <row r="14" spans="1:24" s="2" customFormat="1">
      <c r="A14" s="6" t="s">
        <v>136</v>
      </c>
      <c r="B14" s="7">
        <v>-45</v>
      </c>
      <c r="C14" s="7">
        <v>-48</v>
      </c>
      <c r="D14" s="7">
        <v>-108</v>
      </c>
      <c r="E14" s="7">
        <v>-55</v>
      </c>
      <c r="F14" s="7">
        <v>-60</v>
      </c>
      <c r="H14" s="7">
        <f>F14*(1+U14)</f>
        <v>-73.784109163343032</v>
      </c>
      <c r="I14" s="7">
        <f>H14*(1+$W$14)</f>
        <v>-80.525268697061179</v>
      </c>
      <c r="J14" s="7">
        <f>I14*(1+$W$14)</f>
        <v>-87.882322796348149</v>
      </c>
      <c r="K14" s="7">
        <f>J14*(1+$W$14)</f>
        <v>-95.911541619772322</v>
      </c>
      <c r="L14" s="7">
        <f>K14*(1+$W$14)</f>
        <v>-104.67433635315308</v>
      </c>
      <c r="N14" s="62">
        <f>B14/$B$29</f>
        <v>-2.1678389054822235E-3</v>
      </c>
      <c r="O14" s="62">
        <f>C14/$C$29</f>
        <v>-2.2887659736791914E-3</v>
      </c>
      <c r="P14" s="62">
        <f>D14/$D$29</f>
        <v>-1.0216630403935294E-2</v>
      </c>
      <c r="Q14" s="62">
        <f>E14/$E$29</f>
        <v>-3.9691130836400374E-3</v>
      </c>
      <c r="R14" s="62">
        <f>F14/$F$29</f>
        <v>-2.888364704183315E-3</v>
      </c>
      <c r="T14" s="7" t="s">
        <v>174</v>
      </c>
      <c r="U14" s="62">
        <f>F126</f>
        <v>0.22973515272238387</v>
      </c>
      <c r="V14" s="7" t="s">
        <v>174</v>
      </c>
      <c r="W14" s="62">
        <f>G126</f>
        <v>9.1363297736570925E-2</v>
      </c>
      <c r="X14" s="112" t="s">
        <v>344</v>
      </c>
    </row>
    <row r="15" spans="1:24" s="2" customFormat="1" ht="20">
      <c r="A15" s="10" t="s">
        <v>137</v>
      </c>
      <c r="B15" s="9">
        <f>B13+B14</f>
        <v>2113</v>
      </c>
      <c r="C15" s="9">
        <f>C13+C14</f>
        <v>2217</v>
      </c>
      <c r="D15" s="9">
        <f>D13+D14</f>
        <v>806</v>
      </c>
      <c r="E15" s="9">
        <f>E13+E14</f>
        <v>1525</v>
      </c>
      <c r="F15" s="9">
        <f>F13+F14</f>
        <v>2426</v>
      </c>
      <c r="H15" s="9">
        <f>H13+H14</f>
        <v>2983.3374805045032</v>
      </c>
      <c r="I15" s="9">
        <f>I13+I14</f>
        <v>3255.9050309845074</v>
      </c>
      <c r="J15" s="9">
        <f>J13+J14</f>
        <v>3553.3752517323437</v>
      </c>
      <c r="K15" s="9">
        <f>K13+K14</f>
        <v>3878.0233328261279</v>
      </c>
      <c r="L15" s="9">
        <f>L13+L14</f>
        <v>4232.3323332124901</v>
      </c>
      <c r="N15" s="62"/>
      <c r="O15" s="62"/>
      <c r="P15" s="62"/>
      <c r="Q15" s="62"/>
      <c r="R15" s="62"/>
      <c r="T15" s="7"/>
      <c r="U15" s="62"/>
      <c r="V15" s="7"/>
      <c r="W15" s="62"/>
      <c r="X15" s="112"/>
    </row>
    <row r="16" spans="1:24" s="2" customFormat="1">
      <c r="A16" s="6" t="s">
        <v>138</v>
      </c>
      <c r="B16" s="7">
        <f>593+128</f>
        <v>721</v>
      </c>
      <c r="C16" s="7">
        <v>715</v>
      </c>
      <c r="D16" s="7">
        <v>198</v>
      </c>
      <c r="E16" s="7">
        <v>282</v>
      </c>
      <c r="F16" s="7">
        <v>479</v>
      </c>
      <c r="H16" s="7">
        <f>F16*(1+U16)</f>
        <v>589.0431381540219</v>
      </c>
      <c r="I16" s="7">
        <f>H16*(1+$W$16)</f>
        <v>642.86006176487183</v>
      </c>
      <c r="J16" s="7">
        <f>I16*(1+$W$16)</f>
        <v>701.59387699084607</v>
      </c>
      <c r="K16" s="7">
        <f>J16*(1+$W$16)</f>
        <v>765.69380726451573</v>
      </c>
      <c r="L16" s="7">
        <f>K16*(1+$W$16)</f>
        <v>835.6501185526721</v>
      </c>
      <c r="N16" s="62">
        <f>B16/$B$29</f>
        <v>3.4733596685615181E-2</v>
      </c>
      <c r="O16" s="62">
        <f>C16/$C$29</f>
        <v>3.409307648292962E-2</v>
      </c>
      <c r="P16" s="62">
        <f>D16/$D$29</f>
        <v>1.8730489073881373E-2</v>
      </c>
      <c r="Q16" s="62">
        <f>E16/$E$29</f>
        <v>2.0350725265208921E-2</v>
      </c>
      <c r="R16" s="62">
        <f>F16/$F$29</f>
        <v>2.3058778221730129E-2</v>
      </c>
      <c r="T16" s="7" t="s">
        <v>174</v>
      </c>
      <c r="U16" s="62">
        <f>F126</f>
        <v>0.22973515272238387</v>
      </c>
      <c r="V16" s="7" t="s">
        <v>174</v>
      </c>
      <c r="W16" s="62">
        <f>G126</f>
        <v>9.1363297736570925E-2</v>
      </c>
      <c r="X16" s="112" t="s">
        <v>344</v>
      </c>
    </row>
    <row r="17" spans="1:24" s="2" customFormat="1">
      <c r="A17" s="6" t="s">
        <v>147</v>
      </c>
      <c r="B17" s="7">
        <v>13455</v>
      </c>
      <c r="C17" s="7">
        <v>13901</v>
      </c>
      <c r="D17" s="7">
        <v>6901</v>
      </c>
      <c r="E17" s="7">
        <v>8549</v>
      </c>
      <c r="F17" s="7">
        <v>12848</v>
      </c>
      <c r="H17" s="7">
        <f>F17*(1+U17)</f>
        <v>15799.637242177188</v>
      </c>
      <c r="I17" s="7">
        <f>H17*(1+$W$17)</f>
        <v>17243.144203664036</v>
      </c>
      <c r="J17" s="7">
        <f>I17*(1+$W$17)</f>
        <v>18818.534721458018</v>
      </c>
      <c r="K17" s="7">
        <f>J17*(1+$W$17)</f>
        <v>20537.858112180584</v>
      </c>
      <c r="L17" s="7">
        <f>K17*(1+$W$17)</f>
        <v>22414.264557755185</v>
      </c>
      <c r="N17" s="62">
        <f>B17/$B$29</f>
        <v>0.6481838327391849</v>
      </c>
      <c r="O17" s="62">
        <f>C17/$C$29</f>
        <v>0.66283616250238409</v>
      </c>
      <c r="P17" s="62">
        <f>D17/$D$29</f>
        <v>0.65282376312553214</v>
      </c>
      <c r="Q17" s="62">
        <f>E17/$E$29</f>
        <v>0.61694450458252148</v>
      </c>
      <c r="R17" s="62">
        <f>F17/$F$29</f>
        <v>0.61849516198912047</v>
      </c>
      <c r="T17" s="7" t="s">
        <v>174</v>
      </c>
      <c r="U17" s="62">
        <f>F126</f>
        <v>0.22973515272238387</v>
      </c>
      <c r="V17" s="7" t="s">
        <v>174</v>
      </c>
      <c r="W17" s="62">
        <f>G126</f>
        <v>9.1363297736570925E-2</v>
      </c>
      <c r="X17" s="112" t="s">
        <v>344</v>
      </c>
    </row>
    <row r="18" spans="1:24" s="2" customFormat="1" ht="20">
      <c r="A18" s="10" t="s">
        <v>139</v>
      </c>
      <c r="B18" s="9">
        <f>B16+B17+B15</f>
        <v>16289</v>
      </c>
      <c r="C18" s="9">
        <f>C16+C17+C15</f>
        <v>16833</v>
      </c>
      <c r="D18" s="9">
        <f>D16+D17+D15</f>
        <v>7905</v>
      </c>
      <c r="E18" s="9">
        <f>E16+E17+E15</f>
        <v>10356</v>
      </c>
      <c r="F18" s="9">
        <f>F16+F17+F15</f>
        <v>15753</v>
      </c>
      <c r="H18" s="9">
        <f>H16+H17+H15</f>
        <v>19372.017860835713</v>
      </c>
      <c r="I18" s="9">
        <f>I16+I17+I15</f>
        <v>21141.909296413418</v>
      </c>
      <c r="J18" s="9">
        <f>J16+J17+J15</f>
        <v>23073.503850181209</v>
      </c>
      <c r="K18" s="9">
        <f>K16+K17+K15</f>
        <v>25181.575252271228</v>
      </c>
      <c r="L18" s="9">
        <f>L16+L17+L15</f>
        <v>27482.247009520346</v>
      </c>
      <c r="N18" s="62"/>
      <c r="O18" s="62"/>
      <c r="P18" s="62"/>
      <c r="Q18" s="62"/>
      <c r="R18" s="62"/>
      <c r="T18" s="7"/>
      <c r="U18" s="62"/>
      <c r="V18" s="7"/>
      <c r="W18" s="62"/>
      <c r="X18" s="112"/>
    </row>
    <row r="19" spans="1:24" s="2" customFormat="1">
      <c r="A19" s="7"/>
      <c r="B19" s="7"/>
      <c r="C19" s="7"/>
      <c r="D19" s="7"/>
      <c r="E19" s="7"/>
      <c r="F19" s="7"/>
      <c r="H19" s="7"/>
      <c r="I19" s="7"/>
      <c r="J19" s="7"/>
      <c r="K19" s="7"/>
      <c r="L19" s="7"/>
      <c r="N19" s="62"/>
      <c r="O19" s="62"/>
      <c r="P19" s="62"/>
      <c r="Q19" s="62"/>
      <c r="R19" s="62"/>
      <c r="T19" s="7"/>
      <c r="U19" s="62"/>
      <c r="V19" s="7"/>
      <c r="W19" s="62"/>
      <c r="X19" s="112"/>
    </row>
    <row r="20" spans="1:24" s="2" customFormat="1">
      <c r="A20" s="55" t="s">
        <v>146</v>
      </c>
      <c r="B20" s="15"/>
      <c r="C20" s="15"/>
      <c r="D20" s="15"/>
      <c r="E20" s="15"/>
      <c r="F20" s="15"/>
      <c r="H20" s="32"/>
      <c r="I20" s="32"/>
      <c r="J20" s="32"/>
      <c r="K20" s="32"/>
      <c r="L20" s="32"/>
      <c r="N20" s="61"/>
      <c r="O20" s="64"/>
      <c r="P20" s="64"/>
      <c r="Q20" s="64"/>
      <c r="R20" s="64"/>
      <c r="T20" s="32"/>
      <c r="U20" s="64"/>
      <c r="V20" s="32"/>
      <c r="W20" s="64"/>
      <c r="X20" s="113"/>
    </row>
    <row r="21" spans="1:24" s="2" customFormat="1">
      <c r="A21" s="6" t="s">
        <v>135</v>
      </c>
      <c r="B21" s="7">
        <f>479+518</f>
        <v>997</v>
      </c>
      <c r="C21" s="7">
        <v>1032</v>
      </c>
      <c r="D21" s="7">
        <v>338</v>
      </c>
      <c r="E21" s="7">
        <v>568</v>
      </c>
      <c r="F21" s="7">
        <v>917</v>
      </c>
      <c r="H21" s="7">
        <f>F21*(1+U21)</f>
        <v>1198.2924120733203</v>
      </c>
      <c r="I21" s="7">
        <f>H21*(1+$W$21)</f>
        <v>1257.1085778096408</v>
      </c>
      <c r="J21" s="7">
        <f>I21*(1+$W$21)</f>
        <v>1318.8116360248487</v>
      </c>
      <c r="K21" s="7">
        <f>J21*(1+$W$21)</f>
        <v>1383.5432849762228</v>
      </c>
      <c r="L21" s="7">
        <f>K21*(1+$W$21)</f>
        <v>1451.4521779414531</v>
      </c>
      <c r="N21" s="62">
        <f>B21/$B$29</f>
        <v>4.8029675305906155E-2</v>
      </c>
      <c r="O21" s="62">
        <f>C21/$C$29</f>
        <v>4.9208468434102613E-2</v>
      </c>
      <c r="P21" s="62">
        <f>D21/$D$29</f>
        <v>3.1974269227130828E-2</v>
      </c>
      <c r="Q21" s="62">
        <f>E21/$E$29</f>
        <v>4.0990113300137118E-2</v>
      </c>
      <c r="R21" s="62">
        <f>F21/$F$29</f>
        <v>4.4143840562268326E-2</v>
      </c>
      <c r="T21" s="7" t="s">
        <v>174</v>
      </c>
      <c r="U21" s="62">
        <f>F127</f>
        <v>0.30675290302434066</v>
      </c>
      <c r="V21" s="7" t="s">
        <v>174</v>
      </c>
      <c r="W21" s="62">
        <f>G127</f>
        <v>4.9083316512498865E-2</v>
      </c>
      <c r="X21" s="112" t="s">
        <v>344</v>
      </c>
    </row>
    <row r="22" spans="1:24" s="2" customFormat="1">
      <c r="A22" s="6" t="s">
        <v>136</v>
      </c>
      <c r="B22" s="7">
        <v>-13</v>
      </c>
      <c r="C22" s="7">
        <v>-14</v>
      </c>
      <c r="D22" s="7">
        <v>-24</v>
      </c>
      <c r="E22" s="7">
        <v>-20</v>
      </c>
      <c r="F22" s="7">
        <v>-29</v>
      </c>
      <c r="H22" s="7">
        <f>F22*(1+U22)</f>
        <v>-37.895834187705873</v>
      </c>
      <c r="I22" s="7">
        <f>H22*(1+$W$22)</f>
        <v>-39.755887411646214</v>
      </c>
      <c r="J22" s="7">
        <f>I22*(1+$W$22)</f>
        <v>-41.707238216707317</v>
      </c>
      <c r="K22" s="7">
        <f>J22*(1+$W$22)</f>
        <v>-43.754367790960153</v>
      </c>
      <c r="L22" s="7">
        <f>K22*(1+$W$22)</f>
        <v>-45.901977274048136</v>
      </c>
      <c r="N22" s="62">
        <f>B22/$B$29</f>
        <v>-6.2626457269486459E-4</v>
      </c>
      <c r="O22" s="62">
        <f>C22/$C$29</f>
        <v>-6.6755674232309744E-4</v>
      </c>
      <c r="P22" s="62">
        <f>D22/$D$29</f>
        <v>-2.2703623119856211E-3</v>
      </c>
      <c r="Q22" s="62">
        <f>E22/$E$29</f>
        <v>-1.4433138485963773E-3</v>
      </c>
      <c r="R22" s="62">
        <f>F22/$F$29</f>
        <v>-1.3960429403552688E-3</v>
      </c>
      <c r="T22" s="7" t="s">
        <v>174</v>
      </c>
      <c r="U22" s="62">
        <f>F127</f>
        <v>0.30675290302434066</v>
      </c>
      <c r="V22" s="7" t="s">
        <v>174</v>
      </c>
      <c r="W22" s="62">
        <f>G127</f>
        <v>4.9083316512498865E-2</v>
      </c>
      <c r="X22" s="112" t="s">
        <v>344</v>
      </c>
    </row>
    <row r="23" spans="1:24" s="2" customFormat="1" ht="20">
      <c r="A23" s="10" t="s">
        <v>137</v>
      </c>
      <c r="B23" s="9">
        <f>B21+B22</f>
        <v>984</v>
      </c>
      <c r="C23" s="9">
        <f>C21+C22</f>
        <v>1018</v>
      </c>
      <c r="D23" s="9">
        <f>D21+D22</f>
        <v>314</v>
      </c>
      <c r="E23" s="9">
        <f>E21+E22</f>
        <v>548</v>
      </c>
      <c r="F23" s="9">
        <f>F21+F22</f>
        <v>888</v>
      </c>
      <c r="H23" s="9">
        <f>H21+H22</f>
        <v>1160.3965778856145</v>
      </c>
      <c r="I23" s="9">
        <f>I21+I22</f>
        <v>1217.3526903979946</v>
      </c>
      <c r="J23" s="9">
        <f>J21+J22</f>
        <v>1277.1043978081414</v>
      </c>
      <c r="K23" s="9">
        <f>K21+K22</f>
        <v>1339.7889171852626</v>
      </c>
      <c r="L23" s="9">
        <f>L21+L22</f>
        <v>1405.5502006674051</v>
      </c>
      <c r="N23" s="62"/>
      <c r="O23" s="62"/>
      <c r="P23" s="62"/>
      <c r="Q23" s="62"/>
      <c r="R23" s="62"/>
      <c r="T23" s="7"/>
      <c r="U23" s="62"/>
      <c r="V23" s="7"/>
      <c r="W23" s="62"/>
      <c r="X23" s="112"/>
    </row>
    <row r="24" spans="1:24" s="2" customFormat="1">
      <c r="A24" s="6" t="s">
        <v>138</v>
      </c>
      <c r="B24" s="7">
        <f>668+182</f>
        <v>850</v>
      </c>
      <c r="C24" s="7">
        <v>841</v>
      </c>
      <c r="D24" s="7">
        <v>317</v>
      </c>
      <c r="E24" s="7">
        <v>467</v>
      </c>
      <c r="F24" s="7">
        <v>801</v>
      </c>
      <c r="H24" s="7">
        <f>F24*(1+U24)</f>
        <v>1046.7090753224968</v>
      </c>
      <c r="I24" s="7">
        <f>H24*(1+$W$24)</f>
        <v>1098.085028163056</v>
      </c>
      <c r="J24" s="7">
        <f>I24*(1+$W$24)</f>
        <v>1151.9826831580194</v>
      </c>
      <c r="K24" s="7">
        <f>J24*(1+$W$24)</f>
        <v>1208.5258138123822</v>
      </c>
      <c r="L24" s="7">
        <f>K24*(1+$W$24)</f>
        <v>1267.8442688452606</v>
      </c>
      <c r="N24" s="62">
        <f>B24/$B$29</f>
        <v>4.0948068214664228E-2</v>
      </c>
      <c r="O24" s="62">
        <f>C24/$C$29</f>
        <v>4.01010871638375E-2</v>
      </c>
      <c r="P24" s="62">
        <f>D24/$D$29</f>
        <v>2.9987702204143412E-2</v>
      </c>
      <c r="Q24" s="62">
        <f>E24/$E$29</f>
        <v>3.3701378364725407E-2</v>
      </c>
      <c r="R24" s="62">
        <f>F24/$F$29</f>
        <v>3.8559668800847255E-2</v>
      </c>
      <c r="T24" s="7" t="s">
        <v>174</v>
      </c>
      <c r="U24" s="62">
        <f>F127</f>
        <v>0.30675290302434066</v>
      </c>
      <c r="V24" s="7" t="s">
        <v>174</v>
      </c>
      <c r="W24" s="62">
        <f>G127</f>
        <v>4.9083316512498865E-2</v>
      </c>
      <c r="X24" s="112" t="s">
        <v>344</v>
      </c>
    </row>
    <row r="25" spans="1:24" s="2" customFormat="1">
      <c r="A25" s="6" t="s">
        <v>147</v>
      </c>
      <c r="B25" s="7">
        <f>459+1091</f>
        <v>1550</v>
      </c>
      <c r="C25" s="7">
        <v>1685</v>
      </c>
      <c r="D25" s="7">
        <v>966</v>
      </c>
      <c r="E25" s="7">
        <v>1239</v>
      </c>
      <c r="F25" s="7">
        <v>1797</v>
      </c>
      <c r="H25" s="7">
        <f>F25*(1+U25)</f>
        <v>2348.2349667347398</v>
      </c>
      <c r="I25" s="7">
        <f>H25*(1+$W$25)</f>
        <v>2463.4941268526982</v>
      </c>
      <c r="J25" s="7">
        <f>I25*(1+$W$25)</f>
        <v>2584.4105888076911</v>
      </c>
      <c r="K25" s="7">
        <f>J25*(1+$W$25)</f>
        <v>2711.2620317363926</v>
      </c>
      <c r="L25" s="7">
        <f>K25*(1+$W$25)</f>
        <v>2844.3397641884308</v>
      </c>
      <c r="N25" s="62">
        <f>B25/$B$29</f>
        <v>7.4670006744387701E-2</v>
      </c>
      <c r="O25" s="62">
        <f>C25/$C$29</f>
        <v>8.034522220102995E-2</v>
      </c>
      <c r="P25" s="62">
        <f>D25/$D$29</f>
        <v>9.1382083057421251E-2</v>
      </c>
      <c r="Q25" s="62">
        <f>E25/$E$29</f>
        <v>8.9413292920545576E-2</v>
      </c>
      <c r="R25" s="62">
        <f>F25/$F$29</f>
        <v>8.6506522890290274E-2</v>
      </c>
      <c r="T25" s="7" t="s">
        <v>174</v>
      </c>
      <c r="U25" s="62">
        <f>F127</f>
        <v>0.30675290302434066</v>
      </c>
      <c r="V25" s="7" t="s">
        <v>174</v>
      </c>
      <c r="W25" s="62">
        <f>G127</f>
        <v>4.9083316512498865E-2</v>
      </c>
      <c r="X25" s="112" t="s">
        <v>344</v>
      </c>
    </row>
    <row r="26" spans="1:24" s="2" customFormat="1" ht="20">
      <c r="A26" s="10" t="s">
        <v>139</v>
      </c>
      <c r="B26" s="9">
        <f>B23+B24+B25</f>
        <v>3384</v>
      </c>
      <c r="C26" s="9">
        <f>C23+C24+C25</f>
        <v>3544</v>
      </c>
      <c r="D26" s="9">
        <f>D23+D24+D25</f>
        <v>1597</v>
      </c>
      <c r="E26" s="9">
        <f>E23+E24+E25</f>
        <v>2254</v>
      </c>
      <c r="F26" s="9">
        <f>F23+F24+F25</f>
        <v>3486</v>
      </c>
      <c r="H26" s="9">
        <f>H23+H24+H25</f>
        <v>4555.3406199428509</v>
      </c>
      <c r="I26" s="9">
        <f>I23+I24+I25</f>
        <v>4778.9318454137483</v>
      </c>
      <c r="J26" s="9">
        <f>J23+J24+J25</f>
        <v>5013.4976697738521</v>
      </c>
      <c r="K26" s="9">
        <f>K23+K24+K25</f>
        <v>5259.5767627340374</v>
      </c>
      <c r="L26" s="9">
        <f>L23+L24+L25</f>
        <v>5517.7342337010959</v>
      </c>
      <c r="N26" s="62"/>
      <c r="O26" s="62"/>
      <c r="P26" s="62"/>
      <c r="Q26" s="62"/>
      <c r="R26" s="62"/>
      <c r="T26" s="7"/>
      <c r="U26" s="62"/>
      <c r="V26" s="7"/>
      <c r="W26" s="62"/>
      <c r="X26" s="112"/>
    </row>
    <row r="27" spans="1:24" s="2" customFormat="1">
      <c r="A27" s="6"/>
      <c r="B27" s="7"/>
      <c r="C27" s="7"/>
      <c r="D27" s="7"/>
      <c r="E27" s="7"/>
      <c r="F27" s="7"/>
      <c r="H27" s="7"/>
      <c r="I27" s="7"/>
      <c r="J27" s="7"/>
      <c r="K27" s="7"/>
      <c r="L27" s="7"/>
      <c r="N27" s="62"/>
      <c r="O27" s="62"/>
      <c r="P27" s="62"/>
      <c r="Q27" s="62"/>
      <c r="R27" s="62"/>
      <c r="T27" s="7"/>
      <c r="U27" s="62"/>
      <c r="V27" s="7"/>
      <c r="W27" s="62"/>
      <c r="X27" s="112"/>
    </row>
    <row r="28" spans="1:24" s="2" customFormat="1">
      <c r="A28" s="7" t="s">
        <v>140</v>
      </c>
      <c r="B28" s="7">
        <v>1085</v>
      </c>
      <c r="C28" s="7">
        <v>595</v>
      </c>
      <c r="D28" s="7">
        <v>1069</v>
      </c>
      <c r="E28" s="7">
        <v>1247</v>
      </c>
      <c r="F28" s="7">
        <v>1534</v>
      </c>
      <c r="H28" s="7">
        <f>F28*(1+U28)</f>
        <v>2004.5589532393385</v>
      </c>
      <c r="I28" s="7">
        <f>H28*(1+$W$28)</f>
        <v>2102.9493548091482</v>
      </c>
      <c r="J28" s="7">
        <f>I28*(1+$W$28)</f>
        <v>2206.1690836010007</v>
      </c>
      <c r="K28" s="7">
        <f>J28*(1+$W$28)</f>
        <v>2314.4551790114783</v>
      </c>
      <c r="L28" s="7">
        <f>K28*(1+$W$28)</f>
        <v>2428.0563151168908</v>
      </c>
      <c r="N28" s="62">
        <f>B28/$B$29</f>
        <v>5.2269004721071391E-2</v>
      </c>
      <c r="O28" s="62">
        <f>C28/$C$29</f>
        <v>2.8371161548731642E-2</v>
      </c>
      <c r="P28" s="62">
        <f>D28/$D$29</f>
        <v>0.1011257213130262</v>
      </c>
      <c r="Q28" s="62">
        <f>E28/$E$29</f>
        <v>8.9990618459984129E-2</v>
      </c>
      <c r="R28" s="62">
        <f>F28/$F$29</f>
        <v>7.3845857603620085E-2</v>
      </c>
      <c r="T28" s="7" t="s">
        <v>174</v>
      </c>
      <c r="U28" s="62">
        <f>F127</f>
        <v>0.30675290302434066</v>
      </c>
      <c r="V28" s="7" t="s">
        <v>174</v>
      </c>
      <c r="W28" s="62">
        <f>G127</f>
        <v>4.9083316512498865E-2</v>
      </c>
      <c r="X28" s="112" t="s">
        <v>344</v>
      </c>
    </row>
    <row r="29" spans="1:24" s="2" customFormat="1" ht="20">
      <c r="A29" s="16" t="s">
        <v>142</v>
      </c>
      <c r="B29" s="16">
        <f>B18+B28+B26</f>
        <v>20758</v>
      </c>
      <c r="C29" s="16">
        <f>C18+C28+C26</f>
        <v>20972</v>
      </c>
      <c r="D29" s="16">
        <f>D18+D28+D26</f>
        <v>10571</v>
      </c>
      <c r="E29" s="16">
        <f>E18+E28+E26</f>
        <v>13857</v>
      </c>
      <c r="F29" s="16">
        <f>F18+F28+F26</f>
        <v>20773</v>
      </c>
      <c r="H29" s="16">
        <f>H18+H28+H26</f>
        <v>25931.917434017902</v>
      </c>
      <c r="I29" s="16">
        <f>I18+I28+I26</f>
        <v>28023.790496636313</v>
      </c>
      <c r="J29" s="16">
        <f>J18+J28+J26</f>
        <v>30293.170603556064</v>
      </c>
      <c r="K29" s="16">
        <f>K18+K28+K26</f>
        <v>32755.607194016746</v>
      </c>
      <c r="L29" s="16">
        <f>L18+L28+L26</f>
        <v>35428.037558338328</v>
      </c>
      <c r="N29" s="64"/>
      <c r="O29" s="64"/>
      <c r="P29" s="64"/>
      <c r="Q29" s="64"/>
      <c r="R29" s="64"/>
      <c r="T29" s="32"/>
      <c r="U29" s="64"/>
      <c r="V29" s="32"/>
      <c r="W29" s="64"/>
      <c r="X29" s="113"/>
    </row>
    <row r="30" spans="1:24" s="2" customFormat="1" ht="20">
      <c r="A30" s="37"/>
      <c r="B30" s="37"/>
      <c r="C30" s="37"/>
      <c r="D30" s="37"/>
      <c r="E30" s="37"/>
      <c r="F30" s="37"/>
      <c r="H30" s="7"/>
      <c r="I30" s="7"/>
      <c r="J30" s="7"/>
      <c r="K30" s="7"/>
      <c r="L30" s="7"/>
      <c r="N30" s="63"/>
      <c r="O30" s="62"/>
      <c r="P30" s="63"/>
      <c r="Q30" s="63"/>
      <c r="R30" s="63"/>
      <c r="T30" s="7"/>
      <c r="U30" s="62"/>
      <c r="V30" s="7"/>
      <c r="W30" s="62"/>
      <c r="X30" s="112"/>
    </row>
    <row r="31" spans="1:24" s="2" customFormat="1">
      <c r="A31" s="15" t="s">
        <v>145</v>
      </c>
      <c r="B31" s="32"/>
      <c r="C31" s="32"/>
      <c r="D31" s="32"/>
      <c r="E31" s="32"/>
      <c r="F31" s="32"/>
      <c r="H31" s="32"/>
      <c r="I31" s="32"/>
      <c r="J31" s="32"/>
      <c r="K31" s="32"/>
      <c r="L31" s="32"/>
      <c r="N31" s="64"/>
      <c r="O31" s="64"/>
      <c r="P31" s="64"/>
      <c r="Q31" s="64"/>
      <c r="R31" s="64"/>
      <c r="T31" s="32"/>
      <c r="U31" s="64"/>
      <c r="V31" s="32"/>
      <c r="W31" s="64"/>
      <c r="X31" s="113"/>
    </row>
    <row r="32" spans="1:24" s="2" customFormat="1">
      <c r="A32" s="6" t="s">
        <v>7</v>
      </c>
      <c r="B32" s="7">
        <v>-1306</v>
      </c>
      <c r="C32" s="7">
        <v>-1316</v>
      </c>
      <c r="D32" s="7">
        <v>-677</v>
      </c>
      <c r="E32" s="7">
        <v>-734</v>
      </c>
      <c r="F32" s="7">
        <v>-1074</v>
      </c>
      <c r="H32" s="7">
        <f>U32*$H$29</f>
        <v>-1526.7692282451094</v>
      </c>
      <c r="I32" s="7">
        <f>W32*$I$29</f>
        <v>-1649.9304803787816</v>
      </c>
      <c r="J32" s="7">
        <f>W32*$J$29</f>
        <v>-1783.5426485978376</v>
      </c>
      <c r="K32" s="7">
        <f>W32*$K$29</f>
        <v>-1928.5212226807671</v>
      </c>
      <c r="L32" s="7">
        <f>W32*$L$29</f>
        <v>-2085.8634036149701</v>
      </c>
      <c r="N32" s="62">
        <f>B32/$B$29</f>
        <v>-6.2915502456884098E-2</v>
      </c>
      <c r="O32" s="62">
        <f>C32/$C$29</f>
        <v>-6.2750333778371165E-2</v>
      </c>
      <c r="P32" s="62">
        <f>D32/$D$29</f>
        <v>-6.4043136883927723E-2</v>
      </c>
      <c r="Q32" s="62">
        <f>E32/$E$29</f>
        <v>-5.2969618243487046E-2</v>
      </c>
      <c r="R32" s="62">
        <f>F32/$F$29</f>
        <v>-5.1701728204881336E-2</v>
      </c>
      <c r="T32" s="7" t="s">
        <v>211</v>
      </c>
      <c r="U32" s="62">
        <f>AVERAGE(R32,Q32,P32,O32,N32)</f>
        <v>-5.8876063913510281E-2</v>
      </c>
      <c r="V32" s="7" t="s">
        <v>168</v>
      </c>
      <c r="W32" s="62">
        <f>AVERAGE(N32,R32,Q32,P32,O32)</f>
        <v>-5.8876063913510281E-2</v>
      </c>
      <c r="X32" s="112" t="s">
        <v>342</v>
      </c>
    </row>
    <row r="33" spans="1:24" s="2" customFormat="1">
      <c r="A33" s="300" t="s">
        <v>41</v>
      </c>
      <c r="B33" s="7">
        <v>-226</v>
      </c>
      <c r="C33" s="7">
        <v>-341</v>
      </c>
      <c r="D33" s="7">
        <v>-346</v>
      </c>
      <c r="E33" s="7">
        <v>-220</v>
      </c>
      <c r="F33" s="7">
        <v>-193</v>
      </c>
      <c r="H33" s="301">
        <f>U33*H61</f>
        <v>-348.0257339720082</v>
      </c>
      <c r="I33" s="301">
        <f>$W$33*I61</f>
        <v>-348.46076461902652</v>
      </c>
      <c r="J33" s="301">
        <f>$W$33*J61</f>
        <v>-348.93271003191313</v>
      </c>
      <c r="K33" s="301">
        <f>$W$33*K61</f>
        <v>-349.44480390717382</v>
      </c>
      <c r="L33" s="301">
        <f>$W$33*L61</f>
        <v>-350.00056856195977</v>
      </c>
      <c r="N33" s="62">
        <f>B33/B61</f>
        <v>-0.11554192229038855</v>
      </c>
      <c r="O33" s="62">
        <f>C33/C61</f>
        <v>-0.17909663865546219</v>
      </c>
      <c r="P33" s="62">
        <f>D33/D61</f>
        <v>-0.2285336856010568</v>
      </c>
      <c r="Q33" s="62">
        <f>E33/E61</f>
        <v>-0.14637391882900866</v>
      </c>
      <c r="R33" s="62">
        <f>F33/F61</f>
        <v>-0.12176656151419558</v>
      </c>
      <c r="T33" s="301" t="s">
        <v>626</v>
      </c>
      <c r="U33" s="302">
        <v>-0.12</v>
      </c>
      <c r="V33" s="301" t="s">
        <v>626</v>
      </c>
      <c r="W33" s="302">
        <v>-0.12</v>
      </c>
      <c r="X33" s="303" t="s">
        <v>342</v>
      </c>
    </row>
    <row r="34" spans="1:24" s="2" customFormat="1">
      <c r="A34" s="6" t="s">
        <v>9</v>
      </c>
      <c r="B34" s="7">
        <v>-927</v>
      </c>
      <c r="C34" s="7">
        <v>-938</v>
      </c>
      <c r="D34" s="7">
        <v>-762</v>
      </c>
      <c r="E34" s="7">
        <v>-823</v>
      </c>
      <c r="F34" s="7">
        <v>-891</v>
      </c>
      <c r="H34" s="7">
        <f>U34*$H$29</f>
        <v>-1367.9209224789245</v>
      </c>
      <c r="I34" s="7">
        <f>W34*$I$29</f>
        <v>-1478.2682169590464</v>
      </c>
      <c r="J34" s="7">
        <f>W34*$J$29</f>
        <v>-1597.9790920692947</v>
      </c>
      <c r="K34" s="7">
        <f>W34*$K$29</f>
        <v>-1727.8737880916599</v>
      </c>
      <c r="L34" s="7">
        <f>W34*$L$29</f>
        <v>-1868.8457551097215</v>
      </c>
      <c r="N34" s="62">
        <f>B34/$B$29</f>
        <v>-4.4657481452933807E-2</v>
      </c>
      <c r="O34" s="62">
        <f>C34/$C$29</f>
        <v>-4.4726301735647532E-2</v>
      </c>
      <c r="P34" s="62">
        <f>D34/$D$29</f>
        <v>-7.2084003405543468E-2</v>
      </c>
      <c r="Q34" s="62">
        <f>E34/$E$29</f>
        <v>-5.9392364869740928E-2</v>
      </c>
      <c r="R34" s="62">
        <f>F34/$F$29</f>
        <v>-4.2892215857122225E-2</v>
      </c>
      <c r="T34" s="7" t="s">
        <v>168</v>
      </c>
      <c r="U34" s="62">
        <f>AVERAGE(R34,Q34,P34,O34,N34)</f>
        <v>-5.2750473464197603E-2</v>
      </c>
      <c r="V34" s="7" t="s">
        <v>168</v>
      </c>
      <c r="W34" s="62">
        <f>AVERAGE(N34,R34,Q34,P34,O34)</f>
        <v>-5.2750473464197589E-2</v>
      </c>
      <c r="X34" s="112" t="s">
        <v>342</v>
      </c>
    </row>
    <row r="35" spans="1:24" s="2" customFormat="1">
      <c r="A35" s="6" t="s">
        <v>8</v>
      </c>
      <c r="B35" s="7">
        <v>-155</v>
      </c>
      <c r="C35" s="7">
        <v>-138</v>
      </c>
      <c r="D35" s="7">
        <v>-267</v>
      </c>
      <c r="E35" s="7">
        <v>-8</v>
      </c>
      <c r="F35" s="7">
        <v>-12</v>
      </c>
      <c r="H35" s="7">
        <f>U35*$H$29</f>
        <v>-209.84098277987567</v>
      </c>
      <c r="I35" s="7">
        <f>W35*$I$29</f>
        <v>-226.76841209271007</v>
      </c>
      <c r="J35" s="7">
        <f>W35*$J$29</f>
        <v>-245.13222777077641</v>
      </c>
      <c r="K35" s="7">
        <f>W35*$K$29</f>
        <v>-265.05825582057861</v>
      </c>
      <c r="L35" s="7">
        <f>W35*$L$29</f>
        <v>-286.68355273458064</v>
      </c>
      <c r="N35" s="62">
        <f>B35/$B$29</f>
        <v>-7.467000674438771E-3</v>
      </c>
      <c r="O35" s="62">
        <f>C35/$C$29</f>
        <v>-6.580202174327675E-3</v>
      </c>
      <c r="P35" s="62">
        <f>D35/$D$29</f>
        <v>-2.5257780720840034E-2</v>
      </c>
      <c r="Q35" s="62">
        <f>E35/$E$29</f>
        <v>-5.7732553943855096E-4</v>
      </c>
      <c r="R35" s="62">
        <f>F35/$F$29</f>
        <v>-5.7767294083666302E-4</v>
      </c>
      <c r="T35" s="7" t="s">
        <v>168</v>
      </c>
      <c r="U35" s="62">
        <f>AVERAGE(R35,Q35,P35,O35,N35)</f>
        <v>-8.0919964099763382E-3</v>
      </c>
      <c r="V35" s="7" t="s">
        <v>168</v>
      </c>
      <c r="W35" s="62">
        <f>AVERAGE(N35,R35,Q35,P35,O35)</f>
        <v>-8.0919964099763382E-3</v>
      </c>
      <c r="X35" s="112" t="s">
        <v>342</v>
      </c>
    </row>
    <row r="36" spans="1:24" s="2" customFormat="1">
      <c r="A36" s="6" t="s">
        <v>372</v>
      </c>
      <c r="B36" s="7">
        <v>-15778</v>
      </c>
      <c r="C36" s="7">
        <v>-16439</v>
      </c>
      <c r="D36" s="7">
        <v>-8435</v>
      </c>
      <c r="E36" s="7">
        <v>-10322</v>
      </c>
      <c r="F36" s="7">
        <v>-15141</v>
      </c>
      <c r="H36" s="7">
        <f>U36*$H$29</f>
        <v>-19789.465758743634</v>
      </c>
      <c r="I36" s="7">
        <f>W36*$I$29</f>
        <v>-21385.840205394459</v>
      </c>
      <c r="J36" s="7">
        <f>W36*$J$29</f>
        <v>-23117.675887570007</v>
      </c>
      <c r="K36" s="7">
        <f>W36*$K$29</f>
        <v>-24996.839073785999</v>
      </c>
      <c r="L36" s="7">
        <f>W36*$L$29</f>
        <v>-27036.255145579908</v>
      </c>
      <c r="N36" s="62">
        <f>B36/$B$29</f>
        <v>-0.76009249445996729</v>
      </c>
      <c r="O36" s="62">
        <f>C36/$C$29</f>
        <v>-0.78385466336067133</v>
      </c>
      <c r="P36" s="62">
        <f>D36/$D$29</f>
        <v>-0.79793775423327973</v>
      </c>
      <c r="Q36" s="62">
        <f>E36/$E$29</f>
        <v>-0.74489427726059032</v>
      </c>
      <c r="R36" s="62">
        <f>F36/$F$29</f>
        <v>-0.72887883310065948</v>
      </c>
      <c r="T36" s="7" t="s">
        <v>168</v>
      </c>
      <c r="U36" s="62">
        <f>AVERAGE(R36,Q36,P36,O36,N36)</f>
        <v>-0.76313160448303363</v>
      </c>
      <c r="V36" s="7" t="s">
        <v>168</v>
      </c>
      <c r="W36" s="62">
        <f>AVERAGE(N36,R36,Q36,P36,O36)</f>
        <v>-0.76313160448303363</v>
      </c>
      <c r="X36" s="112" t="s">
        <v>342</v>
      </c>
    </row>
    <row r="37" spans="1:24" s="2" customFormat="1" ht="20">
      <c r="A37" s="36" t="s">
        <v>107</v>
      </c>
      <c r="B37" s="36">
        <f>SUM(B32:B36)</f>
        <v>-18392</v>
      </c>
      <c r="C37" s="36">
        <f>SUM(C32:C36)</f>
        <v>-19172</v>
      </c>
      <c r="D37" s="36">
        <f>SUM(D32:D36)</f>
        <v>-10487</v>
      </c>
      <c r="E37" s="36">
        <f>SUM(E32:E36)</f>
        <v>-12107</v>
      </c>
      <c r="F37" s="36">
        <f>SUM(F32:F36)</f>
        <v>-17311</v>
      </c>
      <c r="H37" s="36">
        <f>SUM(H32:H36)</f>
        <v>-23242.02262621955</v>
      </c>
      <c r="I37" s="36">
        <f>SUM(I32:I36)</f>
        <v>-25089.268079444024</v>
      </c>
      <c r="J37" s="36">
        <f>SUM(J32:J36)</f>
        <v>-27093.26256603983</v>
      </c>
      <c r="K37" s="36">
        <f>SUM(K32:K36)</f>
        <v>-29267.737144286177</v>
      </c>
      <c r="L37" s="36">
        <f>SUM(L32:L36)</f>
        <v>-31627.648425601139</v>
      </c>
      <c r="N37" s="64"/>
      <c r="O37" s="64"/>
      <c r="P37" s="64"/>
      <c r="Q37" s="64"/>
      <c r="R37" s="64"/>
      <c r="T37" s="32"/>
      <c r="U37" s="64"/>
      <c r="V37" s="32"/>
      <c r="W37" s="64"/>
      <c r="X37" s="113"/>
    </row>
    <row r="38" spans="1:24" s="2" customFormat="1">
      <c r="A38" s="7"/>
      <c r="B38" s="7"/>
      <c r="C38" s="7"/>
      <c r="D38" s="7"/>
      <c r="E38" s="7"/>
      <c r="F38" s="7"/>
      <c r="H38" s="7"/>
      <c r="I38" s="7"/>
      <c r="J38" s="7"/>
      <c r="K38" s="7"/>
      <c r="L38" s="7"/>
      <c r="N38" s="62"/>
      <c r="O38" s="62"/>
      <c r="P38" s="62"/>
      <c r="Q38" s="62"/>
      <c r="R38" s="62"/>
      <c r="T38" s="7"/>
      <c r="U38" s="62"/>
      <c r="V38" s="7"/>
      <c r="W38" s="62"/>
      <c r="X38" s="112"/>
    </row>
    <row r="39" spans="1:24" s="2" customFormat="1">
      <c r="A39" s="6" t="s">
        <v>12</v>
      </c>
      <c r="B39" s="7">
        <v>194</v>
      </c>
      <c r="C39" s="7">
        <v>154</v>
      </c>
      <c r="D39" s="7">
        <v>9</v>
      </c>
      <c r="E39" s="7">
        <v>10</v>
      </c>
      <c r="F39" s="7">
        <v>11</v>
      </c>
      <c r="H39" s="7">
        <f>U39*$H$29</f>
        <v>97.459898730053467</v>
      </c>
      <c r="I39" s="7">
        <f>W39*$I$29</f>
        <v>105.32178311857434</v>
      </c>
      <c r="J39" s="7">
        <f>W39*$J$29</f>
        <v>113.85079204987142</v>
      </c>
      <c r="K39" s="7">
        <f>W39*$K$29</f>
        <v>123.10536496551147</v>
      </c>
      <c r="L39" s="7">
        <f>W39*$L$29</f>
        <v>133.14915726635508</v>
      </c>
      <c r="N39" s="62">
        <f>B39/$B$29</f>
        <v>9.3457943925233638E-3</v>
      </c>
      <c r="O39" s="62">
        <f>C39/$C$29</f>
        <v>7.3431241655540717E-3</v>
      </c>
      <c r="P39" s="62">
        <f>D39/$D$29</f>
        <v>8.5138586699460791E-4</v>
      </c>
      <c r="Q39" s="62">
        <f>E39/$E$29</f>
        <v>7.2165692429818865E-4</v>
      </c>
      <c r="R39" s="62">
        <f>F39/$F$29</f>
        <v>5.2953352910027444E-4</v>
      </c>
      <c r="T39" s="7" t="s">
        <v>168</v>
      </c>
      <c r="U39" s="62">
        <f>AVERAGE(R39,Q39,P39,O39,N39)</f>
        <v>3.7582989756941008E-3</v>
      </c>
      <c r="V39" s="7" t="s">
        <v>168</v>
      </c>
      <c r="W39" s="62">
        <f>AVERAGE(N39,R39,Q39,P39,O39)</f>
        <v>3.7582989756941012E-3</v>
      </c>
      <c r="X39" s="112" t="s">
        <v>342</v>
      </c>
    </row>
    <row r="40" spans="1:24" s="2" customFormat="1">
      <c r="A40" s="6" t="s">
        <v>38</v>
      </c>
      <c r="B40" s="8">
        <v>0</v>
      </c>
      <c r="C40" s="8">
        <v>0</v>
      </c>
      <c r="D40" s="8">
        <v>0</v>
      </c>
      <c r="E40" s="8">
        <v>-164</v>
      </c>
      <c r="F40" s="8">
        <v>0</v>
      </c>
      <c r="H40" s="7">
        <f>U40*$H$29</f>
        <v>-61.381748707208423</v>
      </c>
      <c r="I40" s="7">
        <f>W40*$I$29</f>
        <v>-66.333284858892327</v>
      </c>
      <c r="J40" s="7">
        <f>W40*$J$29</f>
        <v>-71.704986346008425</v>
      </c>
      <c r="K40" s="7">
        <f>W40*$K$29</f>
        <v>-77.533659230984284</v>
      </c>
      <c r="L40" s="7">
        <f>W40*$L$29</f>
        <v>-83.859394667929351</v>
      </c>
      <c r="N40" s="62">
        <f>B40/$B$29</f>
        <v>0</v>
      </c>
      <c r="O40" s="62">
        <f>C40/$C$29</f>
        <v>0</v>
      </c>
      <c r="P40" s="62">
        <f>D40/$D$29</f>
        <v>0</v>
      </c>
      <c r="Q40" s="62">
        <f>E40/$E$29</f>
        <v>-1.1835173558490293E-2</v>
      </c>
      <c r="R40" s="62">
        <f>F40/$F$29</f>
        <v>0</v>
      </c>
      <c r="T40" s="7" t="s">
        <v>168</v>
      </c>
      <c r="U40" s="62">
        <f>AVERAGE(R40,Q40,P40,O40,N40)</f>
        <v>-2.3670347116980586E-3</v>
      </c>
      <c r="V40" s="7" t="s">
        <v>168</v>
      </c>
      <c r="W40" s="62">
        <f>AVERAGE(N40,R40,Q40,P40,O40)</f>
        <v>-2.3670347116980586E-3</v>
      </c>
      <c r="X40" s="112" t="s">
        <v>342</v>
      </c>
    </row>
    <row r="41" spans="1:24" s="2" customFormat="1">
      <c r="A41" s="300" t="s">
        <v>13</v>
      </c>
      <c r="B41" s="7">
        <v>-340</v>
      </c>
      <c r="C41" s="7">
        <v>-394</v>
      </c>
      <c r="D41" s="7">
        <v>-445</v>
      </c>
      <c r="E41" s="7">
        <v>-420</v>
      </c>
      <c r="F41" s="7">
        <v>-403</v>
      </c>
      <c r="H41" s="301">
        <f>U41*(H81+H89)</f>
        <v>-400.34753996324497</v>
      </c>
      <c r="I41" s="301">
        <f>$W$41*(I81+I89)</f>
        <v>-400.34753996324497</v>
      </c>
      <c r="J41" s="301">
        <f>$W$41*(J81+J89)</f>
        <v>-400.34753996324497</v>
      </c>
      <c r="K41" s="301">
        <f>$W$41*(K81+K89)</f>
        <v>-400.34753996324497</v>
      </c>
      <c r="L41" s="301">
        <f>$W$41*(L81+L89)</f>
        <v>-400.34753996324497</v>
      </c>
      <c r="N41" s="62">
        <f>B41/(B81+B89)</f>
        <v>-3.6375307585321495E-2</v>
      </c>
      <c r="O41" s="62">
        <f>C41/(C81+C89)</f>
        <v>-3.6014625228519198E-2</v>
      </c>
      <c r="P41" s="62">
        <f>D41/(D81+D89)</f>
        <v>-4.2887432536622978E-2</v>
      </c>
      <c r="Q41" s="62">
        <f>E41/(E81+E89)</f>
        <v>-4.1428289603472085E-2</v>
      </c>
      <c r="R41" s="62">
        <f>F41/(F81+F89)</f>
        <v>-4.0043720190779016E-2</v>
      </c>
      <c r="T41" s="301" t="s">
        <v>627</v>
      </c>
      <c r="U41" s="302">
        <f>AVERAGE(R41,Q41,P41,O41,N41)</f>
        <v>-3.9349875028942952E-2</v>
      </c>
      <c r="V41" s="301" t="s">
        <v>627</v>
      </c>
      <c r="W41" s="302">
        <f>AVERAGE(N41,R41,Q41,P41,O41)</f>
        <v>-3.9349875028942952E-2</v>
      </c>
      <c r="X41" s="303" t="s">
        <v>342</v>
      </c>
    </row>
    <row r="42" spans="1:24" s="2" customFormat="1">
      <c r="A42" s="300" t="s">
        <v>14</v>
      </c>
      <c r="B42" s="7">
        <v>22</v>
      </c>
      <c r="C42" s="7">
        <v>26</v>
      </c>
      <c r="D42" s="7">
        <v>27</v>
      </c>
      <c r="E42" s="7">
        <v>28</v>
      </c>
      <c r="F42" s="7">
        <v>26</v>
      </c>
      <c r="H42" s="301">
        <f ca="1">H50*$W$42</f>
        <v>31.866680802742327</v>
      </c>
      <c r="I42" s="301">
        <f ca="1">I50*$W$42</f>
        <v>76.43574770550552</v>
      </c>
      <c r="J42" s="301">
        <f ca="1">J50*$W$42</f>
        <v>126.98430437216932</v>
      </c>
      <c r="K42" s="301">
        <f ca="1">K50*$W$42</f>
        <v>184.07447174302408</v>
      </c>
      <c r="L42" s="301">
        <f ca="1">L50*$W$42</f>
        <v>248.31875886584641</v>
      </c>
      <c r="N42" s="62">
        <f>B42/B50</f>
        <v>6.9620253164556958E-2</v>
      </c>
      <c r="O42" s="62">
        <f>C42/C50</f>
        <v>0.11555555555555555</v>
      </c>
      <c r="P42" s="62">
        <f>D42/D50</f>
        <v>3.0786773090079819E-2</v>
      </c>
      <c r="Q42" s="62">
        <f>E42/E50</f>
        <v>2.0100502512562814E-2</v>
      </c>
      <c r="R42" s="62">
        <f>F42/F50</f>
        <v>5.128205128205128E-2</v>
      </c>
      <c r="T42" s="301" t="s">
        <v>628</v>
      </c>
      <c r="U42" s="302">
        <f>-U41</f>
        <v>3.9349875028942952E-2</v>
      </c>
      <c r="V42" s="301" t="s">
        <v>628</v>
      </c>
      <c r="W42" s="302">
        <f>-W41</f>
        <v>3.9349875028942952E-2</v>
      </c>
      <c r="X42" s="304" t="s">
        <v>343</v>
      </c>
    </row>
    <row r="43" spans="1:24" s="2" customFormat="1">
      <c r="A43" s="300" t="s">
        <v>371</v>
      </c>
      <c r="B43" s="7">
        <v>103</v>
      </c>
      <c r="C43" s="7">
        <v>13</v>
      </c>
      <c r="D43" s="7">
        <v>-141</v>
      </c>
      <c r="E43" s="7">
        <v>-24</v>
      </c>
      <c r="F43" s="7">
        <v>18</v>
      </c>
      <c r="H43" s="301">
        <f>$U$43*H70</f>
        <v>26.421491985905114</v>
      </c>
      <c r="I43" s="301">
        <f>$W$43*I70</f>
        <v>28.552857994613692</v>
      </c>
      <c r="J43" s="301">
        <f>$U$43*J70</f>
        <v>30.865082243380417</v>
      </c>
      <c r="K43" s="301">
        <f>$W$43*K70</f>
        <v>33.374007732835665</v>
      </c>
      <c r="L43" s="301">
        <f>$U$43*L70</f>
        <v>36.096891516245577</v>
      </c>
      <c r="N43" s="62">
        <f>B43/B70</f>
        <v>0.14071038251366119</v>
      </c>
      <c r="O43" s="62">
        <f>C43/C70</f>
        <v>2.2530329289428077E-2</v>
      </c>
      <c r="P43" s="62">
        <f>D43/D70</f>
        <v>-0.33412322274881517</v>
      </c>
      <c r="Q43" s="62">
        <f>E43/E70</f>
        <v>-6.2015503875968991E-2</v>
      </c>
      <c r="R43" s="62">
        <f>F43/F70</f>
        <v>5.3731343283582089E-2</v>
      </c>
      <c r="T43" s="301" t="s">
        <v>638</v>
      </c>
      <c r="U43" s="302">
        <f>AVERAGE(R43,Q43,O43,N43)</f>
        <v>3.8739137802675593E-2</v>
      </c>
      <c r="V43" s="301" t="s">
        <v>625</v>
      </c>
      <c r="W43" s="302">
        <f>AVERAGE(N43,R43,Q43,O43)</f>
        <v>3.8739137802675593E-2</v>
      </c>
      <c r="X43" s="303" t="s">
        <v>629</v>
      </c>
    </row>
    <row r="44" spans="1:24" s="2" customFormat="1" ht="20">
      <c r="A44" s="9" t="s">
        <v>110</v>
      </c>
      <c r="B44" s="9">
        <f>SUM(B39:B43)+B29+B37</f>
        <v>2345</v>
      </c>
      <c r="C44" s="9">
        <f>SUM(C39:C43)+C29+C37</f>
        <v>1599</v>
      </c>
      <c r="D44" s="9">
        <f>SUM(D39:D43)+D29+D37</f>
        <v>-466</v>
      </c>
      <c r="E44" s="9">
        <f>SUM(E39:E43)+E29+E37</f>
        <v>1180</v>
      </c>
      <c r="F44" s="9">
        <f>SUM(F39:F43)+F29+F37</f>
        <v>3114</v>
      </c>
      <c r="H44" s="9">
        <f ca="1">SUM(H39:H43)+H29+H37</f>
        <v>2383.9135906465999</v>
      </c>
      <c r="I44" s="9">
        <f ca="1">SUM(I39:I43)+I29+I37</f>
        <v>2678.1519811888465</v>
      </c>
      <c r="J44" s="9">
        <f ca="1">SUM(J39:J43)+J29+J37</f>
        <v>2999.5556898724026</v>
      </c>
      <c r="K44" s="9">
        <f ca="1">SUM(K39:K43)+K29+K37</f>
        <v>3350.5426949777102</v>
      </c>
      <c r="L44" s="9">
        <f ca="1">SUM(L39:L43)+L29+L37</f>
        <v>3733.7470057544633</v>
      </c>
      <c r="N44" s="62"/>
      <c r="O44" s="62"/>
      <c r="P44" s="62"/>
      <c r="Q44" s="62"/>
      <c r="R44" s="62"/>
      <c r="T44" s="7"/>
      <c r="U44" s="62"/>
      <c r="V44" s="7"/>
      <c r="W44" s="62"/>
      <c r="X44" s="112"/>
    </row>
    <row r="45" spans="1:24" s="2" customFormat="1">
      <c r="A45" s="6" t="s">
        <v>11</v>
      </c>
      <c r="B45" s="7">
        <v>-438</v>
      </c>
      <c r="C45" s="7">
        <v>-326</v>
      </c>
      <c r="D45" s="7">
        <v>199</v>
      </c>
      <c r="E45" s="7">
        <v>-81</v>
      </c>
      <c r="F45" s="7">
        <v>-756</v>
      </c>
      <c r="H45" s="7">
        <f ca="1">-H44*($W$45)</f>
        <v>-496.25134578626722</v>
      </c>
      <c r="I45" s="7">
        <f ca="1">-I44*($W$45)</f>
        <v>-557.50197075081155</v>
      </c>
      <c r="J45" s="7">
        <f ca="1">-J44*($W$45)</f>
        <v>-624.40750944177182</v>
      </c>
      <c r="K45" s="7">
        <f ca="1">-K44*($W$45)</f>
        <v>-697.47130433786003</v>
      </c>
      <c r="L45" s="7">
        <f ca="1">-L44*($W$45)</f>
        <v>-777.24166836455413</v>
      </c>
      <c r="N45" s="62"/>
      <c r="O45" s="62"/>
      <c r="P45" s="62"/>
      <c r="Q45" s="62"/>
      <c r="R45" s="62"/>
      <c r="T45" s="7" t="s">
        <v>210</v>
      </c>
      <c r="U45" s="62">
        <f>'Tax Rate'!G18/100</f>
        <v>0.20816666666666667</v>
      </c>
      <c r="V45" s="7" t="s">
        <v>205</v>
      </c>
      <c r="W45" s="62">
        <f>'Tax Rate'!G18/100</f>
        <v>0.20816666666666667</v>
      </c>
      <c r="X45" s="112" t="s">
        <v>344</v>
      </c>
    </row>
    <row r="46" spans="1:24" s="2" customFormat="1" ht="20">
      <c r="A46" s="16" t="s">
        <v>108</v>
      </c>
      <c r="B46" s="16">
        <f>SUM(B44:B45)</f>
        <v>1907</v>
      </c>
      <c r="C46" s="16">
        <f>SUM(C44:C45)</f>
        <v>1273</v>
      </c>
      <c r="D46" s="16">
        <f>SUM(D44:D45)</f>
        <v>-267</v>
      </c>
      <c r="E46" s="16">
        <f>SUM(E44:E45)</f>
        <v>1099</v>
      </c>
      <c r="F46" s="16">
        <f>SUM(F44:F45)</f>
        <v>2358</v>
      </c>
      <c r="H46" s="16">
        <f ca="1">SUM(H44:H45)</f>
        <v>1887.6622448603327</v>
      </c>
      <c r="I46" s="16">
        <f ca="1">SUM(I44:I45)</f>
        <v>2120.6500104380348</v>
      </c>
      <c r="J46" s="16">
        <f ca="1">SUM(J44:J45)</f>
        <v>2375.1481804306309</v>
      </c>
      <c r="K46" s="16">
        <f ca="1">SUM(K44:K45)</f>
        <v>2653.0713906398501</v>
      </c>
      <c r="L46" s="16">
        <f ca="1">SUM(L44:L45)</f>
        <v>2956.5053373899091</v>
      </c>
      <c r="N46" s="64"/>
      <c r="O46" s="64"/>
      <c r="P46" s="64"/>
      <c r="Q46" s="64"/>
      <c r="R46" s="64"/>
      <c r="T46" s="32"/>
      <c r="U46" s="64"/>
      <c r="V46" s="32"/>
      <c r="W46" s="64"/>
      <c r="X46" s="113"/>
    </row>
    <row r="48" spans="1:24" s="2" customFormat="1" ht="20">
      <c r="A48" s="717" t="s">
        <v>115</v>
      </c>
      <c r="B48" s="717"/>
      <c r="C48" s="717"/>
      <c r="D48" s="717"/>
      <c r="E48" s="717"/>
      <c r="F48" s="717"/>
      <c r="G48" s="234"/>
      <c r="H48" s="717" t="s">
        <v>207</v>
      </c>
      <c r="I48" s="717"/>
      <c r="J48" s="717"/>
      <c r="K48" s="717"/>
      <c r="L48" s="717"/>
      <c r="N48" s="717" t="s">
        <v>521</v>
      </c>
      <c r="O48" s="717"/>
      <c r="P48" s="717"/>
      <c r="Q48" s="717"/>
      <c r="R48" s="717"/>
      <c r="T48" s="675" t="s">
        <v>206</v>
      </c>
      <c r="U48" s="675"/>
      <c r="V48" s="675"/>
    </row>
    <row r="49" spans="1:22" s="1" customFormat="1" ht="18" thickBot="1">
      <c r="A49" s="15" t="s">
        <v>97</v>
      </c>
      <c r="B49" s="15"/>
      <c r="C49" s="61"/>
      <c r="D49" s="15"/>
      <c r="E49" s="61"/>
      <c r="F49" s="15"/>
      <c r="G49" s="61"/>
      <c r="H49" s="15"/>
      <c r="I49" s="61"/>
      <c r="J49" s="15"/>
      <c r="K49" s="15"/>
      <c r="L49" s="15"/>
      <c r="N49" s="15"/>
      <c r="O49" s="15"/>
      <c r="P49" s="15"/>
      <c r="Q49" s="15"/>
      <c r="R49" s="61"/>
      <c r="T49" s="32"/>
      <c r="U49" s="113"/>
      <c r="V49" s="149"/>
    </row>
    <row r="50" spans="1:22" s="2" customFormat="1" ht="18" thickBot="1">
      <c r="A50" s="173" t="s">
        <v>275</v>
      </c>
      <c r="B50" s="7">
        <v>316</v>
      </c>
      <c r="C50" s="7">
        <v>225</v>
      </c>
      <c r="D50" s="7">
        <v>877</v>
      </c>
      <c r="E50" s="7">
        <v>1393</v>
      </c>
      <c r="F50" s="7">
        <v>507</v>
      </c>
      <c r="H50" s="174">
        <f ca="1">IF(H110&lt;-H111,-H110,H111)</f>
        <v>809.82927593298518</v>
      </c>
      <c r="I50" s="174">
        <f ca="1">IF(I110&lt;-I111,-I110,I111)</f>
        <v>1942.4648146731051</v>
      </c>
      <c r="J50" s="174">
        <f ca="1">IF(J110&lt;-J111,-J110,J111)</f>
        <v>3227.0573738485509</v>
      </c>
      <c r="K50" s="174">
        <f ca="1">IF(K110&lt;-K111,-K110,K111)</f>
        <v>4677.8921561410825</v>
      </c>
      <c r="L50" s="174">
        <f ca="1">IF(L110&lt;-L111,-L110,L111)</f>
        <v>6310.5348792899822</v>
      </c>
      <c r="N50" s="62">
        <f>B50/B29</f>
        <v>1.5223046536275171E-2</v>
      </c>
      <c r="O50" s="62">
        <f>C50/C29</f>
        <v>1.072859050162121E-2</v>
      </c>
      <c r="P50" s="62">
        <f>D50/D29</f>
        <v>8.2962822817141235E-2</v>
      </c>
      <c r="Q50" s="62">
        <f>E50/E29</f>
        <v>0.10052680955473768</v>
      </c>
      <c r="R50" s="62">
        <f>F50/F29</f>
        <v>2.4406681750349012E-2</v>
      </c>
      <c r="T50" s="7" t="s">
        <v>336</v>
      </c>
      <c r="U50" s="114">
        <f>AVERAGE(N50,O50,R50)</f>
        <v>1.6786106262748464E-2</v>
      </c>
      <c r="V50" s="53" t="s">
        <v>341</v>
      </c>
    </row>
    <row r="51" spans="1:22" s="2" customFormat="1">
      <c r="A51" s="6" t="s">
        <v>76</v>
      </c>
      <c r="B51" s="7">
        <v>2133</v>
      </c>
      <c r="C51" s="7">
        <v>2395</v>
      </c>
      <c r="D51" s="7">
        <v>1768</v>
      </c>
      <c r="E51" s="7">
        <v>1982</v>
      </c>
      <c r="F51" s="7">
        <v>2571</v>
      </c>
      <c r="H51" s="7">
        <f>$U$51*H29</f>
        <v>2945.1905296537816</v>
      </c>
      <c r="I51" s="7">
        <f>$U$51*I29</f>
        <v>3182.772835279186</v>
      </c>
      <c r="J51" s="7">
        <f>$U$51*J29</f>
        <v>3440.5153186914181</v>
      </c>
      <c r="K51" s="7">
        <f>$U$51*K29</f>
        <v>3720.1839912664745</v>
      </c>
      <c r="L51" s="7">
        <f>$U$51*L29</f>
        <v>4023.7024881221705</v>
      </c>
      <c r="N51" s="62">
        <f>B51/B29</f>
        <v>0.10275556411985741</v>
      </c>
      <c r="O51" s="62">
        <f>C51/C29</f>
        <v>0.11419988556170131</v>
      </c>
      <c r="P51" s="62">
        <f>D51/D29</f>
        <v>0.16725002364960742</v>
      </c>
      <c r="Q51" s="62">
        <f>E51/E29</f>
        <v>0.14303240239590098</v>
      </c>
      <c r="R51" s="62">
        <f>F51/F29</f>
        <v>0.12376642757425504</v>
      </c>
      <c r="T51" s="7" t="s">
        <v>168</v>
      </c>
      <c r="U51" s="114">
        <f>AVERAGE(N51,O51,R51)</f>
        <v>0.11357395908527125</v>
      </c>
      <c r="V51" s="53" t="s">
        <v>341</v>
      </c>
    </row>
    <row r="52" spans="1:22" s="2" customFormat="1">
      <c r="A52" s="6" t="s">
        <v>77</v>
      </c>
      <c r="B52" s="7">
        <v>249</v>
      </c>
      <c r="C52" s="7">
        <v>252</v>
      </c>
      <c r="D52" s="7">
        <v>172</v>
      </c>
      <c r="E52" s="7">
        <v>251</v>
      </c>
      <c r="F52" s="7">
        <v>235</v>
      </c>
      <c r="H52" s="7">
        <f>$U$52*H29</f>
        <v>305.34105299125656</v>
      </c>
      <c r="I52" s="7">
        <f>$U$52*I29</f>
        <v>329.97227146128176</v>
      </c>
      <c r="J52" s="7">
        <f>$U$52*J29</f>
        <v>356.69358558112714</v>
      </c>
      <c r="K52" s="7">
        <f>$U$52*K29</f>
        <v>385.6880856356866</v>
      </c>
      <c r="L52" s="7">
        <f>$U$52*L29</f>
        <v>417.15520346698565</v>
      </c>
      <c r="N52" s="62">
        <f>B52/B29</f>
        <v>1.1995375277001638E-2</v>
      </c>
      <c r="O52" s="62">
        <f>C52/C29</f>
        <v>1.2016021361815754E-2</v>
      </c>
      <c r="P52" s="62">
        <f>D52/D29</f>
        <v>1.6270929902563618E-2</v>
      </c>
      <c r="Q52" s="62">
        <f>E52/E29</f>
        <v>1.8113588799884534E-2</v>
      </c>
      <c r="R52" s="62">
        <f>F52/F29</f>
        <v>1.1312761758051317E-2</v>
      </c>
      <c r="T52" s="7" t="s">
        <v>168</v>
      </c>
      <c r="U52" s="114">
        <f>AVERAGE(N52,O52,R52)</f>
        <v>1.1774719465622904E-2</v>
      </c>
      <c r="V52" s="53" t="s">
        <v>341</v>
      </c>
    </row>
    <row r="53" spans="1:22" s="2" customFormat="1">
      <c r="A53" s="6" t="s">
        <v>17</v>
      </c>
      <c r="B53" s="7">
        <v>8</v>
      </c>
      <c r="C53" s="7">
        <v>255</v>
      </c>
      <c r="D53" s="7">
        <v>8</v>
      </c>
      <c r="E53" s="8">
        <v>0</v>
      </c>
      <c r="F53" s="8">
        <v>0</v>
      </c>
      <c r="H53" s="7">
        <f>U53*$H$29</f>
        <v>0</v>
      </c>
      <c r="I53" s="7">
        <f>U53*$I$29</f>
        <v>0</v>
      </c>
      <c r="J53" s="8">
        <f>U53*J29</f>
        <v>0</v>
      </c>
      <c r="K53" s="8">
        <f>U53*K29</f>
        <v>0</v>
      </c>
      <c r="L53" s="8">
        <f>U53*L29</f>
        <v>0</v>
      </c>
      <c r="N53" s="62">
        <f>B53/B29</f>
        <v>3.8539358319683977E-4</v>
      </c>
      <c r="O53" s="62">
        <f>C53/C29</f>
        <v>1.2159069235170704E-2</v>
      </c>
      <c r="P53" s="62">
        <f>D53/D29</f>
        <v>7.5678743732854033E-4</v>
      </c>
      <c r="Q53" s="62">
        <f>E53/E29</f>
        <v>0</v>
      </c>
      <c r="R53" s="62">
        <f>F53/F29</f>
        <v>0</v>
      </c>
      <c r="T53" s="48" t="s">
        <v>216</v>
      </c>
      <c r="U53" s="114">
        <v>0</v>
      </c>
      <c r="V53" s="53" t="s">
        <v>344</v>
      </c>
    </row>
    <row r="54" spans="1:22" s="2" customFormat="1" ht="20">
      <c r="A54" s="9" t="s">
        <v>117</v>
      </c>
      <c r="B54" s="9">
        <f>SUM(B50:B53)</f>
        <v>2706</v>
      </c>
      <c r="C54" s="9">
        <f>SUM(C50:C53)</f>
        <v>3127</v>
      </c>
      <c r="D54" s="9">
        <f>SUM(D50:D53)</f>
        <v>2825</v>
      </c>
      <c r="E54" s="9">
        <f>SUM(E50:E53)</f>
        <v>3626</v>
      </c>
      <c r="F54" s="9">
        <f>SUM(F50:F53)</f>
        <v>3313</v>
      </c>
      <c r="H54" s="9">
        <f ca="1">SUM(H50:H53)</f>
        <v>4060.3608585780235</v>
      </c>
      <c r="I54" s="9">
        <f ca="1">SUM(I50:I53)</f>
        <v>5455.2099214135724</v>
      </c>
      <c r="J54" s="9">
        <f ca="1">SUM(J50:J53)</f>
        <v>7024.2662781210956</v>
      </c>
      <c r="K54" s="9">
        <f ca="1">SUM(K50:K53)</f>
        <v>8783.7642330432445</v>
      </c>
      <c r="L54" s="9">
        <f ca="1">SUM(L50:L53)</f>
        <v>10751.392570879138</v>
      </c>
      <c r="N54" s="62"/>
      <c r="O54" s="62"/>
      <c r="P54" s="62"/>
      <c r="Q54" s="62"/>
      <c r="R54" s="62"/>
      <c r="T54" s="10"/>
      <c r="U54" s="114"/>
      <c r="V54" s="53"/>
    </row>
    <row r="55" spans="1:22" s="2" customFormat="1" ht="20">
      <c r="A55" s="7"/>
      <c r="B55" s="9"/>
      <c r="C55" s="9"/>
      <c r="D55" s="9"/>
      <c r="E55" s="9"/>
      <c r="F55" s="9"/>
      <c r="H55" s="9"/>
      <c r="I55" s="9"/>
      <c r="J55" s="9"/>
      <c r="K55" s="9"/>
      <c r="L55" s="9"/>
      <c r="N55" s="62"/>
      <c r="O55" s="62"/>
      <c r="P55" s="62"/>
      <c r="Q55" s="62"/>
      <c r="R55" s="62"/>
      <c r="T55" s="10"/>
      <c r="U55" s="114"/>
      <c r="V55" s="53"/>
    </row>
    <row r="56" spans="1:22" s="2" customFormat="1">
      <c r="A56" s="300" t="s">
        <v>155</v>
      </c>
      <c r="B56" s="7">
        <v>591</v>
      </c>
      <c r="C56" s="7">
        <v>684</v>
      </c>
      <c r="D56" s="7">
        <v>688</v>
      </c>
      <c r="E56" s="7">
        <v>686</v>
      </c>
      <c r="F56" s="7">
        <v>688</v>
      </c>
      <c r="H56" s="301">
        <f>F56+U56</f>
        <v>988</v>
      </c>
      <c r="I56" s="301">
        <f>H56</f>
        <v>988</v>
      </c>
      <c r="J56" s="301">
        <f>I56</f>
        <v>988</v>
      </c>
      <c r="K56" s="301">
        <f>J56</f>
        <v>988</v>
      </c>
      <c r="L56" s="301">
        <f>K56</f>
        <v>988</v>
      </c>
      <c r="N56" s="62"/>
      <c r="O56" s="62"/>
      <c r="P56" s="62"/>
      <c r="Q56" s="62"/>
      <c r="R56" s="62"/>
      <c r="T56" s="305" t="s">
        <v>630</v>
      </c>
      <c r="U56" s="307">
        <v>300</v>
      </c>
      <c r="V56" s="306" t="s">
        <v>633</v>
      </c>
    </row>
    <row r="57" spans="1:22" s="2" customFormat="1">
      <c r="A57" s="300" t="s">
        <v>156</v>
      </c>
      <c r="B57" s="7">
        <v>1275</v>
      </c>
      <c r="C57" s="7">
        <v>1100</v>
      </c>
      <c r="D57" s="7">
        <v>1045</v>
      </c>
      <c r="E57" s="7">
        <v>985</v>
      </c>
      <c r="F57" s="7">
        <v>1086</v>
      </c>
      <c r="H57" s="301">
        <f>H56*$U$57</f>
        <v>1639.8411647991124</v>
      </c>
      <c r="I57" s="301">
        <f>I56*$U$57</f>
        <v>1639.8411647991124</v>
      </c>
      <c r="J57" s="301">
        <f>J56*$U$57</f>
        <v>1639.8411647991124</v>
      </c>
      <c r="K57" s="301">
        <f>K56*$U$57</f>
        <v>1639.8411647991124</v>
      </c>
      <c r="L57" s="301">
        <f>L56*$U$57</f>
        <v>1639.8411647991124</v>
      </c>
      <c r="N57" s="62">
        <f>B57/B56</f>
        <v>2.1573604060913705</v>
      </c>
      <c r="O57" s="62">
        <f t="shared" ref="O57:R58" si="0">C57/C56</f>
        <v>1.6081871345029239</v>
      </c>
      <c r="P57" s="62">
        <f t="shared" si="0"/>
        <v>1.5188953488372092</v>
      </c>
      <c r="Q57" s="62">
        <f t="shared" si="0"/>
        <v>1.435860058309038</v>
      </c>
      <c r="R57" s="62">
        <f t="shared" si="0"/>
        <v>1.5784883720930232</v>
      </c>
      <c r="T57" s="305" t="s">
        <v>631</v>
      </c>
      <c r="U57" s="303">
        <f>AVERAGE(N57:R57)</f>
        <v>1.659758263966713</v>
      </c>
      <c r="V57" s="306" t="s">
        <v>632</v>
      </c>
    </row>
    <row r="58" spans="1:22" s="2" customFormat="1">
      <c r="A58" s="300" t="s">
        <v>157</v>
      </c>
      <c r="B58" s="7">
        <v>1439</v>
      </c>
      <c r="C58" s="7">
        <v>1225</v>
      </c>
      <c r="D58" s="7">
        <v>640</v>
      </c>
      <c r="E58" s="7">
        <v>545</v>
      </c>
      <c r="F58" s="7">
        <v>649</v>
      </c>
      <c r="H58" s="301">
        <f>H57*$U$58</f>
        <v>1838.478252774021</v>
      </c>
      <c r="I58" s="301">
        <f>I57*$U$58</f>
        <v>1838.478252774021</v>
      </c>
      <c r="J58" s="301">
        <f>J57*$U$58</f>
        <v>1838.478252774021</v>
      </c>
      <c r="K58" s="301">
        <f>K57*$U$58</f>
        <v>1838.478252774021</v>
      </c>
      <c r="L58" s="301">
        <f>L57*$U$58</f>
        <v>1838.478252774021</v>
      </c>
      <c r="N58" s="62">
        <f>B58/B57</f>
        <v>1.1286274509803922</v>
      </c>
      <c r="O58" s="62">
        <f t="shared" si="0"/>
        <v>1.1136363636363635</v>
      </c>
      <c r="P58" s="62">
        <f t="shared" si="0"/>
        <v>0.61244019138755978</v>
      </c>
      <c r="Q58" s="62">
        <f t="shared" si="0"/>
        <v>0.5532994923857868</v>
      </c>
      <c r="R58" s="62">
        <f t="shared" si="0"/>
        <v>0.59760589318600366</v>
      </c>
      <c r="T58" s="305" t="s">
        <v>634</v>
      </c>
      <c r="U58" s="308">
        <f>AVERAGE(N58:O58)</f>
        <v>1.1211319073083779</v>
      </c>
      <c r="V58" s="306" t="s">
        <v>635</v>
      </c>
    </row>
    <row r="59" spans="1:22" s="2" customFormat="1">
      <c r="A59" s="6" t="s">
        <v>158</v>
      </c>
      <c r="B59" s="7">
        <v>168</v>
      </c>
      <c r="C59" s="7">
        <v>196</v>
      </c>
      <c r="D59" s="7">
        <v>29</v>
      </c>
      <c r="E59" s="7">
        <v>137</v>
      </c>
      <c r="F59" s="7">
        <v>36</v>
      </c>
      <c r="H59" s="7">
        <f>$U$59*H29</f>
        <v>44.940501016927961</v>
      </c>
      <c r="I59" s="7">
        <f>$U$59*I29</f>
        <v>48.565756408747284</v>
      </c>
      <c r="J59" s="7">
        <f>$U$59*J29</f>
        <v>52.498634849468942</v>
      </c>
      <c r="K59" s="7">
        <f>$U$59*K29</f>
        <v>56.766083809974624</v>
      </c>
      <c r="L59" s="7">
        <f>$U$59*L29</f>
        <v>61.397455933191154</v>
      </c>
      <c r="N59" s="62">
        <f>B59/B29</f>
        <v>8.0932652471336353E-3</v>
      </c>
      <c r="O59" s="62">
        <f>C59/C29</f>
        <v>9.3457943925233638E-3</v>
      </c>
      <c r="P59" s="62">
        <f>D59/D29</f>
        <v>2.7433544603159589E-3</v>
      </c>
      <c r="Q59" s="62">
        <f>E59/E29</f>
        <v>9.886699862885184E-3</v>
      </c>
      <c r="R59" s="62">
        <f>F59/F29</f>
        <v>1.733018822509989E-3</v>
      </c>
      <c r="T59" s="48" t="s">
        <v>215</v>
      </c>
      <c r="U59" s="114">
        <f>R59</f>
        <v>1.733018822509989E-3</v>
      </c>
      <c r="V59" s="53" t="s">
        <v>340</v>
      </c>
    </row>
    <row r="60" spans="1:22" s="2" customFormat="1">
      <c r="A60" s="300" t="s">
        <v>159</v>
      </c>
      <c r="B60" s="7">
        <v>-1517</v>
      </c>
      <c r="C60" s="7">
        <v>-1301</v>
      </c>
      <c r="D60" s="7">
        <v>-888</v>
      </c>
      <c r="E60" s="8">
        <v>-850</v>
      </c>
      <c r="F60" s="8">
        <v>-874</v>
      </c>
      <c r="H60" s="301">
        <f>$U$60*SUM(H56:H58)</f>
        <v>-1611.0454688233258</v>
      </c>
      <c r="I60" s="301">
        <f>$U$60*SUM(I56:I58)</f>
        <v>-1611.0454688233258</v>
      </c>
      <c r="J60" s="301">
        <f>$U$60*SUM(J56:J58)</f>
        <v>-1611.0454688233258</v>
      </c>
      <c r="K60" s="301">
        <f>$U$60*SUM(K56:K58)</f>
        <v>-1611.0454688233258</v>
      </c>
      <c r="L60" s="301">
        <f>$U$60*SUM(L56:L58)</f>
        <v>-1611.0454688233258</v>
      </c>
      <c r="N60" s="62">
        <f>B60/SUM(B56:B58)</f>
        <v>-0.45900151285930407</v>
      </c>
      <c r="O60" s="62">
        <f>C60/SUM(C56:C58)</f>
        <v>-0.43236955799268861</v>
      </c>
      <c r="P60" s="62">
        <f>D60/SUM(D56:D58)</f>
        <v>-0.37420986093552466</v>
      </c>
      <c r="Q60" s="62">
        <f>E60/SUM(E56:E58)</f>
        <v>-0.38357400722021662</v>
      </c>
      <c r="R60" s="62">
        <f>F60/SUM(F56:F58)</f>
        <v>-0.36070986380520015</v>
      </c>
      <c r="T60" s="305" t="s">
        <v>636</v>
      </c>
      <c r="U60" s="308">
        <f>R60</f>
        <v>-0.36070986380520015</v>
      </c>
      <c r="V60" s="306" t="s">
        <v>340</v>
      </c>
    </row>
    <row r="61" spans="1:22" s="2" customFormat="1" ht="20">
      <c r="A61" s="10" t="s">
        <v>220</v>
      </c>
      <c r="B61" s="9">
        <f>SUM(B56:B60)</f>
        <v>1956</v>
      </c>
      <c r="C61" s="9">
        <f>SUM(C56:C60)</f>
        <v>1904</v>
      </c>
      <c r="D61" s="9">
        <f>SUM(D56:D60)</f>
        <v>1514</v>
      </c>
      <c r="E61" s="9">
        <f>SUM(E56:E60)</f>
        <v>1503</v>
      </c>
      <c r="F61" s="9">
        <f>SUM(F56:F60)</f>
        <v>1585</v>
      </c>
      <c r="H61" s="9">
        <f>SUM(H56:H60)</f>
        <v>2900.214449766735</v>
      </c>
      <c r="I61" s="9">
        <f>SUM(I56:I60)</f>
        <v>2903.8397051585544</v>
      </c>
      <c r="J61" s="9">
        <f>SUM(J56:J60)</f>
        <v>2907.772583599276</v>
      </c>
      <c r="K61" s="9">
        <f>SUM(K56:K60)</f>
        <v>2912.040032559782</v>
      </c>
      <c r="L61" s="9">
        <f>SUM(L56:L60)</f>
        <v>2916.6714046829984</v>
      </c>
      <c r="N61" s="62"/>
      <c r="O61" s="62"/>
      <c r="P61" s="62"/>
      <c r="Q61" s="62"/>
      <c r="R61" s="62"/>
      <c r="T61" s="10"/>
      <c r="U61" s="114"/>
      <c r="V61" s="53"/>
    </row>
    <row r="62" spans="1:22" s="27" customFormat="1">
      <c r="A62" s="26"/>
      <c r="B62" s="26"/>
      <c r="C62" s="26"/>
      <c r="D62" s="26"/>
      <c r="E62" s="26"/>
      <c r="F62" s="26"/>
      <c r="H62" s="26"/>
      <c r="I62" s="26"/>
      <c r="J62" s="26"/>
      <c r="K62" s="26"/>
      <c r="L62" s="26"/>
      <c r="N62" s="62"/>
      <c r="O62" s="62"/>
      <c r="P62" s="62"/>
      <c r="Q62" s="62"/>
      <c r="R62" s="62"/>
      <c r="T62" s="56"/>
      <c r="U62" s="114"/>
      <c r="V62" s="53"/>
    </row>
    <row r="63" spans="1:22" s="27" customFormat="1">
      <c r="A63" s="6" t="s">
        <v>161</v>
      </c>
      <c r="B63" s="26">
        <v>1347</v>
      </c>
      <c r="C63" s="26">
        <v>1588</v>
      </c>
      <c r="D63" s="26">
        <v>1674</v>
      </c>
      <c r="E63" s="26">
        <v>1875</v>
      </c>
      <c r="F63" s="26">
        <v>1995</v>
      </c>
      <c r="H63" s="7">
        <f>$U$63*H29</f>
        <v>2045.5855292938606</v>
      </c>
      <c r="I63" s="7">
        <f>$U$63*I29</f>
        <v>2210.5985977219766</v>
      </c>
      <c r="J63" s="7">
        <f>$U$63*J29</f>
        <v>2389.6139412265288</v>
      </c>
      <c r="K63" s="7">
        <f>$U$63*K29</f>
        <v>2583.8581450755778</v>
      </c>
      <c r="L63" s="7">
        <f>$U$63*L29</f>
        <v>2794.6672722915418</v>
      </c>
      <c r="N63" s="147">
        <f>B63/B29</f>
        <v>6.4890644570767902E-2</v>
      </c>
      <c r="O63" s="147">
        <f>C63/C29</f>
        <v>7.5720007629219918E-2</v>
      </c>
      <c r="P63" s="147">
        <f>D63/D29</f>
        <v>0.15835777126099707</v>
      </c>
      <c r="Q63" s="147">
        <f>E63/E29</f>
        <v>0.13531067330591037</v>
      </c>
      <c r="R63" s="147">
        <f>F63/F29</f>
        <v>9.6038126414095218E-2</v>
      </c>
      <c r="T63" s="48" t="s">
        <v>168</v>
      </c>
      <c r="U63" s="114">
        <f>AVERAGE(N63,O63,R63)</f>
        <v>7.8882926204694337E-2</v>
      </c>
      <c r="V63" s="53" t="s">
        <v>341</v>
      </c>
    </row>
    <row r="64" spans="1:22" s="27" customFormat="1">
      <c r="A64" s="6" t="s">
        <v>162</v>
      </c>
      <c r="B64" s="26">
        <v>1983</v>
      </c>
      <c r="C64" s="26">
        <v>1972</v>
      </c>
      <c r="D64" s="26">
        <v>2257</v>
      </c>
      <c r="E64" s="26">
        <v>2187</v>
      </c>
      <c r="F64" s="26">
        <v>2173</v>
      </c>
      <c r="H64" s="7">
        <f>$U$64*H29</f>
        <v>2542.7672298475059</v>
      </c>
      <c r="I64" s="7">
        <f>$U$64*I29</f>
        <v>2747.8868969974983</v>
      </c>
      <c r="J64" s="7">
        <f>$U$64*J29</f>
        <v>2970.412106813782</v>
      </c>
      <c r="K64" s="7">
        <f>$U$64*K29</f>
        <v>3211.8675673956145</v>
      </c>
      <c r="L64" s="7">
        <f>$U$64*L29</f>
        <v>3473.9140732792125</v>
      </c>
      <c r="N64" s="147">
        <f>B64/B29</f>
        <v>9.5529434434916655E-2</v>
      </c>
      <c r="O64" s="147">
        <f>C64/C29</f>
        <v>9.4030135418653446E-2</v>
      </c>
      <c r="P64" s="147">
        <f>D64/D29</f>
        <v>0.21350865575631445</v>
      </c>
      <c r="Q64" s="147">
        <f>E64/E29</f>
        <v>0.15782636934401387</v>
      </c>
      <c r="R64" s="147">
        <f>F64/F29</f>
        <v>0.10460694170317239</v>
      </c>
      <c r="T64" s="48" t="s">
        <v>168</v>
      </c>
      <c r="U64" s="114">
        <f>AVERAGE(N64,O64,R64)</f>
        <v>9.8055503852247483E-2</v>
      </c>
      <c r="V64" s="53" t="s">
        <v>341</v>
      </c>
    </row>
    <row r="65" spans="1:22" s="2" customFormat="1">
      <c r="A65" s="6" t="s">
        <v>163</v>
      </c>
      <c r="B65" s="7">
        <v>-674</v>
      </c>
      <c r="C65" s="7">
        <v>-808</v>
      </c>
      <c r="D65" s="7">
        <v>-937</v>
      </c>
      <c r="E65" s="7">
        <v>-1052</v>
      </c>
      <c r="F65" s="7">
        <v>-1172</v>
      </c>
      <c r="H65" s="7">
        <f>H66*$U$65</f>
        <v>-911.9535486387914</v>
      </c>
      <c r="I65" s="7">
        <f>I66*$U$65</f>
        <v>-911.9535486387914</v>
      </c>
      <c r="J65" s="7">
        <f>J66*$U$65</f>
        <v>-911.9535486387914</v>
      </c>
      <c r="K65" s="7">
        <f>K66*$U$65</f>
        <v>-911.9535486387914</v>
      </c>
      <c r="L65" s="7">
        <f>L66*$U$65</f>
        <v>-911.9535486387914</v>
      </c>
      <c r="N65" s="62">
        <f>B65/B66</f>
        <v>-0.11774982529699511</v>
      </c>
      <c r="O65" s="62">
        <f>C65/C66</f>
        <v>-0.13720495839701138</v>
      </c>
      <c r="P65" s="62">
        <f>D65/D66</f>
        <v>-0.15629691409507923</v>
      </c>
      <c r="Q65" s="62">
        <f>E65/E66</f>
        <v>-0.17782285327924274</v>
      </c>
      <c r="R65" s="62">
        <f>F65/F66</f>
        <v>-0.20379064510519909</v>
      </c>
      <c r="T65" s="48" t="s">
        <v>637</v>
      </c>
      <c r="U65" s="114">
        <f>AVERAGE(N65:R65)</f>
        <v>-0.1585730392347055</v>
      </c>
      <c r="V65" s="53" t="s">
        <v>632</v>
      </c>
    </row>
    <row r="66" spans="1:22" s="2" customFormat="1">
      <c r="A66" s="300" t="s">
        <v>164</v>
      </c>
      <c r="B66" s="7">
        <v>5724</v>
      </c>
      <c r="C66" s="7">
        <v>5889</v>
      </c>
      <c r="D66" s="7">
        <v>5995</v>
      </c>
      <c r="E66" s="7">
        <v>5916</v>
      </c>
      <c r="F66" s="7">
        <v>5751</v>
      </c>
      <c r="H66" s="301">
        <f>F66</f>
        <v>5751</v>
      </c>
      <c r="I66" s="301">
        <f t="shared" ref="I66:L67" si="1">H66</f>
        <v>5751</v>
      </c>
      <c r="J66" s="301">
        <f t="shared" si="1"/>
        <v>5751</v>
      </c>
      <c r="K66" s="301">
        <f t="shared" si="1"/>
        <v>5751</v>
      </c>
      <c r="L66" s="301">
        <f t="shared" si="1"/>
        <v>5751</v>
      </c>
      <c r="N66" s="62"/>
      <c r="O66" s="62"/>
      <c r="P66" s="62"/>
      <c r="Q66" s="62"/>
      <c r="R66" s="62"/>
      <c r="T66" s="305" t="s">
        <v>215</v>
      </c>
      <c r="U66" s="308"/>
      <c r="V66" s="306" t="s">
        <v>215</v>
      </c>
    </row>
    <row r="67" spans="1:22" s="2" customFormat="1">
      <c r="A67" s="300" t="s">
        <v>20</v>
      </c>
      <c r="B67" s="7">
        <v>9039</v>
      </c>
      <c r="C67" s="7">
        <v>9048</v>
      </c>
      <c r="D67" s="7">
        <v>9175</v>
      </c>
      <c r="E67" s="7">
        <v>9073</v>
      </c>
      <c r="F67" s="7">
        <v>8872</v>
      </c>
      <c r="H67" s="301">
        <f>F67</f>
        <v>8872</v>
      </c>
      <c r="I67" s="301">
        <f t="shared" si="1"/>
        <v>8872</v>
      </c>
      <c r="J67" s="301">
        <f t="shared" si="1"/>
        <v>8872</v>
      </c>
      <c r="K67" s="301">
        <f t="shared" si="1"/>
        <v>8872</v>
      </c>
      <c r="L67" s="301">
        <f t="shared" si="1"/>
        <v>8872</v>
      </c>
      <c r="N67" s="62"/>
      <c r="O67" s="62"/>
      <c r="P67" s="62"/>
      <c r="Q67" s="62"/>
      <c r="R67" s="62"/>
      <c r="T67" s="305" t="s">
        <v>215</v>
      </c>
      <c r="U67" s="308"/>
      <c r="V67" s="306" t="s">
        <v>215</v>
      </c>
    </row>
    <row r="68" spans="1:22" s="2" customFormat="1" ht="20">
      <c r="A68" s="10" t="s">
        <v>118</v>
      </c>
      <c r="B68" s="9">
        <f>SUM(B63:B67)</f>
        <v>17419</v>
      </c>
      <c r="C68" s="9">
        <f>SUM(C63:C67)</f>
        <v>17689</v>
      </c>
      <c r="D68" s="9">
        <f>SUM(D63:D67)</f>
        <v>18164</v>
      </c>
      <c r="E68" s="9">
        <f>SUM(E63:E67)</f>
        <v>17999</v>
      </c>
      <c r="F68" s="9">
        <f>SUM(F63:F67)</f>
        <v>17619</v>
      </c>
      <c r="H68" s="9">
        <f>SUM(H63:H67)</f>
        <v>18299.399210502575</v>
      </c>
      <c r="I68" s="9">
        <f>SUM(I63:I67)</f>
        <v>18669.531946080682</v>
      </c>
      <c r="J68" s="9">
        <f>SUM(J63:J67)</f>
        <v>19071.072499401518</v>
      </c>
      <c r="K68" s="9">
        <f>SUM(K63:K67)</f>
        <v>19506.7721638324</v>
      </c>
      <c r="L68" s="9">
        <f>SUM(L63:L67)</f>
        <v>19979.627796931964</v>
      </c>
      <c r="N68" s="62"/>
      <c r="O68" s="62"/>
      <c r="P68" s="62"/>
      <c r="Q68" s="62"/>
      <c r="R68" s="62"/>
      <c r="T68" s="10"/>
      <c r="U68" s="114"/>
      <c r="V68" s="53"/>
    </row>
    <row r="69" spans="1:22" s="2" customFormat="1">
      <c r="A69" s="6"/>
      <c r="B69" s="7"/>
      <c r="C69" s="7"/>
      <c r="D69" s="7"/>
      <c r="E69" s="7"/>
      <c r="F69" s="7"/>
      <c r="H69" s="7"/>
      <c r="I69" s="7"/>
      <c r="J69" s="7"/>
      <c r="K69" s="7"/>
      <c r="L69" s="7"/>
      <c r="N69" s="62"/>
      <c r="O69" s="62"/>
      <c r="P69" s="62"/>
      <c r="Q69" s="62"/>
      <c r="R69" s="62"/>
      <c r="T69" s="48"/>
      <c r="U69" s="114"/>
      <c r="V69" s="53"/>
    </row>
    <row r="70" spans="1:22" s="2" customFormat="1">
      <c r="A70" s="6" t="s">
        <v>79</v>
      </c>
      <c r="B70" s="7">
        <v>732</v>
      </c>
      <c r="C70" s="7">
        <v>577</v>
      </c>
      <c r="D70" s="7">
        <v>422</v>
      </c>
      <c r="E70" s="7">
        <v>387</v>
      </c>
      <c r="F70" s="7">
        <v>335</v>
      </c>
      <c r="H70" s="7">
        <f>$U$70*H29</f>
        <v>682.0361392782537</v>
      </c>
      <c r="I70" s="7">
        <f>$U$70*I29</f>
        <v>737.05455552605599</v>
      </c>
      <c r="J70" s="7">
        <f>$U$70*J29</f>
        <v>796.74158987732199</v>
      </c>
      <c r="K70" s="7">
        <f>$U$70*K29</f>
        <v>861.50620860050799</v>
      </c>
      <c r="L70" s="7">
        <f>$U$70*L29</f>
        <v>931.79387987701875</v>
      </c>
      <c r="N70" s="62">
        <f>B70/B29</f>
        <v>3.5263512862510837E-2</v>
      </c>
      <c r="O70" s="62">
        <f>C70/C29</f>
        <v>2.7512874308601946E-2</v>
      </c>
      <c r="P70" s="62">
        <f>D70/D29</f>
        <v>3.9920537319080504E-2</v>
      </c>
      <c r="Q70" s="62">
        <f>E70/E29</f>
        <v>2.7928122970339902E-2</v>
      </c>
      <c r="R70" s="62">
        <f>F70/F29</f>
        <v>1.6126702931690176E-2</v>
      </c>
      <c r="T70" s="48" t="s">
        <v>168</v>
      </c>
      <c r="U70" s="114">
        <f>AVERAGE(N70,O70,R70)</f>
        <v>2.6301030034267651E-2</v>
      </c>
      <c r="V70" s="53" t="s">
        <v>341</v>
      </c>
    </row>
    <row r="71" spans="1:22" s="2" customFormat="1">
      <c r="A71" s="6" t="s">
        <v>21</v>
      </c>
      <c r="B71" s="7">
        <v>125</v>
      </c>
      <c r="C71" s="7">
        <v>117</v>
      </c>
      <c r="D71" s="7">
        <v>159</v>
      </c>
      <c r="E71" s="7">
        <v>144</v>
      </c>
      <c r="F71" s="7">
        <v>152</v>
      </c>
      <c r="H71" s="7">
        <f>$U$71*H29</f>
        <v>163.52522245548047</v>
      </c>
      <c r="I71" s="7">
        <f>$U$71*I29</f>
        <v>176.71645710998254</v>
      </c>
      <c r="J71" s="7">
        <f>$U$71*J29</f>
        <v>191.02704126807021</v>
      </c>
      <c r="K71" s="7">
        <f>$U$71*K29</f>
        <v>206.55502882480093</v>
      </c>
      <c r="L71" s="7">
        <f>$U$71*L29</f>
        <v>223.40722538660205</v>
      </c>
      <c r="N71" s="62">
        <f>B71/B29</f>
        <v>6.0217747374506211E-3</v>
      </c>
      <c r="O71" s="62">
        <f>C71/C29</f>
        <v>5.5788670608430289E-3</v>
      </c>
      <c r="P71" s="62">
        <f>D71/D29</f>
        <v>1.504115031690474E-2</v>
      </c>
      <c r="Q71" s="62">
        <f>E71/E29</f>
        <v>1.0391859709893916E-2</v>
      </c>
      <c r="R71" s="62">
        <f>F71/F29</f>
        <v>7.3171905839310644E-3</v>
      </c>
      <c r="T71" s="48" t="s">
        <v>168</v>
      </c>
      <c r="U71" s="114">
        <f>AVERAGE(N71,O71,R71)</f>
        <v>6.3059441274082376E-3</v>
      </c>
      <c r="V71" s="53" t="s">
        <v>341</v>
      </c>
    </row>
    <row r="72" spans="1:22" s="2" customFormat="1">
      <c r="A72" s="6" t="s">
        <v>22</v>
      </c>
      <c r="B72" s="7">
        <v>171</v>
      </c>
      <c r="C72" s="7">
        <v>154</v>
      </c>
      <c r="D72" s="7">
        <v>249</v>
      </c>
      <c r="E72" s="7">
        <v>228</v>
      </c>
      <c r="F72" s="7">
        <v>240</v>
      </c>
      <c r="H72" s="7">
        <f>$U$72*H29</f>
        <v>234.54875460305553</v>
      </c>
      <c r="I72" s="7">
        <f>$U$72*I29</f>
        <v>253.46930773504994</v>
      </c>
      <c r="J72" s="7">
        <f>$U$72*J29</f>
        <v>273.99537485497382</v>
      </c>
      <c r="K72" s="7">
        <f>$U$72*K29</f>
        <v>296.26759737963346</v>
      </c>
      <c r="L72" s="7">
        <f>$U$72*L29</f>
        <v>320.43916954778911</v>
      </c>
      <c r="N72" s="62">
        <f>B72/B29</f>
        <v>8.2377878408324504E-3</v>
      </c>
      <c r="O72" s="62">
        <f>C72/C29</f>
        <v>7.3431241655540717E-3</v>
      </c>
      <c r="P72" s="62">
        <f>D72/D29</f>
        <v>2.3555008986850819E-2</v>
      </c>
      <c r="Q72" s="62">
        <f>E72/E29</f>
        <v>1.6453777873998703E-2</v>
      </c>
      <c r="R72" s="62">
        <f>F72/F29</f>
        <v>1.155345881673326E-2</v>
      </c>
      <c r="T72" s="48" t="s">
        <v>168</v>
      </c>
      <c r="U72" s="114">
        <f>AVERAGE(N72,O72,R72)</f>
        <v>9.0447902743732607E-3</v>
      </c>
      <c r="V72" s="53" t="s">
        <v>341</v>
      </c>
    </row>
    <row r="73" spans="1:22" s="2" customFormat="1">
      <c r="A73" s="6" t="s">
        <v>23</v>
      </c>
      <c r="B73" s="7">
        <v>0</v>
      </c>
      <c r="C73" s="7">
        <v>888</v>
      </c>
      <c r="D73" s="7">
        <v>752</v>
      </c>
      <c r="E73" s="7">
        <v>1062</v>
      </c>
      <c r="F73" s="7">
        <v>987</v>
      </c>
      <c r="H73" s="7">
        <f>$U$73*H29</f>
        <v>776.71080197867275</v>
      </c>
      <c r="I73" s="7">
        <f>$U$73*I29</f>
        <v>839.36642350138038</v>
      </c>
      <c r="J73" s="7">
        <f>$U$73*J29</f>
        <v>907.33872240002688</v>
      </c>
      <c r="K73" s="7">
        <f>$U$73*K29</f>
        <v>981.09343428605825</v>
      </c>
      <c r="L73" s="7">
        <f>$U$73*L29</f>
        <v>1061.1378635800306</v>
      </c>
      <c r="N73" s="62">
        <f>B73/B29</f>
        <v>0</v>
      </c>
      <c r="O73" s="62">
        <f>C73/C29</f>
        <v>4.234217051306504E-2</v>
      </c>
      <c r="P73" s="62">
        <f>D73/D29</f>
        <v>7.1138019108882788E-2</v>
      </c>
      <c r="Q73" s="62">
        <f>E73/E29</f>
        <v>7.6639965360467632E-2</v>
      </c>
      <c r="R73" s="62">
        <f>F73/F29</f>
        <v>4.7513599383815532E-2</v>
      </c>
      <c r="T73" s="48" t="s">
        <v>168</v>
      </c>
      <c r="U73" s="114">
        <f>AVERAGE(N73,O73,R73)</f>
        <v>2.9951923298960192E-2</v>
      </c>
      <c r="V73" s="53" t="s">
        <v>341</v>
      </c>
    </row>
    <row r="74" spans="1:22" s="2" customFormat="1">
      <c r="A74" s="6" t="s">
        <v>24</v>
      </c>
      <c r="B74" s="7">
        <v>587</v>
      </c>
      <c r="C74" s="7">
        <v>595</v>
      </c>
      <c r="D74" s="7">
        <v>616</v>
      </c>
      <c r="E74" s="7">
        <v>604</v>
      </c>
      <c r="F74" s="7">
        <v>584</v>
      </c>
      <c r="H74" s="7">
        <f>$U$74*H29</f>
        <v>732.68758843402827</v>
      </c>
      <c r="I74" s="7">
        <f>$U$74*I29</f>
        <v>791.79195020981365</v>
      </c>
      <c r="J74" s="7">
        <f>$U$74*J29</f>
        <v>855.91164525395914</v>
      </c>
      <c r="K74" s="7">
        <f>$U$74*K29</f>
        <v>925.48601173599855</v>
      </c>
      <c r="L74" s="7">
        <f>$U$74*L29</f>
        <v>1000.9936005548662</v>
      </c>
      <c r="N74" s="62">
        <f>B74/B29</f>
        <v>2.8278254167068119E-2</v>
      </c>
      <c r="O74" s="62">
        <f>C74/C29</f>
        <v>2.8371161548731642E-2</v>
      </c>
      <c r="P74" s="62">
        <f>D74/D29</f>
        <v>5.8272632674297609E-2</v>
      </c>
      <c r="Q74" s="62">
        <f>E74/E29</f>
        <v>4.3588078227610592E-2</v>
      </c>
      <c r="R74" s="62">
        <f>F74/F29</f>
        <v>2.8113416454050931E-2</v>
      </c>
      <c r="T74" s="48" t="s">
        <v>168</v>
      </c>
      <c r="U74" s="114">
        <f>AVERAGE(N74,O74,R74)</f>
        <v>2.8254277389950233E-2</v>
      </c>
      <c r="V74" s="53" t="s">
        <v>341</v>
      </c>
    </row>
    <row r="75" spans="1:22" s="2" customFormat="1" ht="20">
      <c r="A75" s="49" t="s">
        <v>119</v>
      </c>
      <c r="B75" s="9">
        <f>SUM(B70:B74)</f>
        <v>1615</v>
      </c>
      <c r="C75" s="9">
        <f>SUM(C70:C74)</f>
        <v>2331</v>
      </c>
      <c r="D75" s="9">
        <f>SUM(D70:D74)</f>
        <v>2198</v>
      </c>
      <c r="E75" s="9">
        <f>SUM(E70:E74)</f>
        <v>2425</v>
      </c>
      <c r="F75" s="9">
        <f>SUM(F70:F74)</f>
        <v>2298</v>
      </c>
      <c r="H75" s="9">
        <f>SUM(H70:H74)</f>
        <v>2589.5085067494911</v>
      </c>
      <c r="I75" s="9">
        <f>SUM(I70:I74)</f>
        <v>2798.3986940822824</v>
      </c>
      <c r="J75" s="9">
        <f>SUM(J70:J74)</f>
        <v>3025.0143736543523</v>
      </c>
      <c r="K75" s="9">
        <f>SUM(K70:K74)</f>
        <v>3270.9082808269991</v>
      </c>
      <c r="L75" s="9">
        <f>SUM(L70:L74)</f>
        <v>3537.7717389463069</v>
      </c>
      <c r="N75" s="62"/>
      <c r="O75" s="62"/>
      <c r="P75" s="62"/>
      <c r="Q75" s="62"/>
      <c r="R75" s="62"/>
      <c r="T75" s="10"/>
      <c r="U75" s="114"/>
      <c r="V75" s="53"/>
    </row>
    <row r="76" spans="1:22" s="2" customFormat="1">
      <c r="A76" s="7"/>
      <c r="B76" s="7"/>
      <c r="C76" s="7"/>
      <c r="D76" s="7"/>
      <c r="E76" s="7"/>
      <c r="F76" s="7"/>
      <c r="H76" s="7"/>
      <c r="I76" s="7"/>
      <c r="J76" s="7"/>
      <c r="K76" s="7"/>
      <c r="L76" s="7"/>
      <c r="N76" s="62"/>
      <c r="O76" s="62"/>
      <c r="P76" s="62"/>
      <c r="Q76" s="62"/>
      <c r="R76" s="62"/>
      <c r="T76" s="48"/>
      <c r="U76" s="114"/>
      <c r="V76" s="53"/>
    </row>
    <row r="77" spans="1:22" s="1" customFormat="1" ht="20">
      <c r="A77" s="16" t="s">
        <v>40</v>
      </c>
      <c r="B77" s="16">
        <f>B54+B61+B68+SUM(B70:B74)</f>
        <v>23696</v>
      </c>
      <c r="C77" s="16">
        <f>C54+C61+C68+SUM(C70:C74)</f>
        <v>25051</v>
      </c>
      <c r="D77" s="16">
        <f>D54+D61+D68+SUM(D70:D74)</f>
        <v>24701</v>
      </c>
      <c r="E77" s="16">
        <f>E54+E61+E68+SUM(E70:E74)</f>
        <v>25553</v>
      </c>
      <c r="F77" s="16">
        <f>F54+F61+F68+SUM(F70:F74)</f>
        <v>24815</v>
      </c>
      <c r="H77" s="16">
        <f ca="1">H54+H61+H68+SUM(H70:H74)</f>
        <v>27849.483025596823</v>
      </c>
      <c r="I77" s="16">
        <f ca="1">I54+I61+I68+SUM(I70:I74)</f>
        <v>29826.980266735092</v>
      </c>
      <c r="J77" s="16">
        <f ca="1">J54+J61+J68+SUM(J70:J74)</f>
        <v>32028.125734776244</v>
      </c>
      <c r="K77" s="16">
        <f ca="1">K54+K61+K68+SUM(K70:K74)</f>
        <v>34473.484710262426</v>
      </c>
      <c r="L77" s="16">
        <f ca="1">L54+L61+L68+SUM(L70:L74)</f>
        <v>37185.463511440408</v>
      </c>
      <c r="N77" s="62"/>
      <c r="O77" s="62"/>
      <c r="P77" s="62"/>
      <c r="Q77" s="62"/>
      <c r="R77" s="62"/>
      <c r="T77" s="109"/>
      <c r="U77" s="115"/>
      <c r="V77" s="116"/>
    </row>
    <row r="78" spans="1:22" s="1" customFormat="1" ht="20">
      <c r="A78" s="12"/>
      <c r="B78" s="12"/>
      <c r="C78" s="12"/>
      <c r="D78" s="12"/>
      <c r="E78" s="12"/>
      <c r="F78" s="12"/>
      <c r="H78" s="12"/>
      <c r="I78" s="12"/>
      <c r="J78" s="12"/>
      <c r="K78" s="12"/>
      <c r="L78" s="12"/>
      <c r="N78" s="62"/>
      <c r="O78" s="62"/>
      <c r="P78" s="62"/>
      <c r="Q78" s="62"/>
      <c r="R78" s="62"/>
      <c r="T78" s="110"/>
      <c r="U78" s="114"/>
      <c r="V78" s="53"/>
    </row>
    <row r="79" spans="1:22" s="1" customFormat="1">
      <c r="A79" s="15" t="s">
        <v>25</v>
      </c>
      <c r="B79" s="15"/>
      <c r="C79" s="15"/>
      <c r="D79" s="15"/>
      <c r="E79" s="15"/>
      <c r="F79" s="15"/>
      <c r="H79" s="15"/>
      <c r="I79" s="15"/>
      <c r="J79" s="15"/>
      <c r="K79" s="15"/>
      <c r="L79" s="15"/>
      <c r="N79" s="62"/>
      <c r="O79" s="62"/>
      <c r="P79" s="62"/>
      <c r="Q79" s="62"/>
      <c r="R79" s="62"/>
      <c r="T79" s="55"/>
      <c r="U79" s="115"/>
      <c r="V79" s="116"/>
    </row>
    <row r="80" spans="1:22" s="1" customFormat="1">
      <c r="A80" s="15" t="s">
        <v>100</v>
      </c>
      <c r="B80" s="15"/>
      <c r="C80" s="15"/>
      <c r="D80" s="15"/>
      <c r="E80" s="15"/>
      <c r="F80" s="15"/>
      <c r="H80" s="15"/>
      <c r="I80" s="15"/>
      <c r="J80" s="15"/>
      <c r="K80" s="15"/>
      <c r="L80" s="15"/>
      <c r="N80" s="62"/>
      <c r="O80" s="62"/>
      <c r="P80" s="62"/>
      <c r="Q80" s="62"/>
      <c r="R80" s="62"/>
      <c r="T80" s="55"/>
      <c r="U80" s="115"/>
      <c r="V80" s="116"/>
    </row>
    <row r="81" spans="1:22" s="2" customFormat="1">
      <c r="A81" s="300" t="s">
        <v>26</v>
      </c>
      <c r="B81" s="7">
        <v>833</v>
      </c>
      <c r="C81" s="7">
        <v>977</v>
      </c>
      <c r="D81" s="7">
        <v>1173</v>
      </c>
      <c r="E81" s="7">
        <v>805</v>
      </c>
      <c r="F81" s="7">
        <v>684</v>
      </c>
      <c r="H81" s="301">
        <f>$U$81*H89</f>
        <v>895.44857496441682</v>
      </c>
      <c r="I81" s="301">
        <f>$U$81*I89</f>
        <v>895.44857496441682</v>
      </c>
      <c r="J81" s="301">
        <f>$U$81*J89</f>
        <v>895.44857496441682</v>
      </c>
      <c r="K81" s="301">
        <f>$U$81*K89</f>
        <v>895.44857496441682</v>
      </c>
      <c r="L81" s="301">
        <f>$U$81*L89</f>
        <v>895.44857496441682</v>
      </c>
      <c r="N81" s="62">
        <f>B81/B89</f>
        <v>9.7838853652807145E-2</v>
      </c>
      <c r="O81" s="62">
        <f>C81/C89</f>
        <v>9.8062832480176651E-2</v>
      </c>
      <c r="P81" s="62">
        <f>D81/D89</f>
        <v>0.12745843746604368</v>
      </c>
      <c r="Q81" s="62">
        <f>E81/E89</f>
        <v>8.6253080467159543E-2</v>
      </c>
      <c r="R81" s="62">
        <f>F81/F89</f>
        <v>7.2921108742004262E-2</v>
      </c>
      <c r="T81" s="305" t="s">
        <v>639</v>
      </c>
      <c r="U81" s="308">
        <f>AVERAGE(N81:R81)</f>
        <v>9.6506862561638262E-2</v>
      </c>
      <c r="V81" s="306" t="s">
        <v>342</v>
      </c>
    </row>
    <row r="82" spans="1:22" s="2" customFormat="1">
      <c r="A82" s="6" t="s">
        <v>80</v>
      </c>
      <c r="B82" s="7">
        <v>767</v>
      </c>
      <c r="C82" s="7">
        <v>720</v>
      </c>
      <c r="D82" s="7">
        <v>527</v>
      </c>
      <c r="E82" s="7">
        <v>726</v>
      </c>
      <c r="F82" s="7">
        <v>746</v>
      </c>
      <c r="H82" s="7">
        <f>U82*$H$29</f>
        <v>1086.2297558586765</v>
      </c>
      <c r="I82" s="7">
        <f>U82*$I$29</f>
        <v>1173.8536183006634</v>
      </c>
      <c r="J82" s="7">
        <f>U82*$J$29</f>
        <v>1268.912851994515</v>
      </c>
      <c r="K82" s="7">
        <f>U82*$K$29</f>
        <v>1372.058788012527</v>
      </c>
      <c r="L82" s="7">
        <f>U82*$L$29</f>
        <v>1484.0008913904405</v>
      </c>
      <c r="N82" s="62">
        <f>B82/B29</f>
        <v>3.6949609788997015E-2</v>
      </c>
      <c r="O82" s="62">
        <f>C82/C29</f>
        <v>3.4331489605187872E-2</v>
      </c>
      <c r="P82" s="62">
        <f>D82/D29</f>
        <v>4.9853372434017593E-2</v>
      </c>
      <c r="Q82" s="62">
        <f>E82/E29</f>
        <v>5.2392292704048493E-2</v>
      </c>
      <c r="R82" s="62">
        <f>F82/F29</f>
        <v>3.5912001155345881E-2</v>
      </c>
      <c r="T82" s="48" t="s">
        <v>217</v>
      </c>
      <c r="U82" s="114">
        <f>AVERAGE(R82,Q82,P82,O82,N82)</f>
        <v>4.1887753137519371E-2</v>
      </c>
      <c r="V82" s="53" t="s">
        <v>342</v>
      </c>
    </row>
    <row r="83" spans="1:22" s="2" customFormat="1">
      <c r="A83" s="6" t="s">
        <v>27</v>
      </c>
      <c r="B83" s="7">
        <v>1345</v>
      </c>
      <c r="C83" s="7">
        <v>1339</v>
      </c>
      <c r="D83" s="7">
        <v>831</v>
      </c>
      <c r="E83" s="7">
        <v>1187</v>
      </c>
      <c r="F83" s="7">
        <v>1299</v>
      </c>
      <c r="H83" s="7">
        <f>U83*$H$29</f>
        <v>1652.5064782368315</v>
      </c>
      <c r="I83" s="7">
        <f>U83*$I$29</f>
        <v>1785.8106890196145</v>
      </c>
      <c r="J83" s="7">
        <f>U83*$J$29</f>
        <v>1930.4265022470297</v>
      </c>
      <c r="K83" s="7">
        <f>U83*$K$29</f>
        <v>2087.3448029603296</v>
      </c>
      <c r="L83" s="7">
        <f>U83*$L$29</f>
        <v>2257.6449167453975</v>
      </c>
      <c r="N83" s="62">
        <f>B83/B29</f>
        <v>6.4794296174968694E-2</v>
      </c>
      <c r="O83" s="62">
        <f>C83/C29</f>
        <v>6.384703414075911E-2</v>
      </c>
      <c r="P83" s="62">
        <f>D83/D29</f>
        <v>7.8611295052502125E-2</v>
      </c>
      <c r="Q83" s="62">
        <f>E83/E29</f>
        <v>8.5660676914194989E-2</v>
      </c>
      <c r="R83" s="62">
        <f>F83/F29</f>
        <v>6.2533095845568765E-2</v>
      </c>
      <c r="T83" s="48" t="s">
        <v>168</v>
      </c>
      <c r="U83" s="114">
        <f>AVERAGE(N83,O83,R83)</f>
        <v>6.3724808720432194E-2</v>
      </c>
      <c r="V83" s="53" t="s">
        <v>341</v>
      </c>
    </row>
    <row r="84" spans="1:22" s="2" customFormat="1">
      <c r="A84" s="13" t="s">
        <v>131</v>
      </c>
      <c r="B84" s="7">
        <v>2529</v>
      </c>
      <c r="C84" s="7">
        <v>2258</v>
      </c>
      <c r="D84" s="7">
        <v>1769</v>
      </c>
      <c r="E84" s="7">
        <v>2522</v>
      </c>
      <c r="F84" s="7">
        <v>3314</v>
      </c>
      <c r="H84" s="7">
        <f>U84*$H$29</f>
        <v>3362.7985233735781</v>
      </c>
      <c r="I84" s="7">
        <f>U84*$I$29</f>
        <v>3634.0683846924376</v>
      </c>
      <c r="J84" s="7">
        <f>U84*$J$29</f>
        <v>3928.3569999458564</v>
      </c>
      <c r="K84" s="7">
        <f>U84*$K$29</f>
        <v>4247.6807889164138</v>
      </c>
      <c r="L84" s="7">
        <f>U84*$L$29</f>
        <v>4594.2361451034667</v>
      </c>
      <c r="N84" s="62">
        <f>B84/B29</f>
        <v>0.12183254648810098</v>
      </c>
      <c r="O84" s="62">
        <f>C84/C29</f>
        <v>0.10766736601182529</v>
      </c>
      <c r="P84" s="62">
        <f>D84/D29</f>
        <v>0.16734462207927348</v>
      </c>
      <c r="Q84" s="62">
        <f>E84/E29</f>
        <v>0.18200187630800319</v>
      </c>
      <c r="R84" s="62">
        <f>F84/F29</f>
        <v>0.15953401049439175</v>
      </c>
      <c r="T84" s="48" t="s">
        <v>168</v>
      </c>
      <c r="U84" s="114">
        <f>AVERAGE(N84,O84,R84)</f>
        <v>0.12967797433143935</v>
      </c>
      <c r="V84" s="53" t="s">
        <v>341</v>
      </c>
    </row>
    <row r="85" spans="1:22" s="2" customFormat="1" ht="18" thickBot="1">
      <c r="A85" s="13" t="s">
        <v>29</v>
      </c>
      <c r="B85" s="7">
        <v>963</v>
      </c>
      <c r="C85" s="7">
        <v>1383</v>
      </c>
      <c r="D85" s="7">
        <v>1452</v>
      </c>
      <c r="E85" s="7">
        <v>1167</v>
      </c>
      <c r="F85" s="7">
        <v>1296</v>
      </c>
      <c r="H85" s="7">
        <f>U85*$H$29</f>
        <v>1510.3224115143005</v>
      </c>
      <c r="I85" s="7">
        <f>U85*$I$29</f>
        <v>1632.1569336453592</v>
      </c>
      <c r="J85" s="7">
        <f>U85*$J$29</f>
        <v>1764.3297914545306</v>
      </c>
      <c r="K85" s="7">
        <f>U85*$K$29</f>
        <v>1907.7466127894193</v>
      </c>
      <c r="L85" s="7">
        <f>U85*$L$29</f>
        <v>2063.3938564888545</v>
      </c>
      <c r="N85" s="62">
        <f>B85/B29</f>
        <v>4.6391752577319589E-2</v>
      </c>
      <c r="O85" s="62">
        <f>C85/C29</f>
        <v>6.5945069616631699E-2</v>
      </c>
      <c r="P85" s="62">
        <f>D85/D29</f>
        <v>0.13735691987513007</v>
      </c>
      <c r="Q85" s="62">
        <f>E85/E29</f>
        <v>8.4217363065598613E-2</v>
      </c>
      <c r="R85" s="62">
        <f>F85/F29</f>
        <v>6.23886776103596E-2</v>
      </c>
      <c r="T85" s="48" t="s">
        <v>168</v>
      </c>
      <c r="U85" s="114">
        <f>AVERAGE(N85,O85,R85)</f>
        <v>5.8241833268103636E-2</v>
      </c>
      <c r="V85" s="53" t="s">
        <v>341</v>
      </c>
    </row>
    <row r="86" spans="1:22" s="2" customFormat="1" ht="18" thickBot="1">
      <c r="A86" s="177" t="s">
        <v>276</v>
      </c>
      <c r="B86" s="7">
        <v>0</v>
      </c>
      <c r="C86" s="7">
        <v>0</v>
      </c>
      <c r="D86" s="7">
        <v>0</v>
      </c>
      <c r="E86" s="7">
        <v>0</v>
      </c>
      <c r="F86" s="7">
        <v>0</v>
      </c>
      <c r="H86" s="176">
        <f ca="1">IF(H110&gt;-H111,H110+H111,0)</f>
        <v>0</v>
      </c>
      <c r="I86" s="176">
        <f ca="1">IF(I110&gt;-I111,I110+I111,0)</f>
        <v>0</v>
      </c>
      <c r="J86" s="176">
        <f ca="1">IF(J110&gt;-J111,J110+J111,0)</f>
        <v>0</v>
      </c>
      <c r="K86" s="176">
        <f ca="1">IF(K110&gt;-K111,K110+K111,0)</f>
        <v>0</v>
      </c>
      <c r="L86" s="176">
        <f ca="1">IF(L110&gt;-L111,L110+L111,0)</f>
        <v>0</v>
      </c>
      <c r="N86" s="62"/>
      <c r="O86" s="62"/>
      <c r="P86" s="62"/>
      <c r="Q86" s="62"/>
      <c r="R86" s="62"/>
      <c r="T86" s="48"/>
      <c r="U86" s="114"/>
      <c r="V86" s="53"/>
    </row>
    <row r="87" spans="1:22" s="2" customFormat="1" ht="20">
      <c r="A87" s="14" t="s">
        <v>74</v>
      </c>
      <c r="B87" s="9">
        <f>SUM(B81:B86)</f>
        <v>6437</v>
      </c>
      <c r="C87" s="9">
        <f>SUM(C81:C86)</f>
        <v>6677</v>
      </c>
      <c r="D87" s="9">
        <f>SUM(D81:D86)</f>
        <v>5752</v>
      </c>
      <c r="E87" s="9">
        <f>SUM(E81:E86)</f>
        <v>6407</v>
      </c>
      <c r="F87" s="9">
        <f>SUM(F81:F86)</f>
        <v>7339</v>
      </c>
      <c r="H87" s="9">
        <f ca="1">SUM(H81:H86)</f>
        <v>8507.3057439478034</v>
      </c>
      <c r="I87" s="9">
        <f ca="1">SUM(I81:I86)</f>
        <v>9121.3382006224911</v>
      </c>
      <c r="J87" s="9">
        <f ca="1">SUM(J81:J86)</f>
        <v>9787.4747206063494</v>
      </c>
      <c r="K87" s="9">
        <f ca="1">SUM(K81:K86)</f>
        <v>10510.279567643105</v>
      </c>
      <c r="L87" s="9">
        <f ca="1">SUM(L81:L86)</f>
        <v>11294.724384692576</v>
      </c>
      <c r="N87" s="62"/>
      <c r="O87" s="62"/>
      <c r="P87" s="62"/>
      <c r="Q87" s="62"/>
      <c r="R87" s="62"/>
      <c r="T87" s="10"/>
      <c r="U87" s="114"/>
      <c r="V87" s="53"/>
    </row>
    <row r="88" spans="1:22" s="2" customFormat="1">
      <c r="A88" s="7"/>
      <c r="B88" s="7"/>
      <c r="C88" s="7"/>
      <c r="D88" s="7"/>
      <c r="E88" s="7"/>
      <c r="F88" s="7"/>
      <c r="H88" s="7"/>
      <c r="I88" s="7"/>
      <c r="J88" s="7"/>
      <c r="K88" s="7"/>
      <c r="L88" s="7"/>
      <c r="N88" s="62"/>
      <c r="O88" s="62"/>
      <c r="P88" s="62"/>
      <c r="Q88" s="62"/>
      <c r="R88" s="62"/>
      <c r="T88" s="48"/>
      <c r="U88" s="114"/>
      <c r="V88" s="53"/>
    </row>
    <row r="89" spans="1:22" s="2" customFormat="1">
      <c r="A89" s="300" t="s">
        <v>30</v>
      </c>
      <c r="B89" s="7">
        <v>8514</v>
      </c>
      <c r="C89" s="7">
        <v>9963</v>
      </c>
      <c r="D89" s="7">
        <v>9203</v>
      </c>
      <c r="E89" s="7">
        <v>9333</v>
      </c>
      <c r="F89" s="7">
        <v>9380</v>
      </c>
      <c r="H89" s="301">
        <f>$U$89</f>
        <v>9278.6</v>
      </c>
      <c r="I89" s="301">
        <f>$U$89</f>
        <v>9278.6</v>
      </c>
      <c r="J89" s="301">
        <f>$U$89</f>
        <v>9278.6</v>
      </c>
      <c r="K89" s="301">
        <f>$U$89</f>
        <v>9278.6</v>
      </c>
      <c r="L89" s="301">
        <f>$U$89</f>
        <v>9278.6</v>
      </c>
      <c r="N89" s="62">
        <f>B89/B29</f>
        <v>0.41015512091723672</v>
      </c>
      <c r="O89" s="62">
        <f>C89/C29</f>
        <v>0.47506198741178712</v>
      </c>
      <c r="P89" s="62">
        <f>D89/D29</f>
        <v>0.87058934821681955</v>
      </c>
      <c r="Q89" s="62">
        <f>E89/E29</f>
        <v>0.67352240744749947</v>
      </c>
      <c r="R89" s="62">
        <f>F89/F29</f>
        <v>0.45154768208732488</v>
      </c>
      <c r="T89" s="305" t="s">
        <v>640</v>
      </c>
      <c r="U89" s="310">
        <f>AVERAGE(B89:F89)</f>
        <v>9278.6</v>
      </c>
      <c r="V89" s="306" t="s">
        <v>632</v>
      </c>
    </row>
    <row r="90" spans="1:22" s="2" customFormat="1">
      <c r="A90" s="13" t="s">
        <v>132</v>
      </c>
      <c r="B90" s="7">
        <v>2932</v>
      </c>
      <c r="C90" s="7">
        <v>3460</v>
      </c>
      <c r="D90" s="7">
        <v>4502</v>
      </c>
      <c r="E90" s="7">
        <v>3949</v>
      </c>
      <c r="F90" s="7">
        <v>3280</v>
      </c>
      <c r="H90" s="7">
        <f>U90*$H$29</f>
        <v>4011.8915002221756</v>
      </c>
      <c r="I90" s="7">
        <f>U90*$I$29</f>
        <v>4335.5223223862668</v>
      </c>
      <c r="J90" s="7">
        <f>U90*$J$29</f>
        <v>4686.6150167421874</v>
      </c>
      <c r="K90" s="7">
        <f>U90*$K$29</f>
        <v>5067.5752157803745</v>
      </c>
      <c r="L90" s="7">
        <f>U90*$L$29</f>
        <v>5481.0232645348706</v>
      </c>
      <c r="N90" s="62">
        <f>B90/B29</f>
        <v>0.14124674824164177</v>
      </c>
      <c r="O90" s="62">
        <f>C90/C29</f>
        <v>0.16498188060270838</v>
      </c>
      <c r="P90" s="62">
        <f>D90/D29</f>
        <v>0.42588213035663608</v>
      </c>
      <c r="Q90" s="62">
        <f>E90/E29</f>
        <v>0.28498231940535468</v>
      </c>
      <c r="R90" s="62">
        <f>F90/F29</f>
        <v>0.15789727049535454</v>
      </c>
      <c r="T90" s="48" t="s">
        <v>168</v>
      </c>
      <c r="U90" s="114">
        <f>AVERAGE(N90,O90,R90)</f>
        <v>0.15470863311323491</v>
      </c>
      <c r="V90" s="53" t="s">
        <v>341</v>
      </c>
    </row>
    <row r="91" spans="1:22" s="2" customFormat="1">
      <c r="A91" s="300" t="s">
        <v>81</v>
      </c>
      <c r="B91" s="7">
        <v>485</v>
      </c>
      <c r="C91" s="7">
        <v>290</v>
      </c>
      <c r="D91" s="7">
        <v>83</v>
      </c>
      <c r="E91" s="7">
        <v>169</v>
      </c>
      <c r="F91" s="7">
        <v>313</v>
      </c>
      <c r="H91" s="301">
        <f ca="1">$U$91*H45</f>
        <v>398.80373482592591</v>
      </c>
      <c r="I91" s="301">
        <f ca="1">$U$91*I45</f>
        <v>448.02673080104</v>
      </c>
      <c r="J91" s="301">
        <f ca="1">$U$91*J45</f>
        <v>501.79419951836883</v>
      </c>
      <c r="K91" s="301">
        <f ca="1">$U$91*K45</f>
        <v>560.51064337797902</v>
      </c>
      <c r="L91" s="301">
        <f ca="1">$U$91*L45</f>
        <v>624.61670449478027</v>
      </c>
      <c r="N91" s="62">
        <f>B91/B45</f>
        <v>-1.1073059360730593</v>
      </c>
      <c r="O91" s="62">
        <f>C91/C45</f>
        <v>-0.88957055214723924</v>
      </c>
      <c r="P91" s="62">
        <f>D91/D45</f>
        <v>0.41708542713567837</v>
      </c>
      <c r="Q91" s="62">
        <f>E91/E45</f>
        <v>-2.0864197530864197</v>
      </c>
      <c r="R91" s="62">
        <f>F91/F45</f>
        <v>-0.41402116402116401</v>
      </c>
      <c r="T91" s="305" t="s">
        <v>641</v>
      </c>
      <c r="U91" s="308">
        <f>AVERAGE(N91,O91,R91)</f>
        <v>-0.80363255074715412</v>
      </c>
      <c r="V91" s="306" t="s">
        <v>341</v>
      </c>
    </row>
    <row r="92" spans="1:22" s="2" customFormat="1">
      <c r="A92" s="6" t="s">
        <v>31</v>
      </c>
      <c r="B92" s="7">
        <v>731</v>
      </c>
      <c r="C92" s="7">
        <v>840</v>
      </c>
      <c r="D92" s="7">
        <v>1542</v>
      </c>
      <c r="E92" s="7">
        <v>1181</v>
      </c>
      <c r="F92" s="7">
        <v>1059</v>
      </c>
      <c r="H92" s="7">
        <f>U92*$H$29</f>
        <v>1091.2875241254374</v>
      </c>
      <c r="I92" s="7">
        <f>U92*$I$29</f>
        <v>1179.3193860615272</v>
      </c>
      <c r="J92" s="7">
        <f>U92*$J$29</f>
        <v>1274.8212402719375</v>
      </c>
      <c r="K92" s="7">
        <f>U92*$K$29</f>
        <v>1378.4474505958442</v>
      </c>
      <c r="L92" s="7">
        <f>U92*$L$29</f>
        <v>1490.9107855227237</v>
      </c>
      <c r="N92" s="62">
        <f>B92/B29</f>
        <v>3.5215338664611233E-2</v>
      </c>
      <c r="O92" s="62">
        <f>C92/C29</f>
        <v>4.0053404539385849E-2</v>
      </c>
      <c r="P92" s="62">
        <f>D92/D29</f>
        <v>0.14587077854507616</v>
      </c>
      <c r="Q92" s="62">
        <f>E92/E29</f>
        <v>8.5227682759616077E-2</v>
      </c>
      <c r="R92" s="62">
        <f>F92/F29</f>
        <v>5.0979637028835505E-2</v>
      </c>
      <c r="T92" s="48" t="s">
        <v>168</v>
      </c>
      <c r="U92" s="114">
        <f>AVERAGE(N92,O92,R92)</f>
        <v>4.2082793410944196E-2</v>
      </c>
      <c r="V92" s="53" t="s">
        <v>341</v>
      </c>
    </row>
    <row r="93" spans="1:22" s="2" customFormat="1">
      <c r="A93" s="6" t="s">
        <v>32</v>
      </c>
      <c r="B93" s="7">
        <v>0</v>
      </c>
      <c r="C93" s="7">
        <v>882</v>
      </c>
      <c r="D93" s="7">
        <v>823</v>
      </c>
      <c r="E93" s="7">
        <v>1098</v>
      </c>
      <c r="F93" s="7">
        <v>1034</v>
      </c>
      <c r="H93" s="7">
        <f>U93*$H$29</f>
        <v>793.79523847540463</v>
      </c>
      <c r="I93" s="7">
        <f>U93*$I$29</f>
        <v>857.82902544185401</v>
      </c>
      <c r="J93" s="7">
        <f>U93*$J$29</f>
        <v>927.29643477428419</v>
      </c>
      <c r="K93" s="7">
        <f>U93*$K$29</f>
        <v>1002.6734463481037</v>
      </c>
      <c r="L93" s="7">
        <f>U93*$L$29</f>
        <v>1084.4785231903093</v>
      </c>
      <c r="N93" s="62">
        <f>B93/B29</f>
        <v>0</v>
      </c>
      <c r="O93" s="62">
        <f>C93/C29</f>
        <v>4.2056074766355138E-2</v>
      </c>
      <c r="P93" s="62">
        <f>D93/D29</f>
        <v>7.7854507615173582E-2</v>
      </c>
      <c r="Q93" s="62">
        <f>E93/E29</f>
        <v>7.9237930287941113E-2</v>
      </c>
      <c r="R93" s="62">
        <f>F93/F29</f>
        <v>4.9776151735425794E-2</v>
      </c>
      <c r="T93" s="48" t="s">
        <v>168</v>
      </c>
      <c r="U93" s="114">
        <f>AVERAGE(N93,O93,R93)</f>
        <v>3.0610742167260313E-2</v>
      </c>
      <c r="V93" s="53" t="s">
        <v>341</v>
      </c>
    </row>
    <row r="94" spans="1:22" s="2" customFormat="1">
      <c r="A94" s="6" t="s">
        <v>82</v>
      </c>
      <c r="B94" s="7">
        <v>2372</v>
      </c>
      <c r="C94" s="7">
        <v>2236</v>
      </c>
      <c r="D94" s="7">
        <v>2366</v>
      </c>
      <c r="E94" s="7">
        <v>2002</v>
      </c>
      <c r="F94" s="7">
        <v>1842</v>
      </c>
      <c r="H94" s="7">
        <f>U94*$H$29</f>
        <v>2675.8310774825059</v>
      </c>
      <c r="I94" s="7">
        <f>U94*$I$29</f>
        <v>2891.6847244542473</v>
      </c>
      <c r="J94" s="7">
        <f>U94*$J$29</f>
        <v>3125.854751879619</v>
      </c>
      <c r="K94" s="7">
        <f>U94*$K$29</f>
        <v>3379.945656335497</v>
      </c>
      <c r="L94" s="7">
        <f>U94*$L$29</f>
        <v>3655.7051422838372</v>
      </c>
      <c r="N94" s="62">
        <f>B94/B29</f>
        <v>0.114269197417863</v>
      </c>
      <c r="O94" s="62">
        <f>C94/C29</f>
        <v>0.106618348273889</v>
      </c>
      <c r="P94" s="62">
        <f>D94/D29</f>
        <v>0.22381988458991581</v>
      </c>
      <c r="Q94" s="62">
        <f>E94/E29</f>
        <v>0.14447571624449737</v>
      </c>
      <c r="R94" s="62">
        <f>F94/F29</f>
        <v>8.8672796418427763E-2</v>
      </c>
      <c r="T94" s="48" t="s">
        <v>168</v>
      </c>
      <c r="U94" s="114">
        <f>AVERAGE(N94,O94,R94)</f>
        <v>0.10318678070339327</v>
      </c>
      <c r="V94" s="53" t="s">
        <v>341</v>
      </c>
    </row>
    <row r="95" spans="1:22" s="2" customFormat="1" ht="20">
      <c r="A95" s="10" t="s">
        <v>128</v>
      </c>
      <c r="B95" s="9">
        <f>SUM(B89:B94)</f>
        <v>15034</v>
      </c>
      <c r="C95" s="9">
        <f>SUM(C89:C94)</f>
        <v>17671</v>
      </c>
      <c r="D95" s="9">
        <f>SUM(D89:D94)</f>
        <v>18519</v>
      </c>
      <c r="E95" s="9">
        <f>SUM(E89:E94)</f>
        <v>17732</v>
      </c>
      <c r="F95" s="9">
        <f>SUM(F89:F94)</f>
        <v>16908</v>
      </c>
      <c r="H95" s="9">
        <f ca="1">SUM(H89:H94)</f>
        <v>18250.209075131446</v>
      </c>
      <c r="I95" s="9">
        <f ca="1">SUM(I89:I94)</f>
        <v>18990.982189144936</v>
      </c>
      <c r="J95" s="9">
        <f ca="1">SUM(J89:J94)</f>
        <v>19794.981643186398</v>
      </c>
      <c r="K95" s="9">
        <f ca="1">SUM(K89:K94)</f>
        <v>20667.7524124378</v>
      </c>
      <c r="L95" s="9">
        <f ca="1">SUM(L89:L94)</f>
        <v>21615.33442002652</v>
      </c>
      <c r="N95" s="62"/>
      <c r="O95" s="62"/>
      <c r="P95" s="62"/>
      <c r="Q95" s="62"/>
      <c r="R95" s="62"/>
      <c r="T95" s="10"/>
      <c r="U95" s="112"/>
      <c r="V95" s="53"/>
    </row>
    <row r="96" spans="1:22" s="108" customFormat="1">
      <c r="A96" s="107"/>
      <c r="B96" s="107"/>
      <c r="C96" s="107"/>
      <c r="D96" s="107"/>
      <c r="E96" s="107"/>
      <c r="F96" s="107"/>
      <c r="H96" s="107"/>
      <c r="I96" s="107"/>
      <c r="J96" s="107"/>
      <c r="K96" s="107"/>
      <c r="L96" s="107"/>
      <c r="N96" s="62"/>
      <c r="O96" s="62"/>
      <c r="P96" s="62"/>
      <c r="Q96" s="62"/>
      <c r="R96" s="62"/>
      <c r="T96" s="111"/>
      <c r="U96" s="112"/>
      <c r="V96" s="53"/>
    </row>
    <row r="97" spans="1:24" s="2" customFormat="1">
      <c r="A97" s="15" t="s">
        <v>98</v>
      </c>
      <c r="B97" s="15"/>
      <c r="C97" s="15"/>
      <c r="D97" s="15"/>
      <c r="E97" s="15"/>
      <c r="F97" s="15"/>
      <c r="H97" s="15"/>
      <c r="I97" s="15"/>
      <c r="J97" s="15"/>
      <c r="K97" s="15"/>
      <c r="L97" s="15"/>
      <c r="N97" s="62"/>
      <c r="O97" s="62"/>
      <c r="P97" s="62"/>
      <c r="Q97" s="62"/>
      <c r="R97" s="62"/>
      <c r="T97" s="55"/>
      <c r="U97" s="113"/>
      <c r="V97" s="116"/>
    </row>
    <row r="98" spans="1:24" s="2" customFormat="1">
      <c r="A98" s="6" t="s">
        <v>123</v>
      </c>
      <c r="B98" s="7">
        <v>3582</v>
      </c>
      <c r="C98" s="7">
        <f>B105</f>
        <v>2225</v>
      </c>
      <c r="D98" s="7">
        <f>C105</f>
        <v>703</v>
      </c>
      <c r="E98" s="7">
        <f>D105</f>
        <v>430</v>
      </c>
      <c r="F98" s="7">
        <f>E105</f>
        <v>1414</v>
      </c>
      <c r="H98" s="7">
        <f>F105</f>
        <v>568</v>
      </c>
      <c r="I98" s="7">
        <f ca="1">H105</f>
        <v>1091.9682065175716</v>
      </c>
      <c r="J98" s="7">
        <f ca="1">I105</f>
        <v>1714.6598769676673</v>
      </c>
      <c r="K98" s="7">
        <f ca="1">J105</f>
        <v>2445.6693709834908</v>
      </c>
      <c r="L98" s="7">
        <f ca="1">K105</f>
        <v>3295.4527301815242</v>
      </c>
      <c r="N98" s="62">
        <f>B98/B29</f>
        <v>0.172559976876385</v>
      </c>
      <c r="O98" s="62">
        <f>C98/C29</f>
        <v>0.10609383940492084</v>
      </c>
      <c r="P98" s="62">
        <f>D98/D29</f>
        <v>6.6502696055245489E-2</v>
      </c>
      <c r="Q98" s="62">
        <f>E98/E29</f>
        <v>3.1031247744822112E-2</v>
      </c>
      <c r="R98" s="62">
        <f>F98/F29</f>
        <v>6.8069128195253459E-2</v>
      </c>
      <c r="T98" s="48"/>
      <c r="U98" s="112"/>
      <c r="V98" s="53"/>
    </row>
    <row r="99" spans="1:24" s="2" customFormat="1">
      <c r="A99" s="6" t="s">
        <v>124</v>
      </c>
      <c r="B99" s="7">
        <v>372</v>
      </c>
      <c r="C99" s="7">
        <v>1</v>
      </c>
      <c r="D99" s="7">
        <v>-15</v>
      </c>
      <c r="E99" s="7">
        <v>0</v>
      </c>
      <c r="F99" s="7">
        <v>0</v>
      </c>
      <c r="H99" s="7">
        <f>$U$99*H29</f>
        <v>0</v>
      </c>
      <c r="I99" s="7">
        <f>$U$99*I29</f>
        <v>0</v>
      </c>
      <c r="J99" s="7">
        <f>$U$99*J29</f>
        <v>0</v>
      </c>
      <c r="K99" s="7">
        <f>$U$99*K29</f>
        <v>0</v>
      </c>
      <c r="L99" s="7">
        <f>$U$99*L29</f>
        <v>0</v>
      </c>
      <c r="N99" s="62">
        <f>B99/B29</f>
        <v>1.7920801618653049E-2</v>
      </c>
      <c r="O99" s="62">
        <f>C99/C29</f>
        <v>4.7682624451649821E-5</v>
      </c>
      <c r="P99" s="62">
        <f>D99/D29</f>
        <v>-1.4189764449910132E-3</v>
      </c>
      <c r="Q99" s="62">
        <f>E99/E29</f>
        <v>0</v>
      </c>
      <c r="R99" s="62">
        <f>F99/F29</f>
        <v>0</v>
      </c>
      <c r="T99" s="48" t="s">
        <v>215</v>
      </c>
      <c r="U99" s="112">
        <v>0</v>
      </c>
      <c r="V99" s="53" t="s">
        <v>344</v>
      </c>
    </row>
    <row r="100" spans="1:24" s="2" customFormat="1">
      <c r="A100" s="6" t="s">
        <v>108</v>
      </c>
      <c r="B100" s="7">
        <f>B46</f>
        <v>1907</v>
      </c>
      <c r="C100" s="7">
        <f t="shared" ref="C100:L100" si="2">C46</f>
        <v>1273</v>
      </c>
      <c r="D100" s="7">
        <f t="shared" si="2"/>
        <v>-267</v>
      </c>
      <c r="E100" s="7">
        <f t="shared" si="2"/>
        <v>1099</v>
      </c>
      <c r="F100" s="7">
        <f t="shared" si="2"/>
        <v>2358</v>
      </c>
      <c r="H100" s="7">
        <f t="shared" ca="1" si="2"/>
        <v>1887.6622448603327</v>
      </c>
      <c r="I100" s="7">
        <f t="shared" ca="1" si="2"/>
        <v>2120.6500104380348</v>
      </c>
      <c r="J100" s="7">
        <f t="shared" ca="1" si="2"/>
        <v>2375.1481804306309</v>
      </c>
      <c r="K100" s="7">
        <f t="shared" ca="1" si="2"/>
        <v>2653.0713906398501</v>
      </c>
      <c r="L100" s="7">
        <f t="shared" ca="1" si="2"/>
        <v>2956.5053373899091</v>
      </c>
      <c r="N100" s="62">
        <f>B100/B29</f>
        <v>9.1868195394546687E-2</v>
      </c>
      <c r="O100" s="62">
        <f>C100/C29</f>
        <v>6.0699980926950219E-2</v>
      </c>
      <c r="P100" s="62">
        <f>D100/D29</f>
        <v>-2.5257780720840034E-2</v>
      </c>
      <c r="Q100" s="62">
        <f>E100/E29</f>
        <v>7.9310095980370934E-2</v>
      </c>
      <c r="R100" s="62">
        <f>F100/F29</f>
        <v>0.11351273287440428</v>
      </c>
      <c r="T100" s="48"/>
      <c r="U100" s="112"/>
      <c r="V100" s="53"/>
    </row>
    <row r="101" spans="1:24" s="2" customFormat="1">
      <c r="A101" s="6" t="s">
        <v>120</v>
      </c>
      <c r="B101" s="7">
        <v>-370</v>
      </c>
      <c r="C101" s="7">
        <v>30</v>
      </c>
      <c r="D101" s="7">
        <v>226</v>
      </c>
      <c r="E101" s="7">
        <v>-207</v>
      </c>
      <c r="F101" s="7">
        <v>-387</v>
      </c>
      <c r="H101" s="7">
        <f>U101*$H$29</f>
        <v>-148.24229578540914</v>
      </c>
      <c r="I101" s="7">
        <f>U101*$I$29</f>
        <v>-160.20068899266997</v>
      </c>
      <c r="J101" s="7">
        <f>U101*$J$29</f>
        <v>-173.17381826147607</v>
      </c>
      <c r="K101" s="7">
        <f>U101*$K$29</f>
        <v>-187.2505734541725</v>
      </c>
      <c r="L101" s="7">
        <f>U101*$L$29</f>
        <v>-202.52777821705558</v>
      </c>
      <c r="N101" s="62">
        <f>B101/B29</f>
        <v>-1.782445322285384E-2</v>
      </c>
      <c r="O101" s="62">
        <f>C101/C29</f>
        <v>1.4304787335494946E-3</v>
      </c>
      <c r="P101" s="62">
        <f>D101/D29</f>
        <v>2.1379245104531264E-2</v>
      </c>
      <c r="Q101" s="62">
        <f>E101/E29</f>
        <v>-1.4938298332972505E-2</v>
      </c>
      <c r="R101" s="62">
        <f>F101/F29</f>
        <v>-1.8629952341982382E-2</v>
      </c>
      <c r="T101" s="48" t="s">
        <v>168</v>
      </c>
      <c r="U101" s="114">
        <f>AVERAGE(R101,Q101,P101,O101,N101)</f>
        <v>-5.716596011945593E-3</v>
      </c>
      <c r="V101" s="53" t="s">
        <v>342</v>
      </c>
    </row>
    <row r="102" spans="1:24" s="2" customFormat="1">
      <c r="A102" s="300" t="s">
        <v>125</v>
      </c>
      <c r="B102" s="7">
        <v>-543</v>
      </c>
      <c r="C102" s="7">
        <v>-612</v>
      </c>
      <c r="D102" s="7">
        <v>-156</v>
      </c>
      <c r="E102" s="7">
        <v>0</v>
      </c>
      <c r="F102" s="7">
        <v>-321</v>
      </c>
      <c r="H102" s="7">
        <f ca="1">$U$102*H46</f>
        <v>-567.32233358571807</v>
      </c>
      <c r="I102" s="7">
        <f ca="1">$U$102*I46</f>
        <v>-637.34501016589411</v>
      </c>
      <c r="J102" s="7">
        <f ca="1">$U$102*J46</f>
        <v>-713.83247294511455</v>
      </c>
      <c r="K102" s="7">
        <f ca="1">$U$102*K46</f>
        <v>-797.36015095151254</v>
      </c>
      <c r="L102" s="7">
        <f ca="1">$U$102*L46</f>
        <v>-888.55488413435739</v>
      </c>
      <c r="N102" s="62">
        <f>B102/B46</f>
        <v>-0.28474042999475618</v>
      </c>
      <c r="O102" s="62">
        <f>C102/C46</f>
        <v>-0.48075412411626078</v>
      </c>
      <c r="P102" s="62">
        <f>D102/D46</f>
        <v>0.5842696629213483</v>
      </c>
      <c r="Q102" s="62">
        <f>E102/E46</f>
        <v>0</v>
      </c>
      <c r="R102" s="62">
        <f>F102/F46</f>
        <v>-0.13613231552162849</v>
      </c>
      <c r="T102" s="305" t="s">
        <v>642</v>
      </c>
      <c r="U102" s="303">
        <f>AVERAGE(N102,O102,R102)</f>
        <v>-0.3005422898775485</v>
      </c>
      <c r="V102" s="306" t="s">
        <v>643</v>
      </c>
    </row>
    <row r="103" spans="1:24" s="2" customFormat="1">
      <c r="A103" s="6" t="s">
        <v>121</v>
      </c>
      <c r="B103" s="7">
        <v>86</v>
      </c>
      <c r="C103" s="7">
        <v>46</v>
      </c>
      <c r="D103" s="7">
        <v>89</v>
      </c>
      <c r="E103" s="7">
        <v>92</v>
      </c>
      <c r="F103" s="7">
        <v>104</v>
      </c>
      <c r="H103" s="7">
        <f>U103*$H$29</f>
        <v>129.82811404890299</v>
      </c>
      <c r="I103" s="7">
        <f>U103*$I$29</f>
        <v>140.30107406971439</v>
      </c>
      <c r="J103" s="7">
        <f>U103*$J$29</f>
        <v>151.66272289846583</v>
      </c>
      <c r="K103" s="7">
        <f>U103*$K$29</f>
        <v>163.99090878437116</v>
      </c>
      <c r="L103" s="7">
        <f>U103*$L$29</f>
        <v>177.37042825144113</v>
      </c>
      <c r="N103" s="62">
        <f>B103/B29</f>
        <v>4.1429810193660275E-3</v>
      </c>
      <c r="O103" s="62">
        <f>C103/C29</f>
        <v>2.1934007247758915E-3</v>
      </c>
      <c r="P103" s="62">
        <f>D103/D29</f>
        <v>8.4192602402800108E-3</v>
      </c>
      <c r="Q103" s="62">
        <f>E103/E29</f>
        <v>6.6392437035433351E-3</v>
      </c>
      <c r="R103" s="62">
        <f>F103/F29</f>
        <v>5.0064988205844128E-3</v>
      </c>
      <c r="T103" s="48" t="s">
        <v>168</v>
      </c>
      <c r="U103" s="112">
        <f>R103</f>
        <v>5.0064988205844128E-3</v>
      </c>
      <c r="V103" s="53" t="s">
        <v>340</v>
      </c>
    </row>
    <row r="104" spans="1:24" s="2" customFormat="1">
      <c r="A104" s="6" t="s">
        <v>122</v>
      </c>
      <c r="B104" s="7">
        <v>-2809</v>
      </c>
      <c r="C104" s="7">
        <v>-2260</v>
      </c>
      <c r="D104" s="7">
        <v>-150</v>
      </c>
      <c r="E104" s="7">
        <v>0</v>
      </c>
      <c r="F104" s="7">
        <v>-2600</v>
      </c>
      <c r="H104" s="7">
        <f>U104*$H$29</f>
        <v>-777.957523020537</v>
      </c>
      <c r="I104" s="7">
        <f>U104*$I$29</f>
        <v>-840.71371489908938</v>
      </c>
      <c r="J104" s="7">
        <f>U104*$J$29</f>
        <v>-908.79511810668191</v>
      </c>
      <c r="K104" s="7">
        <f>U104*$K$29</f>
        <v>-982.66821582050238</v>
      </c>
      <c r="L104" s="7">
        <f>U104*$L$29</f>
        <v>-1062.8411267501499</v>
      </c>
      <c r="N104" s="62">
        <f>B104/B29</f>
        <v>-0.13532132189999035</v>
      </c>
      <c r="O104" s="62">
        <f>C104/C29</f>
        <v>-0.10776273126072859</v>
      </c>
      <c r="P104" s="62">
        <f>D104/D29</f>
        <v>-1.4189764449910132E-2</v>
      </c>
      <c r="Q104" s="62">
        <f>E104/E29</f>
        <v>0</v>
      </c>
      <c r="R104" s="62">
        <f>F104/F29</f>
        <v>-0.12516247051461032</v>
      </c>
      <c r="T104" s="48" t="s">
        <v>374</v>
      </c>
      <c r="U104" s="114">
        <v>-0.03</v>
      </c>
      <c r="V104" s="53" t="s">
        <v>215</v>
      </c>
    </row>
    <row r="105" spans="1:24" s="2" customFormat="1" ht="20">
      <c r="A105" s="9" t="s">
        <v>83</v>
      </c>
      <c r="B105" s="9">
        <f>SUM(B98:B104)</f>
        <v>2225</v>
      </c>
      <c r="C105" s="9">
        <f>SUM(C98:C104)</f>
        <v>703</v>
      </c>
      <c r="D105" s="9">
        <f>SUM(D98:D104)</f>
        <v>430</v>
      </c>
      <c r="E105" s="9">
        <f>SUM(E98:E104)</f>
        <v>1414</v>
      </c>
      <c r="F105" s="9">
        <f>SUM(F98:F104)</f>
        <v>568</v>
      </c>
      <c r="H105" s="9">
        <f ca="1">SUM(H98:H104)</f>
        <v>1091.9682065175716</v>
      </c>
      <c r="I105" s="9">
        <f ca="1">SUM(I98:I104)</f>
        <v>1714.6598769676673</v>
      </c>
      <c r="J105" s="9">
        <f ca="1">SUM(J98:J104)</f>
        <v>2445.6693709834908</v>
      </c>
      <c r="K105" s="9">
        <f ca="1">SUM(K98:K104)</f>
        <v>3295.4527301815242</v>
      </c>
      <c r="L105" s="9">
        <f ca="1">SUM(L98:L104)</f>
        <v>4275.4047067213114</v>
      </c>
      <c r="N105" s="62"/>
      <c r="O105" s="62"/>
      <c r="P105" s="62"/>
      <c r="Q105" s="62"/>
      <c r="R105" s="62"/>
      <c r="T105" s="10"/>
      <c r="U105" s="112"/>
      <c r="V105" s="53"/>
    </row>
    <row r="106" spans="1:24" s="1" customFormat="1" ht="20">
      <c r="A106" s="16" t="s">
        <v>99</v>
      </c>
      <c r="B106" s="16">
        <f>B87+B105+B95</f>
        <v>23696</v>
      </c>
      <c r="C106" s="16">
        <f>C87+C105+C95</f>
        <v>25051</v>
      </c>
      <c r="D106" s="16">
        <f>D87+D105+D95</f>
        <v>24701</v>
      </c>
      <c r="E106" s="16">
        <f>E87+E105+E95</f>
        <v>25553</v>
      </c>
      <c r="F106" s="16">
        <f>F87+F105+F95</f>
        <v>24815</v>
      </c>
      <c r="H106" s="16">
        <f ca="1">H87+H105+H95</f>
        <v>27849.483025596819</v>
      </c>
      <c r="I106" s="16">
        <f ca="1">I87+I105+I95</f>
        <v>29826.980266735096</v>
      </c>
      <c r="J106" s="16">
        <f ca="1">J87+J105+J95</f>
        <v>32028.125734776237</v>
      </c>
      <c r="K106" s="16">
        <f ca="1">K87+K105+K95</f>
        <v>34473.484710262434</v>
      </c>
      <c r="L106" s="16">
        <f ca="1">L87+L105+L95</f>
        <v>37185.463511440408</v>
      </c>
      <c r="N106" s="62"/>
      <c r="O106" s="62"/>
      <c r="P106" s="62"/>
      <c r="Q106" s="62"/>
      <c r="R106" s="62"/>
      <c r="T106" s="109"/>
      <c r="U106" s="113"/>
      <c r="V106" s="116"/>
    </row>
    <row r="107" spans="1:24">
      <c r="C107" s="57"/>
      <c r="E107" s="57"/>
      <c r="G107" s="57"/>
      <c r="I107" s="57"/>
      <c r="K107" s="57"/>
      <c r="N107" s="51"/>
      <c r="O107" s="27"/>
      <c r="P107" s="27"/>
      <c r="Q107" s="27"/>
      <c r="R107" s="27"/>
      <c r="S107" s="27"/>
      <c r="T107" s="27"/>
      <c r="U107" s="3"/>
      <c r="W107" s="3"/>
      <c r="X107" s="3"/>
    </row>
    <row r="108" spans="1:24">
      <c r="C108" s="57"/>
      <c r="E108" s="57"/>
      <c r="F108" s="86" t="s">
        <v>279</v>
      </c>
      <c r="G108" s="26"/>
      <c r="H108" s="130">
        <f>SUM(H51:H53,H61,H68,H75)</f>
        <v>27039.653749663838</v>
      </c>
      <c r="I108" s="130">
        <f>SUM(I51:I53,I61,I68,I75)</f>
        <v>27884.515452061987</v>
      </c>
      <c r="J108" s="130">
        <f>SUM(J51:J53,J61,J68,J75)</f>
        <v>28801.068360927689</v>
      </c>
      <c r="K108" s="130">
        <f>SUM(K51:K53,K61,K68,K75)</f>
        <v>29795.592554121344</v>
      </c>
      <c r="L108" s="130">
        <f>SUM(L51:L53,L61,L68,L75)</f>
        <v>30874.928632150426</v>
      </c>
      <c r="N108" s="3"/>
      <c r="O108" s="3"/>
      <c r="P108" s="3"/>
      <c r="Q108" s="3"/>
      <c r="R108" s="3"/>
      <c r="U108" s="3"/>
      <c r="W108" s="3"/>
      <c r="X108" s="3"/>
    </row>
    <row r="109" spans="1:24">
      <c r="C109" s="57"/>
      <c r="E109" s="57"/>
      <c r="F109" s="86" t="s">
        <v>280</v>
      </c>
      <c r="G109" s="26"/>
      <c r="H109" s="130">
        <f ca="1">SUM(H81:H85,H95,H105)</f>
        <v>27849.483025596823</v>
      </c>
      <c r="I109" s="130">
        <f ca="1">SUM(I81:I85,I95,I105)</f>
        <v>29826.980266735092</v>
      </c>
      <c r="J109" s="130">
        <f ca="1">SUM(J81:J85,J95,J105)</f>
        <v>32028.12573477624</v>
      </c>
      <c r="K109" s="130">
        <f ca="1">SUM(K81:K85,K95,K105)</f>
        <v>34473.484710262426</v>
      </c>
      <c r="L109" s="130">
        <f ca="1">SUM(L81:L85,L95,L105)</f>
        <v>37185.463511440408</v>
      </c>
      <c r="N109" s="3"/>
      <c r="O109" s="3"/>
      <c r="P109" s="3"/>
      <c r="Q109" s="3"/>
      <c r="R109" s="3"/>
      <c r="U109" s="3"/>
      <c r="W109" s="3"/>
      <c r="X109" s="3"/>
    </row>
    <row r="110" spans="1:24" ht="20">
      <c r="C110" s="57"/>
      <c r="E110" s="57"/>
      <c r="F110" s="86" t="s">
        <v>281</v>
      </c>
      <c r="G110" s="47"/>
      <c r="H110" s="131">
        <f ca="1">H108-H109</f>
        <v>-809.82927593298518</v>
      </c>
      <c r="I110" s="131">
        <f ca="1">I108-I109</f>
        <v>-1942.4648146731051</v>
      </c>
      <c r="J110" s="131">
        <f ca="1">J108-J109</f>
        <v>-3227.0573738485509</v>
      </c>
      <c r="K110" s="131">
        <f ca="1">K108-K109</f>
        <v>-4677.8921561410825</v>
      </c>
      <c r="L110" s="131">
        <f ca="1">L108-L109</f>
        <v>-6310.5348792899822</v>
      </c>
      <c r="N110" s="3"/>
      <c r="O110" s="3"/>
      <c r="P110" s="3"/>
      <c r="Q110" s="3"/>
      <c r="R110" s="3"/>
      <c r="U110" s="3"/>
      <c r="W110" s="3"/>
      <c r="X110" s="3"/>
    </row>
    <row r="111" spans="1:24" ht="20">
      <c r="C111" s="57"/>
      <c r="E111" s="57"/>
      <c r="F111" s="86" t="s">
        <v>282</v>
      </c>
      <c r="G111" s="132"/>
      <c r="H111" s="131">
        <f>$U$50*H29</f>
        <v>435.29592164424395</v>
      </c>
      <c r="I111" s="131">
        <f>$U$50*I29</f>
        <v>470.41032516153768</v>
      </c>
      <c r="J111" s="131">
        <f>$U$50*J29</f>
        <v>508.50438078686011</v>
      </c>
      <c r="K111" s="131">
        <f>$U$50*K29</f>
        <v>549.83910305961308</v>
      </c>
      <c r="L111" s="131">
        <f>$U$50*L29</f>
        <v>594.6988031349108</v>
      </c>
      <c r="N111" s="3"/>
      <c r="O111" s="3"/>
      <c r="P111" s="3"/>
      <c r="Q111" s="3"/>
      <c r="R111" s="3"/>
      <c r="U111" s="3"/>
      <c r="W111" s="3"/>
      <c r="X111" s="3"/>
    </row>
    <row r="112" spans="1:24" ht="20">
      <c r="A112" s="27"/>
      <c r="B112" s="27"/>
      <c r="C112" s="339"/>
      <c r="D112" s="27"/>
      <c r="E112" s="339"/>
      <c r="F112" s="119"/>
      <c r="G112" s="27"/>
      <c r="H112" s="235"/>
      <c r="I112" s="235"/>
      <c r="J112" s="235"/>
      <c r="K112" s="235"/>
      <c r="L112" s="235"/>
      <c r="M112" s="27"/>
      <c r="N112" s="3"/>
      <c r="O112" s="3"/>
      <c r="P112" s="3"/>
      <c r="Q112" s="3"/>
      <c r="R112" s="3"/>
      <c r="U112" s="3"/>
      <c r="W112" s="3"/>
      <c r="X112" s="3"/>
    </row>
    <row r="113" spans="1:24" ht="19" customHeight="1">
      <c r="A113" s="711" t="s">
        <v>656</v>
      </c>
      <c r="B113" s="711"/>
      <c r="C113" s="711"/>
      <c r="D113" s="711"/>
      <c r="E113" s="711"/>
      <c r="F113" s="711"/>
      <c r="G113" s="711"/>
      <c r="H113" s="711"/>
      <c r="I113" s="711"/>
      <c r="J113" s="711"/>
      <c r="K113" s="711"/>
      <c r="L113" s="711"/>
      <c r="M113" s="27"/>
      <c r="N113" s="3"/>
      <c r="O113" s="3"/>
      <c r="P113" s="3"/>
      <c r="Q113" s="3"/>
      <c r="R113" s="3"/>
      <c r="U113" s="3"/>
      <c r="W113" s="3"/>
      <c r="X113" s="3"/>
    </row>
    <row r="114" spans="1:24" ht="19" customHeight="1">
      <c r="A114" s="340" t="s">
        <v>513</v>
      </c>
      <c r="B114" s="341">
        <f>B46</f>
        <v>1907</v>
      </c>
      <c r="C114" s="341">
        <f>C46</f>
        <v>1273</v>
      </c>
      <c r="D114" s="341">
        <f>D46</f>
        <v>-267</v>
      </c>
      <c r="E114" s="341">
        <f>E46</f>
        <v>1099</v>
      </c>
      <c r="F114" s="341">
        <f>F46</f>
        <v>2358</v>
      </c>
      <c r="G114" s="341"/>
      <c r="H114" s="341">
        <f ca="1">H46</f>
        <v>1887.6622448603327</v>
      </c>
      <c r="I114" s="341">
        <f ca="1">I46</f>
        <v>2120.6500104380348</v>
      </c>
      <c r="J114" s="341">
        <f ca="1">J46</f>
        <v>2375.1481804306309</v>
      </c>
      <c r="K114" s="341">
        <f ca="1">K46</f>
        <v>2653.0713906398501</v>
      </c>
      <c r="L114" s="341">
        <f ca="1">L46</f>
        <v>2956.5053373899091</v>
      </c>
      <c r="M114" s="27"/>
      <c r="N114" s="3"/>
      <c r="O114" s="3"/>
      <c r="P114" s="3"/>
      <c r="Q114" s="3"/>
      <c r="R114" s="3"/>
      <c r="U114" s="3"/>
      <c r="W114" s="3"/>
      <c r="X114" s="3"/>
    </row>
    <row r="115" spans="1:24" ht="19" customHeight="1">
      <c r="A115" s="342" t="s">
        <v>514</v>
      </c>
      <c r="B115" s="341">
        <f>B33</f>
        <v>-226</v>
      </c>
      <c r="C115" s="341">
        <f>C33</f>
        <v>-341</v>
      </c>
      <c r="D115" s="341">
        <f>D33</f>
        <v>-346</v>
      </c>
      <c r="E115" s="341">
        <f>E33</f>
        <v>-220</v>
      </c>
      <c r="F115" s="341">
        <f>F33</f>
        <v>-193</v>
      </c>
      <c r="G115" s="341"/>
      <c r="H115" s="341">
        <f>H33</f>
        <v>-348.0257339720082</v>
      </c>
      <c r="I115" s="341">
        <f>I33</f>
        <v>-348.46076461902652</v>
      </c>
      <c r="J115" s="341">
        <f>J33</f>
        <v>-348.93271003191313</v>
      </c>
      <c r="K115" s="341">
        <f>K33</f>
        <v>-349.44480390717382</v>
      </c>
      <c r="L115" s="341">
        <f>L33</f>
        <v>-350.00056856195977</v>
      </c>
      <c r="M115" s="27"/>
      <c r="N115" s="3"/>
      <c r="O115" s="3"/>
      <c r="P115" s="3"/>
      <c r="Q115" s="3"/>
      <c r="R115" s="3"/>
      <c r="U115" s="3"/>
      <c r="W115" s="3"/>
      <c r="X115" s="3"/>
    </row>
    <row r="116" spans="1:24" ht="19" customHeight="1">
      <c r="A116" s="342" t="s">
        <v>515</v>
      </c>
      <c r="B116" s="26"/>
      <c r="C116" s="147">
        <f>SUM(C51:C53)-SUM(B51:B53)</f>
        <v>512</v>
      </c>
      <c r="D116" s="147">
        <f>SUM(D51:D53)-SUM(C51:C53)</f>
        <v>-954</v>
      </c>
      <c r="E116" s="147">
        <f>SUM(E51:E53)-SUM(D51:D53)</f>
        <v>285</v>
      </c>
      <c r="F116" s="147">
        <f>SUM(F51:F53)-SUM(E51:E53)</f>
        <v>573</v>
      </c>
      <c r="G116" s="147"/>
      <c r="H116" s="147">
        <f>SUM(H51:H53)-SUM(F51:F53)</f>
        <v>444.53158264503827</v>
      </c>
      <c r="I116" s="147">
        <f>SUM(I51:I53)-SUM(H51:H53)</f>
        <v>262.21352409542942</v>
      </c>
      <c r="J116" s="147">
        <f>SUM(J51:J53)-SUM(I51:I53)</f>
        <v>284.46379753207748</v>
      </c>
      <c r="K116" s="147">
        <f>SUM(K51:K53)-SUM(J51:J53)</f>
        <v>308.66317262961593</v>
      </c>
      <c r="L116" s="147">
        <f>SUM(L51:L53)-SUM(K51:K53)</f>
        <v>334.98561468699518</v>
      </c>
      <c r="M116" s="27"/>
      <c r="N116" s="3"/>
      <c r="O116" s="3"/>
      <c r="P116" s="3"/>
      <c r="Q116" s="3"/>
      <c r="R116" s="3"/>
      <c r="U116" s="3"/>
      <c r="W116" s="3"/>
      <c r="X116" s="3"/>
    </row>
    <row r="117" spans="1:24" ht="19" customHeight="1">
      <c r="A117" s="342" t="s">
        <v>516</v>
      </c>
      <c r="B117" s="26"/>
      <c r="C117" s="147">
        <f>SUM(C82:C86)-SUM(B82:B86)</f>
        <v>96</v>
      </c>
      <c r="D117" s="147">
        <f>SUM(D82:D86)-SUM(C82:C86)</f>
        <v>-1121</v>
      </c>
      <c r="E117" s="147">
        <f>SUM(E82:E86)-SUM(D82:D86)</f>
        <v>1023</v>
      </c>
      <c r="F117" s="147">
        <f>SUM(F82:F86)-SUM(E82:E86)</f>
        <v>1053</v>
      </c>
      <c r="G117" s="147"/>
      <c r="H117" s="147">
        <f ca="1">SUM(H82:H86)-SUM(F82:F86)</f>
        <v>956.85716898338615</v>
      </c>
      <c r="I117" s="147">
        <f ca="1">SUM(I82:I86)-SUM(H82:H86)</f>
        <v>614.03245667468764</v>
      </c>
      <c r="J117" s="147">
        <f ca="1">SUM(J82:J86)-SUM(I82:I86)</f>
        <v>666.13651998385831</v>
      </c>
      <c r="K117" s="147">
        <f ca="1">SUM(K82:K86)-SUM(J82:J86)</f>
        <v>722.80484703675756</v>
      </c>
      <c r="L117" s="147">
        <f ca="1">SUM(L82:L86)-SUM(K82:K86)</f>
        <v>784.44481704946884</v>
      </c>
      <c r="M117" s="27"/>
      <c r="N117" s="3"/>
      <c r="O117" s="3"/>
      <c r="P117" s="3"/>
      <c r="Q117" s="3"/>
      <c r="R117" s="3"/>
      <c r="U117" s="3"/>
      <c r="W117" s="3"/>
      <c r="X117" s="3"/>
    </row>
    <row r="118" spans="1:24" ht="19" customHeight="1">
      <c r="A118" s="342" t="s">
        <v>517</v>
      </c>
      <c r="B118" s="26"/>
      <c r="C118" s="147">
        <f>SUM(C56:C59,C63:C64,C66)-SUM(B56:B59,B63:B64,B66)</f>
        <v>127</v>
      </c>
      <c r="D118" s="147">
        <f>SUM(D56:D59,D63:D64,D66)-SUM(C56:C59,C63:C64,C66)</f>
        <v>-326</v>
      </c>
      <c r="E118" s="147">
        <f>SUM(E56:E59,E63:E64,E66)-SUM(D56:D59,D63:D64,D66)</f>
        <v>3</v>
      </c>
      <c r="F118" s="147">
        <f>SUM(F56:F59,F63:F64,F66)-SUM(E56:E59,E63:E64,E66)</f>
        <v>47</v>
      </c>
      <c r="G118" s="147"/>
      <c r="H118" s="147">
        <f>SUM(H56:H59,H63:H64,H66)-SUM(F56:F59,F63:F64,F66)</f>
        <v>2472.6126777314275</v>
      </c>
      <c r="I118" s="147">
        <f>SUM(I56:I59,I63:I64,I66)-SUM(H56:H59,H63:H64,H66)</f>
        <v>373.75799096992705</v>
      </c>
      <c r="J118" s="147">
        <f>SUM(J56:J59,J63:J64,J66)-SUM(I56:I59,I63:I64,I66)</f>
        <v>405.47343176155846</v>
      </c>
      <c r="K118" s="147">
        <f>SUM(K56:K59,K63:K64,K66)-SUM(J56:J59,J63:J64,J66)</f>
        <v>439.9671133913871</v>
      </c>
      <c r="L118" s="147">
        <f>SUM(L56:L59,L63:L64,L66)-SUM(K56:K59,K63:K64,K66)</f>
        <v>477.48700522277795</v>
      </c>
      <c r="M118" s="27"/>
      <c r="N118" s="3"/>
      <c r="O118" s="3"/>
      <c r="P118" s="3"/>
      <c r="Q118" s="3"/>
      <c r="R118" s="3"/>
      <c r="U118" s="3"/>
      <c r="W118" s="3"/>
      <c r="X118" s="3"/>
    </row>
    <row r="119" spans="1:24" ht="19" customHeight="1">
      <c r="A119" s="342" t="s">
        <v>518</v>
      </c>
      <c r="B119" s="343">
        <f>B41*(1-'Tax Rate'!$G$18/100)</f>
        <v>-269.22333333333336</v>
      </c>
      <c r="C119" s="343">
        <f>C41*(1-'Tax Rate'!$G$18/100)</f>
        <v>-311.98233333333337</v>
      </c>
      <c r="D119" s="343">
        <f>D41*(1-'Tax Rate'!$G$18/100)</f>
        <v>-352.36583333333334</v>
      </c>
      <c r="E119" s="343">
        <f>E41*(1-'Tax Rate'!$G$18/100)</f>
        <v>-332.57000000000005</v>
      </c>
      <c r="F119" s="343">
        <f>F41*(1-'Tax Rate'!$G$18/100)</f>
        <v>-319.10883333333334</v>
      </c>
      <c r="G119" s="343"/>
      <c r="H119" s="343">
        <f>H41*(1-'Tax Rate'!$G$18/100)</f>
        <v>-317.00852706089614</v>
      </c>
      <c r="I119" s="343">
        <f>I41*(1-'Tax Rate'!$G$18/100)</f>
        <v>-317.00852706089614</v>
      </c>
      <c r="J119" s="343">
        <f>J41*(1-'Tax Rate'!$G$18/100)</f>
        <v>-317.00852706089614</v>
      </c>
      <c r="K119" s="343">
        <f>K41*(1-'Tax Rate'!$G$18/100)</f>
        <v>-317.00852706089614</v>
      </c>
      <c r="L119" s="343">
        <f>L41*(1-'Tax Rate'!$G$18/100)</f>
        <v>-317.00852706089614</v>
      </c>
      <c r="M119" s="27"/>
      <c r="N119" s="3"/>
      <c r="O119" s="3"/>
      <c r="P119" s="3"/>
      <c r="Q119" s="3"/>
      <c r="R119" s="3"/>
      <c r="U119" s="3"/>
      <c r="W119" s="3"/>
      <c r="X119" s="3"/>
    </row>
    <row r="120" spans="1:24" ht="19" customHeight="1">
      <c r="A120" s="342" t="s">
        <v>519</v>
      </c>
      <c r="B120" s="343">
        <f>(1-'Tax Rate'!$G$18/100)*B42</f>
        <v>17.420333333333335</v>
      </c>
      <c r="C120" s="343">
        <f>(1-'Tax Rate'!$G$18/100)*C42</f>
        <v>20.587666666666667</v>
      </c>
      <c r="D120" s="343">
        <f>(1-'Tax Rate'!$G$18/100)*D42</f>
        <v>21.3795</v>
      </c>
      <c r="E120" s="343">
        <f>(1-'Tax Rate'!$G$18/100)*E42</f>
        <v>22.171333333333337</v>
      </c>
      <c r="F120" s="343">
        <f>(1-'Tax Rate'!$G$18/100)*F42</f>
        <v>20.587666666666667</v>
      </c>
      <c r="G120" s="343"/>
      <c r="H120" s="343">
        <f ca="1">(1-'Tax Rate'!$G$18/100)*H42</f>
        <v>25.233100082304802</v>
      </c>
      <c r="I120" s="343">
        <f ca="1">(1-'Tax Rate'!$G$18/100)*I42</f>
        <v>60.524372891476126</v>
      </c>
      <c r="J120" s="343">
        <f ca="1">(1-'Tax Rate'!$G$18/100)*J42</f>
        <v>100.55040501202942</v>
      </c>
      <c r="K120" s="343">
        <f ca="1">(1-'Tax Rate'!$G$18/100)*K42</f>
        <v>145.75630254185126</v>
      </c>
      <c r="L120" s="343">
        <f ca="1">(1-'Tax Rate'!$G$18/100)*L42</f>
        <v>196.62707056193941</v>
      </c>
      <c r="M120" s="27"/>
      <c r="N120" s="3"/>
      <c r="O120" s="3"/>
      <c r="P120" s="3"/>
      <c r="Q120" s="3"/>
      <c r="R120" s="3"/>
      <c r="U120" s="3"/>
      <c r="W120" s="3"/>
      <c r="X120" s="3"/>
    </row>
    <row r="121" spans="1:24" ht="19" customHeight="1" thickBot="1">
      <c r="A121" s="344" t="s">
        <v>520</v>
      </c>
      <c r="B121" s="345">
        <f>B114-B115-B116+B117-B118-B119-B120</f>
        <v>2384.8029999999999</v>
      </c>
      <c r="C121" s="345">
        <f>C114-C115-C116+C117-C118-C119-C120</f>
        <v>1362.3946666666668</v>
      </c>
      <c r="D121" s="345">
        <f>D114-D115-D116+D117-D118-D119-D120</f>
        <v>568.98633333333328</v>
      </c>
      <c r="E121" s="345">
        <f>E114-E115-E116+E117-E118-E119-E120</f>
        <v>2364.3986666666669</v>
      </c>
      <c r="F121" s="345">
        <f>F114-F115-F116+F117-F118-F119-F120</f>
        <v>3282.5211666666664</v>
      </c>
      <c r="G121" s="345"/>
      <c r="H121" s="345">
        <f ca="1">H114-H115-H116+H117-H118-H119-H120</f>
        <v>567.1763144178525</v>
      </c>
      <c r="I121" s="345">
        <f ca="1">I114-I115-I116+I117-I118-I119-I120</f>
        <v>2703.6558708358125</v>
      </c>
      <c r="J121" s="345">
        <f ca="1">J114-J115-J116+J117-J118-J119-J120</f>
        <v>2916.7383032016332</v>
      </c>
      <c r="K121" s="345">
        <f ca="1">K114-K115-K116+K117-K118-K119-K120</f>
        <v>3147.9429800818234</v>
      </c>
      <c r="L121" s="345">
        <f ca="1">L114-L115-L116+L117-L118-L119-L120</f>
        <v>3398.8595595905213</v>
      </c>
      <c r="M121" s="27"/>
    </row>
    <row r="122" spans="1:24" ht="19" customHeight="1" thickTop="1">
      <c r="A122" s="346"/>
      <c r="B122" s="347"/>
      <c r="C122" s="347"/>
      <c r="D122" s="347"/>
      <c r="E122" s="347"/>
      <c r="F122" s="347"/>
      <c r="G122" s="347"/>
      <c r="H122" s="347"/>
      <c r="I122" s="347"/>
      <c r="J122" s="347"/>
      <c r="K122" s="347"/>
      <c r="L122" s="347"/>
      <c r="M122" s="27"/>
    </row>
    <row r="123" spans="1:24" ht="19" customHeight="1">
      <c r="A123" s="712" t="s">
        <v>206</v>
      </c>
      <c r="B123" s="712"/>
      <c r="C123" s="347"/>
      <c r="D123" s="656" t="s">
        <v>645</v>
      </c>
      <c r="E123" s="656"/>
      <c r="F123" s="656"/>
      <c r="G123" s="656"/>
      <c r="H123" s="656"/>
      <c r="I123" s="656"/>
      <c r="J123" s="656"/>
    </row>
    <row r="124" spans="1:24" ht="19" customHeight="1">
      <c r="A124" s="348" t="s">
        <v>573</v>
      </c>
      <c r="B124" s="319">
        <f ca="1">WACC!F14</f>
        <v>0.10249854928626491</v>
      </c>
      <c r="C124" s="347"/>
      <c r="D124" s="317"/>
      <c r="E124" s="317"/>
      <c r="F124" s="317"/>
      <c r="G124" s="317"/>
      <c r="H124" s="317"/>
      <c r="I124" s="317"/>
      <c r="J124" s="317"/>
    </row>
    <row r="125" spans="1:24" ht="19" customHeight="1">
      <c r="A125" s="348" t="s">
        <v>379</v>
      </c>
      <c r="B125" s="319">
        <f>F128</f>
        <v>3.7699202065036852E-2</v>
      </c>
      <c r="C125" s="347"/>
      <c r="D125" s="123" t="s">
        <v>75</v>
      </c>
      <c r="E125" s="26"/>
      <c r="F125" s="317">
        <v>2023</v>
      </c>
      <c r="G125" s="317" t="s">
        <v>378</v>
      </c>
      <c r="H125" s="123" t="s">
        <v>379</v>
      </c>
      <c r="I125" s="123" t="s">
        <v>650</v>
      </c>
      <c r="J125" s="26"/>
    </row>
    <row r="126" spans="1:24" ht="19" customHeight="1">
      <c r="A126" s="346"/>
      <c r="B126" s="312"/>
      <c r="C126" s="347"/>
      <c r="D126" s="181" t="s">
        <v>134</v>
      </c>
      <c r="E126" s="26"/>
      <c r="F126" s="318">
        <f>'Revenue Growth'!C20</f>
        <v>0.22973515272238387</v>
      </c>
      <c r="G126" s="318">
        <f>'Revenue Growth'!D20</f>
        <v>9.1363297736570925E-2</v>
      </c>
      <c r="H126" s="319">
        <f>'Revenue Growth'!E20</f>
        <v>4.1528147123543824E-3</v>
      </c>
      <c r="I126" s="320">
        <v>0.7</v>
      </c>
      <c r="J126" s="26"/>
    </row>
    <row r="127" spans="1:24" ht="19" customHeight="1">
      <c r="D127" s="181" t="s">
        <v>173</v>
      </c>
      <c r="E127" s="26"/>
      <c r="F127" s="318">
        <f>'Revenue Growth'!C21</f>
        <v>0.30675290302434066</v>
      </c>
      <c r="G127" s="318">
        <f>'Revenue Growth'!D21</f>
        <v>4.9083316512498865E-2</v>
      </c>
      <c r="H127" s="319">
        <f>'Revenue Growth'!E21</f>
        <v>7.5992771546960457E-3</v>
      </c>
      <c r="I127" s="320">
        <v>0.3</v>
      </c>
      <c r="J127" s="26"/>
    </row>
    <row r="128" spans="1:24" ht="19" customHeight="1" thickBot="1">
      <c r="D128" s="321" t="s">
        <v>564</v>
      </c>
      <c r="E128" s="321"/>
      <c r="F128" s="322">
        <f>H126*I126+H127*I127+'Ex1. Population growth &amp; est'!B31</f>
        <v>3.7699202065036852E-2</v>
      </c>
      <c r="G128" s="318"/>
      <c r="H128" s="319"/>
      <c r="I128" s="320"/>
      <c r="J128" s="26"/>
    </row>
    <row r="129" spans="1:13" ht="19" customHeight="1" thickTop="1">
      <c r="A129" s="355"/>
      <c r="B129" s="355"/>
      <c r="C129" s="355"/>
      <c r="D129" s="355"/>
      <c r="E129" s="355"/>
      <c r="F129" s="355"/>
      <c r="G129" s="355"/>
      <c r="H129" s="347"/>
      <c r="I129" s="347"/>
      <c r="J129" s="347"/>
      <c r="K129" s="347"/>
      <c r="L129" s="347"/>
      <c r="M129" s="27"/>
    </row>
    <row r="130" spans="1:13" ht="19" customHeight="1">
      <c r="A130" s="349" t="s">
        <v>565</v>
      </c>
      <c r="B130" s="350">
        <v>2023</v>
      </c>
      <c r="C130" s="350">
        <v>2024</v>
      </c>
      <c r="D130" s="350">
        <v>2025</v>
      </c>
      <c r="E130" s="350">
        <v>2026</v>
      </c>
      <c r="F130" s="350">
        <v>2027</v>
      </c>
    </row>
    <row r="131" spans="1:13" ht="19" customHeight="1">
      <c r="A131" s="351" t="s">
        <v>566</v>
      </c>
      <c r="B131" s="352">
        <f ca="1">H121</f>
        <v>567.1763144178525</v>
      </c>
      <c r="C131" s="352">
        <f ca="1">I121</f>
        <v>2703.6558708358125</v>
      </c>
      <c r="D131" s="352">
        <f ca="1">J121</f>
        <v>2916.7383032016332</v>
      </c>
      <c r="E131" s="352">
        <f ca="1">K121</f>
        <v>3147.9429800818234</v>
      </c>
      <c r="F131" s="352">
        <f ca="1">L121</f>
        <v>3398.8595595905213</v>
      </c>
    </row>
    <row r="132" spans="1:13" ht="19" customHeight="1">
      <c r="A132" s="351" t="s">
        <v>567</v>
      </c>
      <c r="B132" s="352"/>
      <c r="C132" s="352"/>
      <c r="D132" s="352"/>
      <c r="E132" s="352"/>
      <c r="F132" s="352">
        <f ca="1">(F131*(1+B125))/(B124-B125)</f>
        <v>54429.465791945113</v>
      </c>
    </row>
    <row r="133" spans="1:13" ht="18" thickBot="1">
      <c r="A133" s="353" t="s">
        <v>568</v>
      </c>
      <c r="B133" s="354">
        <f ca="1">B131</f>
        <v>567.1763144178525</v>
      </c>
      <c r="C133" s="354">
        <f ca="1">C132+C131</f>
        <v>2703.6558708358125</v>
      </c>
      <c r="D133" s="354">
        <f ca="1">D132+D131</f>
        <v>2916.7383032016332</v>
      </c>
      <c r="E133" s="354">
        <f ca="1">E132+E131</f>
        <v>3147.9429800818234</v>
      </c>
      <c r="F133" s="354">
        <f ca="1">F132+F131</f>
        <v>57828.325351535634</v>
      </c>
    </row>
    <row r="134" spans="1:13" ht="18" thickTop="1">
      <c r="C134" s="27"/>
    </row>
    <row r="135" spans="1:13">
      <c r="A135" s="713" t="s">
        <v>657</v>
      </c>
      <c r="B135" s="713"/>
      <c r="C135" s="27"/>
      <c r="D135" s="707" t="s">
        <v>1329</v>
      </c>
      <c r="E135" s="707"/>
      <c r="F135" s="707"/>
      <c r="G135" s="707"/>
      <c r="H135" s="707"/>
      <c r="I135" s="707"/>
    </row>
    <row r="136" spans="1:13">
      <c r="A136" s="356" t="s">
        <v>512</v>
      </c>
      <c r="B136" s="357">
        <f ca="1">XNPV(B124,B133:F133,B130:F130)</f>
        <v>67097.227129624705</v>
      </c>
      <c r="C136" s="27"/>
      <c r="D136" s="84"/>
      <c r="E136" s="198" t="s">
        <v>573</v>
      </c>
      <c r="F136" s="723" t="s">
        <v>379</v>
      </c>
      <c r="G136" s="723"/>
      <c r="H136" s="723"/>
      <c r="I136" s="723"/>
    </row>
    <row r="137" spans="1:13">
      <c r="A137" s="351" t="s">
        <v>654</v>
      </c>
      <c r="B137" s="357">
        <f>F50</f>
        <v>507</v>
      </c>
      <c r="C137" s="347"/>
      <c r="D137" s="84" t="s">
        <v>673</v>
      </c>
      <c r="E137" s="11" t="s">
        <v>1330</v>
      </c>
      <c r="F137" s="11" t="s">
        <v>1332</v>
      </c>
      <c r="G137" s="11"/>
      <c r="H137" s="11"/>
      <c r="I137" s="11"/>
    </row>
    <row r="138" spans="1:13">
      <c r="A138" s="351" t="s">
        <v>655</v>
      </c>
      <c r="B138" s="357">
        <f ca="1">B136+B137</f>
        <v>67604.227129624705</v>
      </c>
      <c r="C138" s="200"/>
      <c r="D138" s="84" t="s">
        <v>672</v>
      </c>
      <c r="E138" s="11" t="s">
        <v>1331</v>
      </c>
      <c r="F138" s="11" t="s">
        <v>1333</v>
      </c>
      <c r="G138" s="11"/>
      <c r="H138" s="11"/>
      <c r="I138" s="11"/>
    </row>
    <row r="139" spans="1:13">
      <c r="A139" s="351" t="s">
        <v>571</v>
      </c>
      <c r="B139" s="357">
        <f>-(F81+F89+F93)</f>
        <v>-11098</v>
      </c>
      <c r="C139" s="200"/>
    </row>
    <row r="140" spans="1:13">
      <c r="A140" s="351" t="s">
        <v>572</v>
      </c>
      <c r="B140" s="357">
        <f ca="1">B138+B139</f>
        <v>56506.227129624705</v>
      </c>
    </row>
    <row r="141" spans="1:13" ht="18" thickBot="1">
      <c r="A141" s="358" t="s">
        <v>688</v>
      </c>
      <c r="B141" s="359">
        <f ca="1">B140/Finratios!F46</f>
        <v>174.18689004199973</v>
      </c>
    </row>
    <row r="142" spans="1:13" ht="18" thickTop="1">
      <c r="A142" s="348" t="s">
        <v>1334</v>
      </c>
      <c r="B142" s="429">
        <f>AVERAGEIF(B147:L163,"&lt;"&amp;172.14,B147:L163)</f>
        <v>144.02919309308641</v>
      </c>
    </row>
    <row r="143" spans="1:13">
      <c r="A143" s="348" t="s">
        <v>1335</v>
      </c>
      <c r="B143" s="429">
        <f>AVERAGEIF(B147:L163,"&gt;"&amp;172.14,B147:L163)</f>
        <v>206.75354394648406</v>
      </c>
    </row>
    <row r="145" spans="1:29">
      <c r="A145" s="713" t="s">
        <v>681</v>
      </c>
      <c r="B145" s="713"/>
      <c r="C145" s="713"/>
      <c r="D145" s="713"/>
      <c r="E145" s="713"/>
      <c r="F145" s="713"/>
      <c r="G145" s="713"/>
      <c r="H145" s="713"/>
      <c r="I145" s="713"/>
      <c r="J145" s="713"/>
      <c r="K145" s="713"/>
      <c r="L145" s="713"/>
    </row>
    <row r="146" spans="1:29">
      <c r="A146" s="428">
        <f ca="1">B141</f>
        <v>174.18689004199973</v>
      </c>
      <c r="B146" s="422">
        <v>1.7500000000000002E-2</v>
      </c>
      <c r="C146" s="422">
        <v>0.02</v>
      </c>
      <c r="D146" s="422">
        <v>2.2499999999999999E-2</v>
      </c>
      <c r="E146" s="422">
        <v>2.5000000000000001E-2</v>
      </c>
      <c r="F146" s="422">
        <v>2.75E-2</v>
      </c>
      <c r="G146" s="422">
        <v>0.03</v>
      </c>
      <c r="H146" s="422">
        <v>3.2500000000000001E-2</v>
      </c>
      <c r="I146" s="422">
        <v>3.5000000000000003E-2</v>
      </c>
      <c r="J146" s="422">
        <v>3.7499999999999999E-2</v>
      </c>
      <c r="K146" s="422">
        <v>0.04</v>
      </c>
      <c r="L146" s="422">
        <v>4.2500000000000003E-2</v>
      </c>
    </row>
    <row r="147" spans="1:29">
      <c r="A147" s="427">
        <v>0.08</v>
      </c>
      <c r="B147" s="423">
        <f t="dataTable" ref="B147:L163" dt2D="1" dtr="1" r1="B125" r2="B124" ca="1"/>
        <v>177.01449396036816</v>
      </c>
      <c r="C147" s="423">
        <v>184.55184223767881</v>
      </c>
      <c r="D147" s="423">
        <v>192.74461210432079</v>
      </c>
      <c r="E147" s="424">
        <v>201.68217923156672</v>
      </c>
      <c r="F147" s="424">
        <v>211.47094322807399</v>
      </c>
      <c r="G147" s="424">
        <v>222.23858362423209</v>
      </c>
      <c r="H147" s="424">
        <v>234.13965985156466</v>
      </c>
      <c r="I147" s="424">
        <v>247.36307788193429</v>
      </c>
      <c r="J147" s="424">
        <v>262.14219215117083</v>
      </c>
      <c r="K147" s="425">
        <v>278.768695704062</v>
      </c>
      <c r="L147" s="425">
        <v>297.61206639733859</v>
      </c>
    </row>
    <row r="148" spans="1:29">
      <c r="A148" s="427">
        <v>8.2500000000000004E-2</v>
      </c>
      <c r="B148" s="423">
        <v>170.45480939277846</v>
      </c>
      <c r="C148" s="423">
        <v>177.42829039388272</v>
      </c>
      <c r="D148" s="423">
        <v>184.98289481174558</v>
      </c>
      <c r="E148" s="424">
        <v>193.19442135290095</v>
      </c>
      <c r="F148" s="424">
        <v>202.15245030688862</v>
      </c>
      <c r="G148" s="424">
        <v>211.96362487554174</v>
      </c>
      <c r="H148" s="424">
        <v>222.7559169010602</v>
      </c>
      <c r="I148" s="424">
        <v>234.68423966610692</v>
      </c>
      <c r="J148" s="424">
        <v>247.93793162726993</v>
      </c>
      <c r="K148" s="425">
        <v>262.75088146621687</v>
      </c>
      <c r="L148" s="425">
        <v>279.41545003503211</v>
      </c>
    </row>
    <row r="149" spans="1:29">
      <c r="A149" s="427">
        <v>8.5000000000000006E-2</v>
      </c>
      <c r="B149" s="423">
        <v>164.38099249980829</v>
      </c>
      <c r="C149" s="423">
        <v>170.85266781748382</v>
      </c>
      <c r="D149" s="423">
        <v>177.84207716057341</v>
      </c>
      <c r="E149" s="424">
        <v>185.41393728225381</v>
      </c>
      <c r="F149" s="424">
        <v>193.64422002321078</v>
      </c>
      <c r="G149" s="424">
        <v>202.62271028607285</v>
      </c>
      <c r="H149" s="424">
        <v>212.45629485968377</v>
      </c>
      <c r="I149" s="424">
        <v>223.27323789065576</v>
      </c>
      <c r="J149" s="424">
        <v>235.2288065038353</v>
      </c>
      <c r="K149" s="425">
        <v>248.51277162959045</v>
      </c>
      <c r="L149" s="425">
        <v>263.35955618190491</v>
      </c>
    </row>
    <row r="150" spans="1:29" s="57" customFormat="1">
      <c r="A150" s="427">
        <v>8.7499999999999994E-2</v>
      </c>
      <c r="B150" s="423">
        <v>158.74098613594367</v>
      </c>
      <c r="C150" s="423">
        <v>164.76409358815033</v>
      </c>
      <c r="D150" s="423">
        <v>171.25051699821901</v>
      </c>
      <c r="E150" s="424">
        <v>178.25585428109324</v>
      </c>
      <c r="F150" s="424">
        <v>185.84496967087364</v>
      </c>
      <c r="G150" s="424">
        <v>194.09400813802625</v>
      </c>
      <c r="H150" s="424">
        <v>203.09295919310176</v>
      </c>
      <c r="I150" s="424">
        <v>212.94895320580355</v>
      </c>
      <c r="J150" s="424">
        <v>223.79054661977557</v>
      </c>
      <c r="K150" s="425">
        <v>235.77336039311308</v>
      </c>
      <c r="L150" s="425">
        <v>249.08759791904356</v>
      </c>
      <c r="M150" s="3"/>
      <c r="N150" s="1"/>
      <c r="O150" s="1"/>
      <c r="S150" s="3"/>
      <c r="T150" s="3"/>
      <c r="V150" s="3"/>
      <c r="X150" s="129"/>
      <c r="Y150" s="3"/>
      <c r="Z150" s="3"/>
      <c r="AA150" s="3"/>
      <c r="AB150" s="3"/>
      <c r="AC150" s="3"/>
    </row>
    <row r="151" spans="1:29" s="57" customFormat="1" ht="18" customHeight="1">
      <c r="A151" s="427">
        <v>0.09</v>
      </c>
      <c r="B151" s="423">
        <v>153.48991345101319</v>
      </c>
      <c r="C151" s="423">
        <v>159.11038405927098</v>
      </c>
      <c r="D151" s="423">
        <v>165.14718582369593</v>
      </c>
      <c r="E151" s="424">
        <v>171.6483569546152</v>
      </c>
      <c r="F151" s="424">
        <v>178.669621776008</v>
      </c>
      <c r="G151" s="424">
        <v>186.27599199918359</v>
      </c>
      <c r="H151" s="424">
        <v>194.54378572002653</v>
      </c>
      <c r="I151" s="424">
        <v>203.5631970518553</v>
      </c>
      <c r="J151" s="424">
        <v>213.44159993909614</v>
      </c>
      <c r="K151" s="425">
        <v>224.30784311506122</v>
      </c>
      <c r="L151" s="425">
        <v>236.31790136218052</v>
      </c>
      <c r="M151" s="330"/>
      <c r="N151" s="330"/>
      <c r="O151" s="260"/>
      <c r="S151" s="3"/>
      <c r="T151" s="3"/>
      <c r="V151" s="3"/>
      <c r="X151" s="129"/>
      <c r="Y151" s="3"/>
      <c r="Z151" s="3"/>
      <c r="AA151" s="3"/>
      <c r="AB151" s="3"/>
      <c r="AC151" s="3"/>
    </row>
    <row r="152" spans="1:29" s="57" customFormat="1" ht="17" customHeight="1">
      <c r="A152" s="427">
        <v>9.2499999999999999E-2</v>
      </c>
      <c r="B152" s="424">
        <v>148.58888117430251</v>
      </c>
      <c r="C152" s="424">
        <v>153.84655332800855</v>
      </c>
      <c r="D152" s="424">
        <v>159.47977349269357</v>
      </c>
      <c r="E152" s="424">
        <v>165.53026922513303</v>
      </c>
      <c r="F152" s="424">
        <v>172.04618770622176</v>
      </c>
      <c r="G152" s="424">
        <v>179.08337966579751</v>
      </c>
      <c r="H152" s="424">
        <v>186.70700428867127</v>
      </c>
      <c r="I152" s="424">
        <v>194.99355279179491</v>
      </c>
      <c r="J152" s="424">
        <v>204.03342388611162</v>
      </c>
      <c r="K152" s="425">
        <v>213.93423508464895</v>
      </c>
      <c r="L152" s="425">
        <v>224.82512740304</v>
      </c>
      <c r="M152" s="331"/>
      <c r="N152" s="332"/>
      <c r="O152" s="261"/>
      <c r="S152" s="3"/>
      <c r="T152" s="3"/>
      <c r="V152" s="3"/>
      <c r="X152" s="129"/>
      <c r="Y152" s="3"/>
      <c r="Z152" s="3"/>
      <c r="AA152" s="3"/>
      <c r="AB152" s="3"/>
      <c r="AC152" s="3"/>
    </row>
    <row r="153" spans="1:29" s="57" customFormat="1" ht="18">
      <c r="A153" s="427">
        <v>9.5000000000000001E-2</v>
      </c>
      <c r="B153" s="424">
        <v>144.00401452109796</v>
      </c>
      <c r="C153" s="424">
        <v>148.93361361134205</v>
      </c>
      <c r="D153" s="424">
        <v>154.20318505263745</v>
      </c>
      <c r="E153" s="424">
        <v>159.84915445402541</v>
      </c>
      <c r="F153" s="424">
        <v>165.91334381107177</v>
      </c>
      <c r="G153" s="424">
        <v>172.44400927250626</v>
      </c>
      <c r="H153" s="424">
        <v>179.4971279708555</v>
      </c>
      <c r="I153" s="424">
        <v>187.13800656073388</v>
      </c>
      <c r="J153" s="424">
        <v>195.44330937581904</v>
      </c>
      <c r="K153" s="425">
        <v>204.50363971954835</v>
      </c>
      <c r="L153" s="425">
        <v>214.42685866744233</v>
      </c>
      <c r="M153" s="333"/>
      <c r="N153" s="334"/>
      <c r="O153" s="261"/>
      <c r="S153" s="3"/>
      <c r="T153" s="3"/>
      <c r="V153" s="3"/>
      <c r="X153" s="129"/>
      <c r="Y153" s="3"/>
      <c r="Z153" s="3"/>
      <c r="AA153" s="3"/>
      <c r="AB153" s="3"/>
      <c r="AC153" s="3"/>
    </row>
    <row r="154" spans="1:29" s="57" customFormat="1" ht="18">
      <c r="A154" s="427">
        <v>9.7500000000000003E-2</v>
      </c>
      <c r="B154" s="424">
        <v>139.70567305425317</v>
      </c>
      <c r="C154" s="424">
        <v>144.33760780739109</v>
      </c>
      <c r="D154" s="424">
        <v>149.27833821073821</v>
      </c>
      <c r="E154" s="424">
        <v>154.55980864190241</v>
      </c>
      <c r="F154" s="424">
        <v>160.21852696100694</v>
      </c>
      <c r="G154" s="424">
        <v>166.29640960004508</v>
      </c>
      <c r="H154" s="424">
        <v>172.84182167285536</v>
      </c>
      <c r="I154" s="424">
        <v>179.91086671149057</v>
      </c>
      <c r="J154" s="424">
        <v>187.56899883667865</v>
      </c>
      <c r="K154" s="425">
        <v>195.89305549449176</v>
      </c>
      <c r="L154" s="425">
        <v>204.97384457574239</v>
      </c>
      <c r="M154" s="335"/>
      <c r="N154" s="336"/>
      <c r="O154" s="261"/>
      <c r="S154" s="3"/>
      <c r="T154" s="3"/>
      <c r="V154" s="3"/>
      <c r="X154" s="129"/>
      <c r="Y154" s="3"/>
      <c r="Z154" s="3"/>
      <c r="AA154" s="3"/>
      <c r="AB154" s="3"/>
      <c r="AC154" s="3"/>
    </row>
    <row r="155" spans="1:29" s="57" customFormat="1" ht="18">
      <c r="A155" s="427">
        <v>0.1</v>
      </c>
      <c r="B155" s="424">
        <v>135.6678091163802</v>
      </c>
      <c r="C155" s="423">
        <v>140.02882345149217</v>
      </c>
      <c r="D155" s="426">
        <v>144.67119355015967</v>
      </c>
      <c r="E155" s="426">
        <v>149.6230549887384</v>
      </c>
      <c r="F155" s="426">
        <v>154.91642411273634</v>
      </c>
      <c r="G155" s="426">
        <v>160.58789103130556</v>
      </c>
      <c r="H155" s="426">
        <v>166.67946661050951</v>
      </c>
      <c r="I155" s="426">
        <v>173.23962492657532</v>
      </c>
      <c r="J155" s="424">
        <v>180.32459590792638</v>
      </c>
      <c r="K155" s="425">
        <v>187.99998113772338</v>
      </c>
      <c r="L155" s="425">
        <v>196.34279117011141</v>
      </c>
      <c r="M155" s="333"/>
      <c r="N155" s="333"/>
      <c r="O155" s="261"/>
      <c r="S155" s="3"/>
      <c r="T155" s="3"/>
      <c r="V155" s="3"/>
      <c r="X155" s="129"/>
      <c r="Y155" s="3"/>
      <c r="Z155" s="3"/>
      <c r="AA155" s="3"/>
      <c r="AB155" s="3"/>
      <c r="AC155" s="3"/>
    </row>
    <row r="156" spans="1:29" s="57" customFormat="1" ht="17" customHeight="1">
      <c r="A156" s="427">
        <f ca="1">B124</f>
        <v>0.10249854928626491</v>
      </c>
      <c r="B156" s="424">
        <v>135.6678091163802</v>
      </c>
      <c r="C156" s="424">
        <v>140.02882345149217</v>
      </c>
      <c r="D156" s="424">
        <v>144.67119355015967</v>
      </c>
      <c r="E156" s="424">
        <v>149.6230549887384</v>
      </c>
      <c r="F156" s="424">
        <v>154.91642411273634</v>
      </c>
      <c r="G156" s="424">
        <v>160.58789103130556</v>
      </c>
      <c r="H156" s="424">
        <v>166.67946661050951</v>
      </c>
      <c r="I156" s="424">
        <v>173.23962492657532</v>
      </c>
      <c r="J156" s="424">
        <v>180.32459590792638</v>
      </c>
      <c r="K156" s="425">
        <v>187.99998113772338</v>
      </c>
      <c r="L156" s="425">
        <v>196.34279117011141</v>
      </c>
      <c r="M156" s="333"/>
      <c r="N156" s="333"/>
      <c r="O156" s="261"/>
      <c r="S156" s="3"/>
      <c r="T156" s="3"/>
      <c r="V156" s="3"/>
      <c r="X156" s="129"/>
      <c r="Y156" s="3"/>
      <c r="Z156" s="3"/>
      <c r="AA156" s="3"/>
      <c r="AB156" s="3"/>
      <c r="AC156" s="3"/>
    </row>
    <row r="157" spans="1:29" s="57" customFormat="1" ht="18">
      <c r="A157" s="427">
        <v>0.105</v>
      </c>
      <c r="B157" s="424">
        <v>128.28420757130601</v>
      </c>
      <c r="C157" s="424">
        <v>132.17154714317138</v>
      </c>
      <c r="D157" s="424">
        <v>136.29448305272558</v>
      </c>
      <c r="E157" s="424">
        <v>140.67510245662689</v>
      </c>
      <c r="F157" s="424">
        <v>145.33834246723151</v>
      </c>
      <c r="G157" s="424">
        <v>150.31246514520979</v>
      </c>
      <c r="H157" s="424">
        <v>155.62963076649689</v>
      </c>
      <c r="I157" s="424">
        <v>161.32659393216164</v>
      </c>
      <c r="J157" s="424">
        <v>167.44555436935715</v>
      </c>
      <c r="K157" s="425">
        <v>174.03520407095232</v>
      </c>
      <c r="L157" s="425">
        <v>181.15202574867507</v>
      </c>
      <c r="M157" s="333"/>
      <c r="N157" s="333"/>
      <c r="O157" s="261"/>
      <c r="S157" s="3"/>
      <c r="T157" s="3"/>
      <c r="V157" s="3"/>
      <c r="X157" s="129"/>
      <c r="Y157" s="3"/>
      <c r="Z157" s="3"/>
      <c r="AA157" s="3"/>
      <c r="AB157" s="3"/>
      <c r="AC157" s="3"/>
    </row>
    <row r="158" spans="1:29" s="57" customFormat="1" ht="18">
      <c r="A158" s="427">
        <v>0.1075</v>
      </c>
      <c r="B158" s="424">
        <v>124.90001865820567</v>
      </c>
      <c r="C158" s="423">
        <v>128.5796100721544</v>
      </c>
      <c r="D158" s="426">
        <v>132.47564803986481</v>
      </c>
      <c r="E158" s="426">
        <v>136.60780952076985</v>
      </c>
      <c r="F158" s="426">
        <v>140.99823109423144</v>
      </c>
      <c r="G158" s="426">
        <v>145.67190567243247</v>
      </c>
      <c r="H158" s="426">
        <v>150.65715855584688</v>
      </c>
      <c r="I158" s="426">
        <v>155.98622198294504</v>
      </c>
      <c r="J158" s="424">
        <v>161.6959327976931</v>
      </c>
      <c r="K158" s="425">
        <v>167.82858515427435</v>
      </c>
      <c r="L158" s="425">
        <v>174.4329799998234</v>
      </c>
      <c r="M158" s="333"/>
      <c r="N158" s="333"/>
      <c r="O158" s="261"/>
      <c r="S158" s="3"/>
      <c r="T158" s="3"/>
      <c r="V158" s="3"/>
      <c r="X158" s="129"/>
      <c r="Y158" s="3"/>
      <c r="Z158" s="3"/>
      <c r="AA158" s="3"/>
      <c r="AB158" s="3"/>
      <c r="AC158" s="3"/>
    </row>
    <row r="159" spans="1:29" s="57" customFormat="1" ht="18">
      <c r="A159" s="427">
        <v>0.11</v>
      </c>
      <c r="B159" s="424">
        <v>121.69873419501874</v>
      </c>
      <c r="C159" s="424">
        <v>125.18719967292373</v>
      </c>
      <c r="D159" s="424">
        <v>128.87500603528036</v>
      </c>
      <c r="E159" s="424">
        <v>132.77974218365802</v>
      </c>
      <c r="F159" s="424">
        <v>136.9211290076949</v>
      </c>
      <c r="G159" s="424">
        <v>141.32135250823416</v>
      </c>
      <c r="H159" s="424">
        <v>146.00546139590489</v>
      </c>
      <c r="I159" s="424">
        <v>151.0018442094204</v>
      </c>
      <c r="J159" s="424">
        <v>156.34280514800594</v>
      </c>
      <c r="K159" s="425">
        <v>162.0652632964904</v>
      </c>
      <c r="L159" s="425">
        <v>168.21160723375152</v>
      </c>
      <c r="M159" s="333"/>
      <c r="N159" s="333"/>
      <c r="O159" s="261"/>
      <c r="S159" s="3"/>
      <c r="T159" s="3"/>
      <c r="V159" s="3"/>
      <c r="X159" s="129"/>
      <c r="Y159" s="3"/>
      <c r="Z159" s="3"/>
      <c r="AA159" s="3"/>
      <c r="AB159" s="3"/>
      <c r="AC159" s="3"/>
    </row>
    <row r="160" spans="1:29" s="57" customFormat="1" ht="18">
      <c r="A160" s="427">
        <v>0.1125</v>
      </c>
      <c r="B160" s="424">
        <v>118.66591443002827</v>
      </c>
      <c r="C160" s="423">
        <v>121.97813818257788</v>
      </c>
      <c r="D160" s="426">
        <v>125.47437436582472</v>
      </c>
      <c r="E160" s="426">
        <v>129.17039547382851</v>
      </c>
      <c r="F160" s="426">
        <v>133.08382958818547</v>
      </c>
      <c r="G160" s="426">
        <v>137.23444152765498</v>
      </c>
      <c r="H160" s="426">
        <v>141.6444667133413</v>
      </c>
      <c r="I160" s="426">
        <v>146.33900965294291</v>
      </c>
      <c r="J160" s="424">
        <v>151.34652212185128</v>
      </c>
      <c r="K160" s="425">
        <v>156.69938027827055</v>
      </c>
      <c r="L160" s="425">
        <v>162.43458544586264</v>
      </c>
      <c r="M160" s="333"/>
      <c r="N160" s="333"/>
      <c r="O160" s="261"/>
      <c r="S160" s="3"/>
      <c r="T160" s="3"/>
      <c r="V160" s="3"/>
      <c r="X160" s="129"/>
      <c r="Y160" s="3"/>
      <c r="Z160" s="3"/>
      <c r="AA160" s="3"/>
      <c r="AB160" s="3"/>
      <c r="AC160" s="3"/>
    </row>
    <row r="161" spans="1:29" s="57" customFormat="1" ht="18">
      <c r="A161" s="427">
        <v>0.115</v>
      </c>
      <c r="B161" s="424">
        <v>115.78860061128908</v>
      </c>
      <c r="C161" s="424">
        <v>118.93795076021078</v>
      </c>
      <c r="D161" s="424">
        <v>122.25753605231743</v>
      </c>
      <c r="E161" s="424">
        <v>125.76154274954109</v>
      </c>
      <c r="F161" s="424">
        <v>129.46577840089185</v>
      </c>
      <c r="G161" s="424">
        <v>133.38791026702793</v>
      </c>
      <c r="H161" s="424">
        <v>137.54774709474799</v>
      </c>
      <c r="I161" s="424">
        <v>141.96757372420061</v>
      </c>
      <c r="J161" s="424">
        <v>146.67255045877917</v>
      </c>
      <c r="K161" s="425">
        <v>151.69119230899631</v>
      </c>
      <c r="L161" s="425">
        <v>157.05594739026287</v>
      </c>
      <c r="M161" s="333"/>
      <c r="N161" s="333"/>
      <c r="O161" s="261"/>
      <c r="S161" s="3"/>
      <c r="T161" s="3"/>
      <c r="V161" s="3"/>
      <c r="X161" s="129"/>
      <c r="Y161" s="3"/>
      <c r="Z161" s="3"/>
      <c r="AA161" s="3"/>
      <c r="AB161" s="3"/>
      <c r="AC161" s="3"/>
    </row>
    <row r="162" spans="1:29" s="57" customFormat="1" ht="17" customHeight="1">
      <c r="A162" s="427">
        <v>0.11749999999999999</v>
      </c>
      <c r="B162" s="424">
        <v>113.05512986165979</v>
      </c>
      <c r="C162" s="424">
        <v>116.05364716358201</v>
      </c>
      <c r="D162" s="424">
        <v>119.20998116560536</v>
      </c>
      <c r="E162" s="424">
        <v>122.53692781638676</v>
      </c>
      <c r="F162" s="424">
        <v>126.04870483665604</v>
      </c>
      <c r="G162" s="424">
        <v>129.76115482951209</v>
      </c>
      <c r="H162" s="424">
        <v>133.69198423371267</v>
      </c>
      <c r="I162" s="424">
        <v>137.86104572301628</v>
      </c>
      <c r="J162" s="424">
        <v>142.29067355540138</v>
      </c>
      <c r="K162" s="425">
        <v>147.0060838285855</v>
      </c>
      <c r="L162" s="425">
        <v>152.03585478664854</v>
      </c>
      <c r="M162" s="3"/>
      <c r="N162" s="337"/>
      <c r="O162" s="337"/>
      <c r="S162" s="3"/>
      <c r="T162" s="3"/>
      <c r="V162" s="3"/>
      <c r="X162" s="129"/>
      <c r="Y162" s="3"/>
      <c r="Z162" s="3"/>
      <c r="AA162" s="3"/>
      <c r="AB162" s="3"/>
      <c r="AC162" s="3"/>
    </row>
    <row r="163" spans="1:29" s="57" customFormat="1">
      <c r="A163" s="427">
        <v>0.12</v>
      </c>
      <c r="B163" s="424">
        <v>110.45497714529293</v>
      </c>
      <c r="C163" s="423">
        <v>113.3135361742869</v>
      </c>
      <c r="D163" s="426">
        <v>116.31868797399846</v>
      </c>
      <c r="E163" s="426">
        <v>119.4820056579054</v>
      </c>
      <c r="F163" s="426">
        <v>122.81631348688842</v>
      </c>
      <c r="G163" s="426">
        <v>126.33586063970381</v>
      </c>
      <c r="H163" s="426">
        <v>130.05652477268009</v>
      </c>
      <c r="I163" s="426">
        <v>133.99605150171377</v>
      </c>
      <c r="J163" s="424">
        <v>138.17433742644653</v>
      </c>
      <c r="K163" s="425">
        <v>142.613766221475</v>
      </c>
      <c r="L163" s="425">
        <v>147.3396097774731</v>
      </c>
      <c r="M163" s="3"/>
      <c r="N163" s="337"/>
      <c r="O163" s="337"/>
      <c r="S163" s="3"/>
      <c r="T163" s="3"/>
      <c r="V163" s="3"/>
      <c r="X163" s="129"/>
      <c r="Y163" s="3"/>
      <c r="Z163" s="3"/>
      <c r="AA163" s="3"/>
      <c r="AB163" s="3"/>
      <c r="AC163" s="3"/>
    </row>
    <row r="164" spans="1:29" s="57" customFormat="1">
      <c r="E164" s="3"/>
      <c r="F164" s="3"/>
      <c r="G164" s="3"/>
      <c r="H164" s="3"/>
      <c r="I164" s="3"/>
      <c r="J164" s="3"/>
      <c r="K164" s="3"/>
      <c r="L164" s="3"/>
      <c r="M164" s="3"/>
      <c r="N164" s="337"/>
      <c r="O164" s="337"/>
      <c r="S164" s="3"/>
      <c r="T164" s="3"/>
      <c r="V164" s="3"/>
      <c r="X164" s="129"/>
      <c r="Y164" s="3"/>
      <c r="Z164" s="3"/>
      <c r="AA164" s="3"/>
      <c r="AB164" s="3"/>
      <c r="AC164" s="3"/>
    </row>
    <row r="165" spans="1:29" s="57" customFormat="1">
      <c r="E165" s="3"/>
      <c r="F165" s="3"/>
      <c r="G165" s="3"/>
      <c r="H165" s="3"/>
      <c r="I165" s="3"/>
      <c r="J165" s="3"/>
      <c r="K165" s="3"/>
      <c r="L165" s="3"/>
      <c r="M165" s="3"/>
      <c r="N165" s="337"/>
      <c r="O165" s="337"/>
      <c r="S165" s="3"/>
      <c r="T165" s="3"/>
      <c r="V165" s="3"/>
      <c r="X165" s="129"/>
      <c r="Y165" s="3"/>
      <c r="Z165" s="3"/>
      <c r="AA165" s="3"/>
      <c r="AB165" s="3"/>
      <c r="AC165" s="3"/>
    </row>
    <row r="166" spans="1:29" s="57" customFormat="1">
      <c r="E166" s="3"/>
      <c r="F166" s="3"/>
      <c r="G166" s="3"/>
      <c r="H166" s="3"/>
      <c r="I166" s="3"/>
      <c r="J166" s="3"/>
      <c r="K166" s="3"/>
      <c r="L166" s="3"/>
      <c r="M166" s="3"/>
      <c r="N166" s="337"/>
      <c r="O166" s="337"/>
      <c r="S166" s="3"/>
      <c r="T166" s="3"/>
      <c r="V166" s="3"/>
      <c r="X166" s="129"/>
      <c r="Y166" s="3"/>
      <c r="Z166" s="3"/>
      <c r="AA166" s="3"/>
      <c r="AB166" s="3"/>
      <c r="AC166" s="3"/>
    </row>
    <row r="167" spans="1:29" s="57" customFormat="1">
      <c r="E167" s="3"/>
      <c r="F167" s="3"/>
      <c r="G167" s="3"/>
      <c r="H167" s="3"/>
      <c r="I167" s="3"/>
      <c r="J167" s="3"/>
      <c r="K167" s="3"/>
      <c r="L167" s="3"/>
      <c r="M167" s="3"/>
      <c r="N167" s="337"/>
      <c r="O167" s="337"/>
      <c r="S167" s="3"/>
      <c r="T167" s="3"/>
      <c r="V167" s="3"/>
      <c r="X167" s="129"/>
      <c r="Y167" s="3"/>
      <c r="Z167" s="3"/>
      <c r="AA167" s="3"/>
      <c r="AB167" s="3"/>
      <c r="AC167" s="3"/>
    </row>
    <row r="168" spans="1:29" s="57" customFormat="1">
      <c r="E168" s="3"/>
      <c r="F168" s="3"/>
      <c r="G168" s="3"/>
      <c r="H168" s="3"/>
      <c r="I168" s="3"/>
      <c r="J168" s="3"/>
      <c r="K168" s="3"/>
      <c r="L168" s="3"/>
      <c r="M168" s="3"/>
      <c r="N168" s="337"/>
      <c r="O168" s="337"/>
      <c r="S168" s="3"/>
      <c r="T168" s="3"/>
      <c r="V168" s="3"/>
      <c r="X168" s="129"/>
      <c r="Y168" s="3"/>
      <c r="Z168" s="3"/>
      <c r="AA168" s="3"/>
      <c r="AB168" s="3"/>
      <c r="AC168" s="3"/>
    </row>
    <row r="169" spans="1:29" s="57" customFormat="1" ht="17" customHeight="1">
      <c r="E169" s="3"/>
      <c r="F169" s="3"/>
      <c r="G169" s="3"/>
      <c r="H169" s="3"/>
      <c r="I169" s="3"/>
      <c r="J169" s="3"/>
      <c r="K169" s="3"/>
      <c r="L169" s="3"/>
      <c r="M169" s="3"/>
      <c r="N169" s="337"/>
      <c r="O169" s="337"/>
      <c r="S169" s="3"/>
      <c r="T169" s="3"/>
      <c r="V169" s="3"/>
      <c r="X169" s="129"/>
      <c r="Y169" s="3"/>
      <c r="Z169" s="3"/>
      <c r="AA169" s="3"/>
      <c r="AB169" s="3"/>
      <c r="AC169" s="3"/>
    </row>
    <row r="170" spans="1:29" s="57" customFormat="1" ht="17" customHeight="1">
      <c r="E170" s="3"/>
      <c r="F170" s="3"/>
      <c r="G170" s="3"/>
      <c r="H170" s="3"/>
      <c r="I170" s="3"/>
      <c r="J170" s="3"/>
      <c r="K170" s="3"/>
      <c r="L170" s="3"/>
      <c r="M170" s="3"/>
      <c r="N170" s="337"/>
      <c r="O170" s="337"/>
      <c r="S170" s="3"/>
      <c r="T170" s="3"/>
      <c r="V170" s="3"/>
      <c r="X170" s="129"/>
      <c r="Y170" s="3"/>
      <c r="Z170" s="3"/>
      <c r="AA170" s="3"/>
      <c r="AB170" s="3"/>
      <c r="AC170" s="3"/>
    </row>
    <row r="173" spans="1:29">
      <c r="A173" s="677" t="s">
        <v>96</v>
      </c>
      <c r="B173" s="677"/>
      <c r="C173" s="677"/>
      <c r="D173" s="677"/>
    </row>
    <row r="174" spans="1:29">
      <c r="A174" s="179">
        <v>1</v>
      </c>
      <c r="B174" s="368" t="s">
        <v>652</v>
      </c>
      <c r="C174" s="368"/>
      <c r="D174" s="368"/>
    </row>
    <row r="175" spans="1:29">
      <c r="A175" s="714">
        <v>2</v>
      </c>
      <c r="B175" s="718" t="s">
        <v>676</v>
      </c>
      <c r="C175" s="718"/>
      <c r="D175" s="718"/>
    </row>
    <row r="176" spans="1:29">
      <c r="A176" s="686"/>
      <c r="B176" s="719"/>
      <c r="C176" s="719"/>
      <c r="D176" s="719"/>
    </row>
    <row r="177" spans="1:4">
      <c r="A177" s="686"/>
      <c r="B177" s="719"/>
      <c r="C177" s="719"/>
      <c r="D177" s="719"/>
    </row>
    <row r="178" spans="1:4">
      <c r="A178" s="715"/>
      <c r="B178" s="720"/>
      <c r="C178" s="720"/>
      <c r="D178" s="720"/>
    </row>
    <row r="179" spans="1:4">
      <c r="A179" s="714">
        <v>3</v>
      </c>
      <c r="B179" s="721" t="s">
        <v>677</v>
      </c>
      <c r="C179" s="721"/>
      <c r="D179" s="721"/>
    </row>
    <row r="180" spans="1:4">
      <c r="A180" s="686"/>
      <c r="B180" s="722"/>
      <c r="C180" s="722"/>
      <c r="D180" s="722"/>
    </row>
    <row r="181" spans="1:4">
      <c r="A181" s="686"/>
      <c r="B181" s="722"/>
      <c r="C181" s="722"/>
      <c r="D181" s="722"/>
    </row>
    <row r="182" spans="1:4">
      <c r="A182" s="686"/>
      <c r="B182" s="722"/>
      <c r="C182" s="722"/>
      <c r="D182" s="722"/>
    </row>
    <row r="183" spans="1:4">
      <c r="A183" s="686"/>
      <c r="B183" s="722"/>
      <c r="C183" s="722"/>
      <c r="D183" s="722"/>
    </row>
    <row r="184" spans="1:4">
      <c r="A184" s="715"/>
      <c r="B184" s="233"/>
      <c r="C184" s="233"/>
      <c r="D184" s="233"/>
    </row>
    <row r="185" spans="1:4">
      <c r="A185" s="683">
        <v>4</v>
      </c>
      <c r="B185" s="709" t="s">
        <v>678</v>
      </c>
      <c r="C185" s="709"/>
      <c r="D185" s="709"/>
    </row>
    <row r="186" spans="1:4">
      <c r="A186" s="683"/>
      <c r="B186" s="710"/>
      <c r="C186" s="710"/>
      <c r="D186" s="710"/>
    </row>
    <row r="187" spans="1:4">
      <c r="A187" s="683"/>
      <c r="B187" s="710"/>
      <c r="C187" s="710"/>
      <c r="D187" s="710"/>
    </row>
    <row r="188" spans="1:4">
      <c r="A188" s="683"/>
      <c r="B188" s="710"/>
      <c r="C188" s="710"/>
      <c r="D188" s="710"/>
    </row>
    <row r="189" spans="1:4">
      <c r="A189" s="683"/>
      <c r="B189" s="41"/>
      <c r="C189" s="41"/>
      <c r="D189" s="41"/>
    </row>
    <row r="190" spans="1:4">
      <c r="A190" s="683"/>
      <c r="B190" s="41"/>
      <c r="C190" s="41"/>
      <c r="D190" s="41"/>
    </row>
    <row r="191" spans="1:4">
      <c r="A191" s="683"/>
      <c r="B191" s="41"/>
      <c r="C191" s="41"/>
      <c r="D191" s="41"/>
    </row>
    <row r="192" spans="1:4">
      <c r="A192" s="682">
        <v>5</v>
      </c>
      <c r="B192" s="709" t="s">
        <v>679</v>
      </c>
      <c r="C192" s="709"/>
      <c r="D192" s="709"/>
    </row>
    <row r="193" spans="1:4">
      <c r="A193" s="683"/>
      <c r="B193" s="710"/>
      <c r="C193" s="710"/>
      <c r="D193" s="710"/>
    </row>
    <row r="194" spans="1:4">
      <c r="A194" s="11"/>
      <c r="B194" s="710"/>
      <c r="C194" s="710"/>
      <c r="D194" s="710"/>
    </row>
    <row r="195" spans="1:4">
      <c r="A195" s="523">
        <v>6</v>
      </c>
      <c r="B195" s="524" t="s">
        <v>652</v>
      </c>
      <c r="C195" s="524"/>
      <c r="D195" s="524"/>
    </row>
    <row r="196" spans="1:4">
      <c r="A196" s="170"/>
      <c r="B196" s="688" t="s">
        <v>1221</v>
      </c>
      <c r="C196" s="688"/>
      <c r="D196" s="688"/>
    </row>
    <row r="197" spans="1:4">
      <c r="A197" s="53"/>
      <c r="B197" s="685"/>
      <c r="C197" s="685"/>
      <c r="D197" s="685"/>
    </row>
    <row r="198" spans="1:4">
      <c r="A198" s="53">
        <v>7</v>
      </c>
      <c r="B198" s="685"/>
      <c r="C198" s="685"/>
      <c r="D198" s="685"/>
    </row>
    <row r="199" spans="1:4">
      <c r="A199" s="53"/>
      <c r="B199" s="685"/>
      <c r="C199" s="685"/>
      <c r="D199" s="685"/>
    </row>
    <row r="200" spans="1:4">
      <c r="A200" s="53"/>
      <c r="B200" s="685"/>
      <c r="C200" s="685"/>
      <c r="D200" s="685"/>
    </row>
    <row r="201" spans="1:4">
      <c r="A201" s="53"/>
      <c r="B201" s="685"/>
      <c r="C201" s="685"/>
      <c r="D201" s="685"/>
    </row>
    <row r="202" spans="1:4">
      <c r="A202" s="170"/>
      <c r="B202" s="688" t="s">
        <v>1222</v>
      </c>
      <c r="C202" s="688"/>
      <c r="D202" s="688"/>
    </row>
    <row r="203" spans="1:4">
      <c r="A203" s="53">
        <v>8</v>
      </c>
      <c r="B203" s="685"/>
      <c r="C203" s="685"/>
      <c r="D203" s="685"/>
    </row>
    <row r="204" spans="1:4">
      <c r="A204" s="53"/>
      <c r="B204" s="685"/>
      <c r="C204" s="685"/>
      <c r="D204" s="685"/>
    </row>
    <row r="205" spans="1:4">
      <c r="A205" s="53"/>
      <c r="B205" s="685"/>
      <c r="C205" s="685"/>
      <c r="D205" s="685"/>
    </row>
    <row r="206" spans="1:4">
      <c r="A206" s="170"/>
      <c r="B206" s="688" t="s">
        <v>1223</v>
      </c>
      <c r="C206" s="688"/>
      <c r="D206" s="688"/>
    </row>
    <row r="207" spans="1:4">
      <c r="A207" s="53">
        <v>9</v>
      </c>
      <c r="B207" s="685"/>
      <c r="C207" s="685"/>
      <c r="D207" s="685"/>
    </row>
    <row r="208" spans="1:4">
      <c r="A208" s="53"/>
      <c r="B208" s="685"/>
      <c r="C208" s="685"/>
      <c r="D208" s="685"/>
    </row>
    <row r="209" spans="1:4">
      <c r="A209" s="53"/>
      <c r="B209" s="685"/>
      <c r="C209" s="685"/>
      <c r="D209" s="685"/>
    </row>
    <row r="210" spans="1:4">
      <c r="A210" s="170">
        <v>10</v>
      </c>
      <c r="B210" s="688" t="s">
        <v>676</v>
      </c>
      <c r="C210" s="688"/>
      <c r="D210" s="688"/>
    </row>
    <row r="211" spans="1:4">
      <c r="A211" s="53"/>
      <c r="B211" s="685"/>
      <c r="C211" s="685"/>
      <c r="D211" s="685"/>
    </row>
    <row r="212" spans="1:4">
      <c r="A212" s="53"/>
      <c r="B212" s="685"/>
      <c r="C212" s="685"/>
      <c r="D212" s="685"/>
    </row>
    <row r="213" spans="1:4">
      <c r="A213" s="53"/>
      <c r="B213" s="685"/>
      <c r="C213" s="685"/>
      <c r="D213" s="685"/>
    </row>
  </sheetData>
  <mergeCells count="30">
    <mergeCell ref="T48:V48"/>
    <mergeCell ref="A175:A178"/>
    <mergeCell ref="A179:A184"/>
    <mergeCell ref="T8:U8"/>
    <mergeCell ref="V8:W8"/>
    <mergeCell ref="H10:L10"/>
    <mergeCell ref="A48:F48"/>
    <mergeCell ref="H48:L48"/>
    <mergeCell ref="N10:R10"/>
    <mergeCell ref="N48:R48"/>
    <mergeCell ref="B175:D178"/>
    <mergeCell ref="B179:D183"/>
    <mergeCell ref="A173:D173"/>
    <mergeCell ref="A135:B135"/>
    <mergeCell ref="D135:I135"/>
    <mergeCell ref="F136:I136"/>
    <mergeCell ref="B202:D205"/>
    <mergeCell ref="B206:D209"/>
    <mergeCell ref="B210:D213"/>
    <mergeCell ref="B192:D194"/>
    <mergeCell ref="A1:R1"/>
    <mergeCell ref="A3:R3"/>
    <mergeCell ref="A113:L113"/>
    <mergeCell ref="A123:B123"/>
    <mergeCell ref="B196:D201"/>
    <mergeCell ref="A192:A193"/>
    <mergeCell ref="A185:A191"/>
    <mergeCell ref="B185:D188"/>
    <mergeCell ref="A145:L145"/>
    <mergeCell ref="D123:J123"/>
  </mergeCells>
  <conditionalFormatting sqref="B147:L163">
    <cfRule type="cellIs" dxfId="5" priority="3" operator="greaterThan">
      <formula>$B$141</formula>
    </cfRule>
    <cfRule type="cellIs" dxfId="4" priority="4" operator="greaterThan">
      <formula>$B$141</formula>
    </cfRule>
  </conditionalFormatting>
  <hyperlinks>
    <hyperlink ref="E4" r:id="rId1" xr:uid="{2B73927B-9DDE-314D-AF32-97AF8335BB9B}"/>
    <hyperlink ref="E6" r:id="rId2" xr:uid="{961C5C10-8220-EE4B-8464-3CE2336DC3A7}"/>
    <hyperlink ref="E5" r:id="rId3" xr:uid="{74A79671-705A-7341-BE5C-0F12C7DE4282}"/>
  </hyperlinks>
  <pageMargins left="0.7" right="0.7" top="0.75" bottom="0.75" header="0.3" footer="0.3"/>
  <pageSetup paperSize="9" orientation="portrait" horizontalDpi="0" verticalDpi="0"/>
  <legacy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84CBC-2B98-4E7E-AD88-54FDC8867634}">
  <sheetPr>
    <tabColor rgb="FF7030A0"/>
  </sheetPr>
  <dimension ref="A1:AC195"/>
  <sheetViews>
    <sheetView topLeftCell="A86" zoomScale="90" workbookViewId="0">
      <pane xSplit="1" topLeftCell="O1" activePane="topRight" state="frozen"/>
      <selection activeCell="H27" sqref="H27"/>
      <selection pane="topRight" activeCell="A105" sqref="A105"/>
    </sheetView>
  </sheetViews>
  <sheetFormatPr baseColWidth="10" defaultColWidth="10.83203125" defaultRowHeight="17"/>
  <cols>
    <col min="1" max="1" width="69" style="3" bestFit="1" customWidth="1"/>
    <col min="2" max="6" width="23.33203125" style="3" customWidth="1"/>
    <col min="7" max="7" width="11.1640625" style="3" customWidth="1"/>
    <col min="8" max="12" width="13.33203125" style="3" customWidth="1"/>
    <col min="13" max="13" width="9.6640625" style="3" customWidth="1"/>
    <col min="14" max="18" width="11.33203125" style="57" bestFit="1" customWidth="1"/>
    <col min="19" max="19" width="5" style="3" customWidth="1"/>
    <col min="20" max="20" width="36.5" style="3" bestFit="1" customWidth="1"/>
    <col min="21" max="21" width="8.5" style="57" bestFit="1" customWidth="1"/>
    <col min="22" max="22" width="46.6640625" style="3" bestFit="1" customWidth="1"/>
    <col min="23" max="23" width="6.5" style="57" bestFit="1" customWidth="1"/>
    <col min="24" max="24" width="17.6640625" style="129" bestFit="1" customWidth="1"/>
    <col min="25" max="16384" width="10.83203125" style="3"/>
  </cols>
  <sheetData>
    <row r="1" spans="1:24" ht="25">
      <c r="A1" s="661" t="s">
        <v>653</v>
      </c>
      <c r="B1" s="661"/>
      <c r="C1" s="661"/>
      <c r="D1" s="661"/>
      <c r="E1" s="661"/>
      <c r="F1" s="661"/>
      <c r="G1" s="661"/>
      <c r="H1" s="661"/>
      <c r="I1" s="661"/>
      <c r="J1" s="661"/>
      <c r="K1" s="661"/>
      <c r="L1" s="661"/>
      <c r="M1" s="661"/>
      <c r="N1" s="661"/>
      <c r="O1" s="661"/>
      <c r="P1" s="661"/>
      <c r="Q1" s="661"/>
      <c r="R1" s="661"/>
      <c r="T1" s="232"/>
      <c r="U1" s="232"/>
      <c r="V1" s="232"/>
      <c r="W1" s="232"/>
      <c r="X1" s="232"/>
    </row>
    <row r="2" spans="1:24">
      <c r="A2" s="1"/>
    </row>
    <row r="3" spans="1:24" s="2" customFormat="1">
      <c r="A3" s="662" t="s">
        <v>95</v>
      </c>
      <c r="B3" s="662"/>
      <c r="C3" s="662"/>
      <c r="D3" s="662"/>
      <c r="E3" s="662"/>
      <c r="F3" s="662"/>
      <c r="G3" s="662"/>
      <c r="H3" s="662"/>
      <c r="I3" s="662"/>
      <c r="J3" s="662"/>
      <c r="K3" s="662"/>
      <c r="L3" s="662"/>
      <c r="M3" s="662"/>
      <c r="N3" s="662"/>
      <c r="O3" s="662"/>
      <c r="P3" s="662"/>
      <c r="Q3" s="662"/>
      <c r="R3" s="662"/>
      <c r="T3" s="4"/>
      <c r="U3" s="4"/>
      <c r="V3" s="4"/>
      <c r="W3" s="4"/>
      <c r="X3" s="4"/>
    </row>
    <row r="4" spans="1:24" s="2" customFormat="1">
      <c r="A4" s="20" t="s">
        <v>86</v>
      </c>
      <c r="B4" s="21" t="s">
        <v>87</v>
      </c>
      <c r="C4" s="7"/>
      <c r="D4" s="20" t="s">
        <v>102</v>
      </c>
      <c r="E4" s="23" t="s">
        <v>91</v>
      </c>
      <c r="F4" s="7"/>
      <c r="G4" s="7"/>
      <c r="H4" s="7"/>
      <c r="I4" s="7"/>
      <c r="J4" s="7"/>
      <c r="K4" s="7"/>
      <c r="L4" s="7"/>
      <c r="M4" s="7"/>
      <c r="N4" s="58"/>
      <c r="O4" s="62"/>
      <c r="P4" s="65"/>
      <c r="Q4" s="68"/>
      <c r="R4" s="68"/>
      <c r="T4" s="7"/>
      <c r="U4" s="62"/>
      <c r="V4" s="7"/>
      <c r="W4" s="62"/>
      <c r="X4" s="112"/>
    </row>
    <row r="5" spans="1:24" s="2" customFormat="1">
      <c r="A5" s="20" t="s">
        <v>88</v>
      </c>
      <c r="B5" s="21" t="s">
        <v>85</v>
      </c>
      <c r="C5" s="7"/>
      <c r="D5" s="50" t="s">
        <v>129</v>
      </c>
      <c r="E5" s="23" t="s">
        <v>90</v>
      </c>
      <c r="F5" s="23"/>
      <c r="G5" s="23"/>
      <c r="H5" s="7"/>
      <c r="I5" s="7"/>
      <c r="J5" s="7"/>
      <c r="K5" s="7"/>
      <c r="L5" s="7"/>
      <c r="M5" s="7"/>
      <c r="N5" s="58"/>
      <c r="O5" s="62"/>
      <c r="P5" s="66"/>
      <c r="Q5" s="68"/>
      <c r="R5" s="68"/>
      <c r="T5" s="7"/>
      <c r="U5" s="62"/>
      <c r="V5" s="7"/>
      <c r="W5" s="62"/>
      <c r="X5" s="112"/>
    </row>
    <row r="6" spans="1:24" s="2" customFormat="1">
      <c r="A6" s="20" t="s">
        <v>89</v>
      </c>
      <c r="B6" s="21" t="s">
        <v>130</v>
      </c>
      <c r="C6" s="7"/>
      <c r="D6" s="22"/>
      <c r="E6" s="23" t="s">
        <v>92</v>
      </c>
      <c r="F6" s="23"/>
      <c r="G6" s="23"/>
      <c r="H6" s="7"/>
      <c r="I6" s="7"/>
      <c r="J6" s="7"/>
      <c r="K6" s="7"/>
      <c r="L6" s="7"/>
      <c r="M6" s="7"/>
      <c r="N6" s="58"/>
      <c r="O6" s="62"/>
      <c r="P6" s="67"/>
      <c r="Q6" s="68"/>
      <c r="R6" s="68"/>
      <c r="T6" s="7"/>
      <c r="U6" s="62"/>
      <c r="V6" s="7"/>
      <c r="W6" s="62"/>
      <c r="X6" s="112"/>
    </row>
    <row r="7" spans="1:24" s="2" customFormat="1">
      <c r="A7" s="20" t="s">
        <v>265</v>
      </c>
      <c r="B7" s="536" t="s">
        <v>1303</v>
      </c>
      <c r="C7" s="537" t="s">
        <v>1304</v>
      </c>
      <c r="D7" s="541" t="s">
        <v>1305</v>
      </c>
      <c r="E7" s="23"/>
      <c r="F7" s="23"/>
      <c r="G7" s="23"/>
      <c r="H7" s="23"/>
      <c r="I7" s="7"/>
      <c r="J7" s="7"/>
      <c r="K7" s="7"/>
      <c r="L7" s="7"/>
      <c r="M7" s="7"/>
      <c r="N7" s="7"/>
      <c r="O7" s="7"/>
      <c r="P7" s="7"/>
      <c r="Q7" s="7"/>
      <c r="R7" s="7"/>
    </row>
    <row r="8" spans="1:24">
      <c r="A8" s="1"/>
    </row>
    <row r="9" spans="1:24" s="2" customFormat="1">
      <c r="A9" s="15" t="s">
        <v>105</v>
      </c>
      <c r="B9" s="33">
        <v>43465</v>
      </c>
      <c r="C9" s="33">
        <v>43830</v>
      </c>
      <c r="D9" s="33">
        <v>44196</v>
      </c>
      <c r="E9" s="33">
        <v>44561</v>
      </c>
      <c r="F9" s="33">
        <v>44926</v>
      </c>
      <c r="H9" s="106">
        <v>2023</v>
      </c>
      <c r="I9" s="106">
        <v>2024</v>
      </c>
      <c r="J9" s="106">
        <v>2025</v>
      </c>
      <c r="K9" s="106">
        <v>2026</v>
      </c>
      <c r="L9" s="106">
        <v>2027</v>
      </c>
      <c r="M9" s="1"/>
      <c r="N9" s="59" t="s">
        <v>168</v>
      </c>
      <c r="O9" s="59" t="s">
        <v>168</v>
      </c>
      <c r="P9" s="59" t="s">
        <v>168</v>
      </c>
      <c r="Q9" s="59" t="s">
        <v>168</v>
      </c>
      <c r="R9" s="59" t="s">
        <v>168</v>
      </c>
      <c r="T9" s="716">
        <v>2023</v>
      </c>
      <c r="U9" s="716"/>
      <c r="V9" s="677" t="s">
        <v>378</v>
      </c>
      <c r="W9" s="677"/>
      <c r="X9" s="134" t="s">
        <v>339</v>
      </c>
    </row>
    <row r="10" spans="1:24" s="2" customFormat="1">
      <c r="A10" s="4"/>
      <c r="B10" s="34"/>
      <c r="C10" s="34"/>
      <c r="D10" s="34"/>
      <c r="E10" s="34"/>
      <c r="F10" s="34"/>
      <c r="H10" s="7"/>
      <c r="I10" s="7"/>
      <c r="J10" s="7"/>
      <c r="K10" s="7"/>
      <c r="L10" s="7"/>
      <c r="N10" s="60"/>
      <c r="O10" s="60"/>
      <c r="P10" s="60"/>
      <c r="Q10" s="60"/>
      <c r="R10" s="60"/>
      <c r="T10" s="7"/>
      <c r="U10" s="62"/>
      <c r="V10" s="7"/>
      <c r="W10" s="62"/>
      <c r="X10" s="112"/>
    </row>
    <row r="11" spans="1:24" s="2" customFormat="1" ht="20">
      <c r="A11" s="234" t="s">
        <v>116</v>
      </c>
      <c r="B11" s="234"/>
      <c r="C11" s="234"/>
      <c r="D11" s="234"/>
      <c r="E11" s="234"/>
      <c r="F11" s="234"/>
      <c r="H11" s="717" t="s">
        <v>207</v>
      </c>
      <c r="I11" s="717"/>
      <c r="J11" s="717"/>
      <c r="K11" s="717"/>
      <c r="L11" s="717"/>
      <c r="N11" s="717" t="s">
        <v>521</v>
      </c>
      <c r="O11" s="717"/>
      <c r="P11" s="717"/>
      <c r="Q11" s="717"/>
      <c r="R11" s="717"/>
      <c r="T11" s="231" t="s">
        <v>208</v>
      </c>
      <c r="U11" s="231"/>
      <c r="V11" s="231"/>
      <c r="W11" s="231"/>
      <c r="X11" s="231"/>
    </row>
    <row r="12" spans="1:24" s="2" customFormat="1">
      <c r="A12" s="15" t="s">
        <v>109</v>
      </c>
      <c r="B12" s="15"/>
      <c r="C12" s="15"/>
      <c r="D12" s="15"/>
      <c r="E12" s="15"/>
      <c r="F12" s="15"/>
      <c r="H12" s="32"/>
      <c r="I12" s="32"/>
      <c r="J12" s="32"/>
      <c r="K12" s="32"/>
      <c r="L12" s="32"/>
      <c r="N12" s="61"/>
      <c r="O12" s="61"/>
      <c r="P12" s="61"/>
      <c r="Q12" s="61"/>
      <c r="R12" s="61"/>
      <c r="T12" s="32"/>
      <c r="U12" s="64"/>
      <c r="V12" s="32"/>
      <c r="W12" s="64"/>
      <c r="X12" s="113"/>
    </row>
    <row r="13" spans="1:24" s="2" customFormat="1">
      <c r="A13" s="55" t="s">
        <v>141</v>
      </c>
      <c r="B13" s="15"/>
      <c r="C13" s="15"/>
      <c r="D13" s="15"/>
      <c r="E13" s="15"/>
      <c r="F13" s="15"/>
      <c r="H13" s="32"/>
      <c r="I13" s="32"/>
      <c r="J13" s="32"/>
      <c r="K13" s="32"/>
      <c r="L13" s="32"/>
      <c r="N13" s="61"/>
      <c r="O13" s="61"/>
      <c r="P13" s="61"/>
      <c r="Q13" s="61"/>
      <c r="R13" s="61"/>
      <c r="T13" s="32"/>
      <c r="U13" s="64"/>
      <c r="V13" s="32"/>
      <c r="W13" s="64"/>
      <c r="X13" s="113"/>
    </row>
    <row r="14" spans="1:24" s="2" customFormat="1">
      <c r="A14" s="6" t="s">
        <v>135</v>
      </c>
      <c r="B14" s="7">
        <v>2158</v>
      </c>
      <c r="C14" s="7">
        <v>2265</v>
      </c>
      <c r="D14" s="7">
        <v>914</v>
      </c>
      <c r="E14" s="7">
        <v>1580</v>
      </c>
      <c r="F14" s="7">
        <v>2486</v>
      </c>
      <c r="H14" s="7">
        <f>F14*(1+U14)</f>
        <v>3057.1215896678464</v>
      </c>
      <c r="I14" s="7">
        <f>H14*(1+$W$14)</f>
        <v>3336.4302996815686</v>
      </c>
      <c r="J14" s="7">
        <f>I14*(1+$W$14)</f>
        <v>3641.2575745286917</v>
      </c>
      <c r="K14" s="7">
        <f>J14*(1+$W$14)</f>
        <v>3973.9348744459003</v>
      </c>
      <c r="L14" s="7">
        <f>K14*(1+$W$14)</f>
        <v>4337.0066695656433</v>
      </c>
      <c r="N14" s="62">
        <f>B14/$B$30</f>
        <v>0.10395991906734753</v>
      </c>
      <c r="O14" s="62">
        <f>C14/$C$30</f>
        <v>0.10800114438298684</v>
      </c>
      <c r="P14" s="62">
        <f>D14/$D$30</f>
        <v>8.6462964714785734E-2</v>
      </c>
      <c r="Q14" s="62">
        <f>E14/$E$30</f>
        <v>0.11402179403911381</v>
      </c>
      <c r="R14" s="62">
        <f>F14/$F$30</f>
        <v>0.11967457757666201</v>
      </c>
      <c r="T14" s="7" t="s">
        <v>209</v>
      </c>
      <c r="U14" s="62">
        <f>F127</f>
        <v>0.22973515272238387</v>
      </c>
      <c r="V14" s="7" t="s">
        <v>174</v>
      </c>
      <c r="W14" s="62">
        <f>G127</f>
        <v>9.1363297736570925E-2</v>
      </c>
      <c r="X14" s="112" t="s">
        <v>344</v>
      </c>
    </row>
    <row r="15" spans="1:24" s="2" customFormat="1">
      <c r="A15" s="6" t="s">
        <v>136</v>
      </c>
      <c r="B15" s="7">
        <v>-45</v>
      </c>
      <c r="C15" s="7">
        <v>-48</v>
      </c>
      <c r="D15" s="7">
        <v>-108</v>
      </c>
      <c r="E15" s="7">
        <v>-55</v>
      </c>
      <c r="F15" s="7">
        <v>-60</v>
      </c>
      <c r="H15" s="7">
        <f>F15*(1+U15)</f>
        <v>-73.784109163343032</v>
      </c>
      <c r="I15" s="7">
        <f>H15*(1+$W$15)</f>
        <v>-80.525268697061179</v>
      </c>
      <c r="J15" s="7">
        <f>I15*(1+$W$15)</f>
        <v>-87.882322796348149</v>
      </c>
      <c r="K15" s="7">
        <f>J15*(1+$W$15)</f>
        <v>-95.911541619772322</v>
      </c>
      <c r="L15" s="7">
        <f>K15*(1+$W$15)</f>
        <v>-104.67433635315308</v>
      </c>
      <c r="N15" s="62">
        <f>B15/$B$30</f>
        <v>-2.1678389054822235E-3</v>
      </c>
      <c r="O15" s="62">
        <f>C15/$C$30</f>
        <v>-2.2887659736791914E-3</v>
      </c>
      <c r="P15" s="62">
        <f>D15/$D$30</f>
        <v>-1.0216630403935294E-2</v>
      </c>
      <c r="Q15" s="62">
        <f>E15/$E$30</f>
        <v>-3.9691130836400374E-3</v>
      </c>
      <c r="R15" s="62">
        <f>F15/$F$30</f>
        <v>-2.888364704183315E-3</v>
      </c>
      <c r="T15" s="7" t="s">
        <v>174</v>
      </c>
      <c r="U15" s="62">
        <f>F127</f>
        <v>0.22973515272238387</v>
      </c>
      <c r="V15" s="7" t="s">
        <v>174</v>
      </c>
      <c r="W15" s="62">
        <f>G127</f>
        <v>9.1363297736570925E-2</v>
      </c>
      <c r="X15" s="112" t="s">
        <v>344</v>
      </c>
    </row>
    <row r="16" spans="1:24" s="2" customFormat="1" ht="20">
      <c r="A16" s="10" t="s">
        <v>137</v>
      </c>
      <c r="B16" s="9">
        <f>B14+B15</f>
        <v>2113</v>
      </c>
      <c r="C16" s="9">
        <f>C14+C15</f>
        <v>2217</v>
      </c>
      <c r="D16" s="9">
        <f>D14+D15</f>
        <v>806</v>
      </c>
      <c r="E16" s="9">
        <f>E14+E15</f>
        <v>1525</v>
      </c>
      <c r="F16" s="9">
        <f>F14+F15</f>
        <v>2426</v>
      </c>
      <c r="H16" s="9">
        <f>H14+H15</f>
        <v>2983.3374805045032</v>
      </c>
      <c r="I16" s="9">
        <f>I14+I15</f>
        <v>3255.9050309845074</v>
      </c>
      <c r="J16" s="9">
        <f>J14+J15</f>
        <v>3553.3752517323437</v>
      </c>
      <c r="K16" s="9">
        <f>K14+K15</f>
        <v>3878.0233328261279</v>
      </c>
      <c r="L16" s="9">
        <f>L14+L15</f>
        <v>4232.3323332124901</v>
      </c>
      <c r="N16" s="62"/>
      <c r="O16" s="62"/>
      <c r="P16" s="62"/>
      <c r="Q16" s="62"/>
      <c r="R16" s="62"/>
      <c r="T16" s="7"/>
      <c r="U16" s="62"/>
      <c r="V16" s="7"/>
      <c r="W16" s="62"/>
      <c r="X16" s="112"/>
    </row>
    <row r="17" spans="1:24" s="2" customFormat="1">
      <c r="A17" s="6" t="s">
        <v>138</v>
      </c>
      <c r="B17" s="7">
        <f>593+128</f>
        <v>721</v>
      </c>
      <c r="C17" s="7">
        <v>715</v>
      </c>
      <c r="D17" s="7">
        <v>198</v>
      </c>
      <c r="E17" s="7">
        <v>282</v>
      </c>
      <c r="F17" s="7">
        <v>479</v>
      </c>
      <c r="H17" s="7">
        <f>F17*(1+U17)</f>
        <v>589.0431381540219</v>
      </c>
      <c r="I17" s="7">
        <f>H17*(1+$W$17)</f>
        <v>642.86006176487183</v>
      </c>
      <c r="J17" s="7">
        <f>I17*(1+$W$17)</f>
        <v>701.59387699084607</v>
      </c>
      <c r="K17" s="7">
        <f>J17*(1+$W$17)</f>
        <v>765.69380726451573</v>
      </c>
      <c r="L17" s="7">
        <f>K17*(1+$W$17)</f>
        <v>835.6501185526721</v>
      </c>
      <c r="N17" s="62">
        <f>B17/$B$30</f>
        <v>3.4733596685615181E-2</v>
      </c>
      <c r="O17" s="62">
        <f>C17/$C$30</f>
        <v>3.409307648292962E-2</v>
      </c>
      <c r="P17" s="62">
        <f>D17/$D$30</f>
        <v>1.8730489073881373E-2</v>
      </c>
      <c r="Q17" s="62">
        <f>E17/$E$30</f>
        <v>2.0350725265208921E-2</v>
      </c>
      <c r="R17" s="62">
        <f>F17/$F$30</f>
        <v>2.3058778221730129E-2</v>
      </c>
      <c r="T17" s="7" t="s">
        <v>174</v>
      </c>
      <c r="U17" s="62">
        <f>F127</f>
        <v>0.22973515272238387</v>
      </c>
      <c r="V17" s="7" t="s">
        <v>174</v>
      </c>
      <c r="W17" s="62">
        <f>G127</f>
        <v>9.1363297736570925E-2</v>
      </c>
      <c r="X17" s="112" t="s">
        <v>344</v>
      </c>
    </row>
    <row r="18" spans="1:24" s="2" customFormat="1">
      <c r="A18" s="6" t="s">
        <v>147</v>
      </c>
      <c r="B18" s="7">
        <v>13455</v>
      </c>
      <c r="C18" s="7">
        <v>13901</v>
      </c>
      <c r="D18" s="7">
        <v>6901</v>
      </c>
      <c r="E18" s="7">
        <v>8549</v>
      </c>
      <c r="F18" s="7">
        <v>12848</v>
      </c>
      <c r="H18" s="7">
        <f>F18*(1+U18)</f>
        <v>15799.637242177188</v>
      </c>
      <c r="I18" s="7">
        <f>H18*(1+$W$18)</f>
        <v>17243.144203664036</v>
      </c>
      <c r="J18" s="7">
        <f>I18*(1+$W$18)</f>
        <v>18818.534721458018</v>
      </c>
      <c r="K18" s="7">
        <f>J18*(1+$W$18)</f>
        <v>20537.858112180584</v>
      </c>
      <c r="L18" s="7">
        <f>K18*(1+$W$18)</f>
        <v>22414.264557755185</v>
      </c>
      <c r="N18" s="62">
        <f>B18/$B$30</f>
        <v>0.6481838327391849</v>
      </c>
      <c r="O18" s="62">
        <f>C18/$C$30</f>
        <v>0.66283616250238409</v>
      </c>
      <c r="P18" s="62">
        <f>D18/$D$30</f>
        <v>0.65282376312553214</v>
      </c>
      <c r="Q18" s="62">
        <f>E18/$E$30</f>
        <v>0.61694450458252148</v>
      </c>
      <c r="R18" s="62">
        <f>F18/$F$30</f>
        <v>0.61849516198912047</v>
      </c>
      <c r="T18" s="7" t="s">
        <v>174</v>
      </c>
      <c r="U18" s="62">
        <f>F127</f>
        <v>0.22973515272238387</v>
      </c>
      <c r="V18" s="7" t="s">
        <v>174</v>
      </c>
      <c r="W18" s="62">
        <f>G127</f>
        <v>9.1363297736570925E-2</v>
      </c>
      <c r="X18" s="112" t="s">
        <v>344</v>
      </c>
    </row>
    <row r="19" spans="1:24" s="2" customFormat="1" ht="20">
      <c r="A19" s="10" t="s">
        <v>139</v>
      </c>
      <c r="B19" s="9">
        <f>B17+B18+B16</f>
        <v>16289</v>
      </c>
      <c r="C19" s="9">
        <f>C17+C18+C16</f>
        <v>16833</v>
      </c>
      <c r="D19" s="9">
        <f>D17+D18+D16</f>
        <v>7905</v>
      </c>
      <c r="E19" s="9">
        <f>E17+E18+E16</f>
        <v>10356</v>
      </c>
      <c r="F19" s="9">
        <f>F17+F18+F16</f>
        <v>15753</v>
      </c>
      <c r="H19" s="9">
        <f>H17+H18+H16</f>
        <v>19372.017860835713</v>
      </c>
      <c r="I19" s="9">
        <f>I17+I18+I16</f>
        <v>21141.909296413418</v>
      </c>
      <c r="J19" s="9">
        <f>J17+J18+J16</f>
        <v>23073.503850181209</v>
      </c>
      <c r="K19" s="9">
        <f>K17+K18+K16</f>
        <v>25181.575252271228</v>
      </c>
      <c r="L19" s="9">
        <f>L17+L18+L16</f>
        <v>27482.247009520346</v>
      </c>
      <c r="N19" s="62"/>
      <c r="O19" s="62"/>
      <c r="P19" s="62"/>
      <c r="Q19" s="62"/>
      <c r="R19" s="62"/>
      <c r="T19" s="7"/>
      <c r="U19" s="62"/>
      <c r="V19" s="7"/>
      <c r="W19" s="62"/>
      <c r="X19" s="112"/>
    </row>
    <row r="20" spans="1:24" s="2" customFormat="1">
      <c r="A20" s="7"/>
      <c r="B20" s="7"/>
      <c r="C20" s="7"/>
      <c r="D20" s="7"/>
      <c r="E20" s="7"/>
      <c r="F20" s="7"/>
      <c r="H20" s="7"/>
      <c r="I20" s="7"/>
      <c r="J20" s="7"/>
      <c r="K20" s="7"/>
      <c r="L20" s="7"/>
      <c r="N20" s="62"/>
      <c r="O20" s="62"/>
      <c r="P20" s="62"/>
      <c r="Q20" s="62"/>
      <c r="R20" s="62"/>
      <c r="T20" s="7"/>
      <c r="U20" s="62"/>
      <c r="V20" s="7"/>
      <c r="W20" s="62"/>
      <c r="X20" s="112"/>
    </row>
    <row r="21" spans="1:24" s="2" customFormat="1">
      <c r="A21" s="55" t="s">
        <v>146</v>
      </c>
      <c r="B21" s="15"/>
      <c r="C21" s="15"/>
      <c r="D21" s="15"/>
      <c r="E21" s="15"/>
      <c r="F21" s="15"/>
      <c r="H21" s="32"/>
      <c r="I21" s="32"/>
      <c r="J21" s="32"/>
      <c r="K21" s="32"/>
      <c r="L21" s="32"/>
      <c r="N21" s="61"/>
      <c r="O21" s="64"/>
      <c r="P21" s="64"/>
      <c r="Q21" s="64"/>
      <c r="R21" s="64"/>
      <c r="T21" s="32"/>
      <c r="U21" s="64"/>
      <c r="V21" s="32"/>
      <c r="W21" s="64"/>
      <c r="X21" s="113"/>
    </row>
    <row r="22" spans="1:24" s="2" customFormat="1">
      <c r="A22" s="6" t="s">
        <v>135</v>
      </c>
      <c r="B22" s="7">
        <f>479+518</f>
        <v>997</v>
      </c>
      <c r="C22" s="7">
        <v>1032</v>
      </c>
      <c r="D22" s="7">
        <v>338</v>
      </c>
      <c r="E22" s="7">
        <v>568</v>
      </c>
      <c r="F22" s="7">
        <v>917</v>
      </c>
      <c r="H22" s="7">
        <f>F22*(1+U22)</f>
        <v>1198.2924120733203</v>
      </c>
      <c r="I22" s="7">
        <f>H22*(1+$W$22)</f>
        <v>1257.1085778096408</v>
      </c>
      <c r="J22" s="7">
        <f>I22*(1+$W$22)</f>
        <v>1318.8116360248487</v>
      </c>
      <c r="K22" s="7">
        <f>J22*(1+$W$22)</f>
        <v>1383.5432849762228</v>
      </c>
      <c r="L22" s="7">
        <f>K22*(1+$W$22)</f>
        <v>1451.4521779414531</v>
      </c>
      <c r="N22" s="62">
        <f>B22/$B$30</f>
        <v>4.8029675305906155E-2</v>
      </c>
      <c r="O22" s="62">
        <f>C22/$C$30</f>
        <v>4.9208468434102613E-2</v>
      </c>
      <c r="P22" s="62">
        <f>D22/$D$30</f>
        <v>3.1974269227130828E-2</v>
      </c>
      <c r="Q22" s="62">
        <f>E22/$E$30</f>
        <v>4.0990113300137118E-2</v>
      </c>
      <c r="R22" s="62">
        <f>F22/$F$30</f>
        <v>4.4143840562268326E-2</v>
      </c>
      <c r="T22" s="7" t="s">
        <v>174</v>
      </c>
      <c r="U22" s="62">
        <f>F128</f>
        <v>0.30675290302434066</v>
      </c>
      <c r="V22" s="7" t="s">
        <v>174</v>
      </c>
      <c r="W22" s="62">
        <f>G128</f>
        <v>4.9083316512498865E-2</v>
      </c>
      <c r="X22" s="112" t="s">
        <v>344</v>
      </c>
    </row>
    <row r="23" spans="1:24" s="2" customFormat="1">
      <c r="A23" s="6" t="s">
        <v>136</v>
      </c>
      <c r="B23" s="7">
        <v>-13</v>
      </c>
      <c r="C23" s="7">
        <v>-14</v>
      </c>
      <c r="D23" s="7">
        <v>-24</v>
      </c>
      <c r="E23" s="7">
        <v>-20</v>
      </c>
      <c r="F23" s="7">
        <v>-29</v>
      </c>
      <c r="H23" s="7">
        <f>F23*(1+U23)</f>
        <v>-37.895834187705873</v>
      </c>
      <c r="I23" s="7">
        <f>H23*(1+$W$23)</f>
        <v>-39.755887411646214</v>
      </c>
      <c r="J23" s="7">
        <f>I23*(1+$W$23)</f>
        <v>-41.707238216707317</v>
      </c>
      <c r="K23" s="7">
        <f>J23*(1+$W$23)</f>
        <v>-43.754367790960153</v>
      </c>
      <c r="L23" s="7">
        <f>K23*(1+$W$23)</f>
        <v>-45.901977274048136</v>
      </c>
      <c r="N23" s="62">
        <f>B23/$B$30</f>
        <v>-6.2626457269486459E-4</v>
      </c>
      <c r="O23" s="62">
        <f>C23/$C$30</f>
        <v>-6.6755674232309744E-4</v>
      </c>
      <c r="P23" s="62">
        <f>D23/$D$30</f>
        <v>-2.2703623119856211E-3</v>
      </c>
      <c r="Q23" s="62">
        <f>E23/$E$30</f>
        <v>-1.4433138485963773E-3</v>
      </c>
      <c r="R23" s="62">
        <f>F23/$F$30</f>
        <v>-1.3960429403552688E-3</v>
      </c>
      <c r="T23" s="7" t="s">
        <v>174</v>
      </c>
      <c r="U23" s="62">
        <f>F128</f>
        <v>0.30675290302434066</v>
      </c>
      <c r="V23" s="7" t="s">
        <v>174</v>
      </c>
      <c r="W23" s="62">
        <f>G128</f>
        <v>4.9083316512498865E-2</v>
      </c>
      <c r="X23" s="112" t="s">
        <v>344</v>
      </c>
    </row>
    <row r="24" spans="1:24" s="2" customFormat="1" ht="20">
      <c r="A24" s="10" t="s">
        <v>137</v>
      </c>
      <c r="B24" s="9">
        <f>B22+B23</f>
        <v>984</v>
      </c>
      <c r="C24" s="9">
        <f>C22+C23</f>
        <v>1018</v>
      </c>
      <c r="D24" s="9">
        <f>D22+D23</f>
        <v>314</v>
      </c>
      <c r="E24" s="9">
        <f>E22+E23</f>
        <v>548</v>
      </c>
      <c r="F24" s="9">
        <f>F22+F23</f>
        <v>888</v>
      </c>
      <c r="H24" s="9">
        <f>H22+H23</f>
        <v>1160.3965778856145</v>
      </c>
      <c r="I24" s="9">
        <f>I22+I23</f>
        <v>1217.3526903979946</v>
      </c>
      <c r="J24" s="9">
        <f>J22+J23</f>
        <v>1277.1043978081414</v>
      </c>
      <c r="K24" s="9">
        <f>K22+K23</f>
        <v>1339.7889171852626</v>
      </c>
      <c r="L24" s="9">
        <f>L22+L23</f>
        <v>1405.5502006674051</v>
      </c>
      <c r="N24" s="62"/>
      <c r="O24" s="62"/>
      <c r="P24" s="62"/>
      <c r="Q24" s="62"/>
      <c r="R24" s="62"/>
      <c r="T24" s="7"/>
      <c r="U24" s="62"/>
      <c r="V24" s="7"/>
      <c r="W24" s="62"/>
      <c r="X24" s="112"/>
    </row>
    <row r="25" spans="1:24" s="2" customFormat="1">
      <c r="A25" s="6" t="s">
        <v>138</v>
      </c>
      <c r="B25" s="7">
        <f>668+182</f>
        <v>850</v>
      </c>
      <c r="C25" s="7">
        <v>841</v>
      </c>
      <c r="D25" s="7">
        <v>317</v>
      </c>
      <c r="E25" s="7">
        <v>467</v>
      </c>
      <c r="F25" s="7">
        <v>801</v>
      </c>
      <c r="H25" s="7">
        <f>F25*(1+U25)</f>
        <v>1046.7090753224968</v>
      </c>
      <c r="I25" s="7">
        <f>H25*(1+$W$25)</f>
        <v>1098.085028163056</v>
      </c>
      <c r="J25" s="7">
        <f>I25*(1+$W$25)</f>
        <v>1151.9826831580194</v>
      </c>
      <c r="K25" s="7">
        <f>J25*(1+$W$25)</f>
        <v>1208.5258138123822</v>
      </c>
      <c r="L25" s="7">
        <f>K25*(1+$W$25)</f>
        <v>1267.8442688452606</v>
      </c>
      <c r="N25" s="62">
        <f>B25/$B$30</f>
        <v>4.0948068214664228E-2</v>
      </c>
      <c r="O25" s="62">
        <f>C25/$C$30</f>
        <v>4.01010871638375E-2</v>
      </c>
      <c r="P25" s="62">
        <f>D25/$D$30</f>
        <v>2.9987702204143412E-2</v>
      </c>
      <c r="Q25" s="62">
        <f>E25/$E$30</f>
        <v>3.3701378364725407E-2</v>
      </c>
      <c r="R25" s="62">
        <f>F25/$F$30</f>
        <v>3.8559668800847255E-2</v>
      </c>
      <c r="T25" s="7" t="s">
        <v>174</v>
      </c>
      <c r="U25" s="62">
        <f>F128</f>
        <v>0.30675290302434066</v>
      </c>
      <c r="V25" s="7" t="s">
        <v>174</v>
      </c>
      <c r="W25" s="62">
        <f>G128</f>
        <v>4.9083316512498865E-2</v>
      </c>
      <c r="X25" s="112" t="s">
        <v>344</v>
      </c>
    </row>
    <row r="26" spans="1:24" s="2" customFormat="1">
      <c r="A26" s="6" t="s">
        <v>147</v>
      </c>
      <c r="B26" s="7">
        <f>459+1091</f>
        <v>1550</v>
      </c>
      <c r="C26" s="7">
        <v>1685</v>
      </c>
      <c r="D26" s="7">
        <v>966</v>
      </c>
      <c r="E26" s="7">
        <v>1239</v>
      </c>
      <c r="F26" s="7">
        <v>1797</v>
      </c>
      <c r="H26" s="7">
        <f>F26*(1+U26)</f>
        <v>2348.2349667347398</v>
      </c>
      <c r="I26" s="7">
        <f>H26*(1+$W$26)</f>
        <v>2463.4941268526982</v>
      </c>
      <c r="J26" s="7">
        <f>I26*(1+$W$26)</f>
        <v>2584.4105888076911</v>
      </c>
      <c r="K26" s="7">
        <f>J26*(1+$W$26)</f>
        <v>2711.2620317363926</v>
      </c>
      <c r="L26" s="7">
        <f>K26*(1+$W$26)</f>
        <v>2844.3397641884308</v>
      </c>
      <c r="N26" s="62">
        <f>B26/$B$30</f>
        <v>7.4670006744387701E-2</v>
      </c>
      <c r="O26" s="62">
        <f>C26/$C$30</f>
        <v>8.034522220102995E-2</v>
      </c>
      <c r="P26" s="62">
        <f>D26/$D$30</f>
        <v>9.1382083057421251E-2</v>
      </c>
      <c r="Q26" s="62">
        <f>E26/$E$30</f>
        <v>8.9413292920545576E-2</v>
      </c>
      <c r="R26" s="62">
        <f>F26/$F$30</f>
        <v>8.6506522890290274E-2</v>
      </c>
      <c r="T26" s="7" t="s">
        <v>174</v>
      </c>
      <c r="U26" s="62">
        <f>F128</f>
        <v>0.30675290302434066</v>
      </c>
      <c r="V26" s="7" t="s">
        <v>174</v>
      </c>
      <c r="W26" s="62">
        <f>G128</f>
        <v>4.9083316512498865E-2</v>
      </c>
      <c r="X26" s="112" t="s">
        <v>344</v>
      </c>
    </row>
    <row r="27" spans="1:24" s="2" customFormat="1" ht="20">
      <c r="A27" s="10" t="s">
        <v>139</v>
      </c>
      <c r="B27" s="9">
        <f>B24+B25+B26</f>
        <v>3384</v>
      </c>
      <c r="C27" s="9">
        <f>C24+C25+C26</f>
        <v>3544</v>
      </c>
      <c r="D27" s="9">
        <f>D24+D25+D26</f>
        <v>1597</v>
      </c>
      <c r="E27" s="9">
        <f>E24+E25+E26</f>
        <v>2254</v>
      </c>
      <c r="F27" s="9">
        <f>F24+F25+F26</f>
        <v>3486</v>
      </c>
      <c r="H27" s="9">
        <f>H24+H25+H26</f>
        <v>4555.3406199428509</v>
      </c>
      <c r="I27" s="9">
        <f>I24+I25+I26</f>
        <v>4778.9318454137483</v>
      </c>
      <c r="J27" s="9">
        <f>J24+J25+J26</f>
        <v>5013.4976697738521</v>
      </c>
      <c r="K27" s="9">
        <f>K24+K25+K26</f>
        <v>5259.5767627340374</v>
      </c>
      <c r="L27" s="9">
        <f>L24+L25+L26</f>
        <v>5517.7342337010959</v>
      </c>
      <c r="N27" s="62"/>
      <c r="O27" s="62"/>
      <c r="P27" s="62"/>
      <c r="Q27" s="62"/>
      <c r="R27" s="62"/>
      <c r="T27" s="7"/>
      <c r="U27" s="62"/>
      <c r="V27" s="7"/>
      <c r="W27" s="62"/>
      <c r="X27" s="112"/>
    </row>
    <row r="28" spans="1:24" s="2" customFormat="1">
      <c r="A28" s="6"/>
      <c r="B28" s="7"/>
      <c r="C28" s="7"/>
      <c r="D28" s="7"/>
      <c r="E28" s="7"/>
      <c r="F28" s="7"/>
      <c r="H28" s="7"/>
      <c r="I28" s="7"/>
      <c r="J28" s="7"/>
      <c r="K28" s="7"/>
      <c r="L28" s="7"/>
      <c r="N28" s="62"/>
      <c r="O28" s="62"/>
      <c r="P28" s="62"/>
      <c r="Q28" s="62"/>
      <c r="R28" s="62"/>
      <c r="T28" s="7"/>
      <c r="U28" s="62"/>
      <c r="V28" s="7"/>
      <c r="W28" s="62"/>
      <c r="X28" s="112"/>
    </row>
    <row r="29" spans="1:24" s="2" customFormat="1">
      <c r="A29" s="7" t="s">
        <v>140</v>
      </c>
      <c r="B29" s="7">
        <v>1085</v>
      </c>
      <c r="C29" s="7">
        <v>595</v>
      </c>
      <c r="D29" s="7">
        <v>1069</v>
      </c>
      <c r="E29" s="7">
        <v>1247</v>
      </c>
      <c r="F29" s="7">
        <v>1534</v>
      </c>
      <c r="H29" s="7">
        <f>F29*(1+U29)</f>
        <v>2004.5589532393385</v>
      </c>
      <c r="I29" s="7">
        <f>H29*(1+$W$29)</f>
        <v>2102.9493548091482</v>
      </c>
      <c r="J29" s="7">
        <f>I29*(1+$W$29)</f>
        <v>2206.1690836010007</v>
      </c>
      <c r="K29" s="7">
        <f>J29*(1+$W$29)</f>
        <v>2314.4551790114783</v>
      </c>
      <c r="L29" s="7">
        <f>K29*(1+$W$29)</f>
        <v>2428.0563151168908</v>
      </c>
      <c r="N29" s="62">
        <f>B29/$B$30</f>
        <v>5.2269004721071391E-2</v>
      </c>
      <c r="O29" s="62">
        <f>C29/$C$30</f>
        <v>2.8371161548731642E-2</v>
      </c>
      <c r="P29" s="62">
        <f>D29/$D$30</f>
        <v>0.1011257213130262</v>
      </c>
      <c r="Q29" s="62">
        <f>E29/$E$30</f>
        <v>8.9990618459984129E-2</v>
      </c>
      <c r="R29" s="62">
        <f>F29/$F$30</f>
        <v>7.3845857603620085E-2</v>
      </c>
      <c r="T29" s="7" t="s">
        <v>174</v>
      </c>
      <c r="U29" s="62">
        <f>F128</f>
        <v>0.30675290302434066</v>
      </c>
      <c r="V29" s="7" t="s">
        <v>174</v>
      </c>
      <c r="W29" s="62">
        <f>G128</f>
        <v>4.9083316512498865E-2</v>
      </c>
      <c r="X29" s="112" t="s">
        <v>344</v>
      </c>
    </row>
    <row r="30" spans="1:24" s="2" customFormat="1" ht="20">
      <c r="A30" s="16" t="s">
        <v>142</v>
      </c>
      <c r="B30" s="16">
        <f>B19+B29+B27</f>
        <v>20758</v>
      </c>
      <c r="C30" s="16">
        <f>C19+C29+C27</f>
        <v>20972</v>
      </c>
      <c r="D30" s="16">
        <f>D19+D29+D27</f>
        <v>10571</v>
      </c>
      <c r="E30" s="16">
        <f>E19+E29+E27</f>
        <v>13857</v>
      </c>
      <c r="F30" s="16">
        <f>F19+F29+F27</f>
        <v>20773</v>
      </c>
      <c r="H30" s="16">
        <f>H19+H29+H27</f>
        <v>25931.917434017902</v>
      </c>
      <c r="I30" s="16">
        <f>I19+I29+I27</f>
        <v>28023.790496636313</v>
      </c>
      <c r="J30" s="16">
        <f>J19+J29+J27</f>
        <v>30293.170603556064</v>
      </c>
      <c r="K30" s="16">
        <f>K19+K29+K27</f>
        <v>32755.607194016746</v>
      </c>
      <c r="L30" s="16">
        <f>L19+L29+L27</f>
        <v>35428.037558338328</v>
      </c>
      <c r="N30" s="64"/>
      <c r="O30" s="64"/>
      <c r="P30" s="64"/>
      <c r="Q30" s="64"/>
      <c r="R30" s="64"/>
      <c r="T30" s="32"/>
      <c r="U30" s="64"/>
      <c r="V30" s="32"/>
      <c r="W30" s="64"/>
      <c r="X30" s="113"/>
    </row>
    <row r="31" spans="1:24" s="2" customFormat="1" ht="20">
      <c r="A31" s="37"/>
      <c r="B31" s="37"/>
      <c r="C31" s="37"/>
      <c r="D31" s="37"/>
      <c r="E31" s="37"/>
      <c r="F31" s="37"/>
      <c r="H31" s="7"/>
      <c r="I31" s="7"/>
      <c r="J31" s="7"/>
      <c r="K31" s="7"/>
      <c r="L31" s="7"/>
      <c r="N31" s="63"/>
      <c r="O31" s="62"/>
      <c r="P31" s="63"/>
      <c r="Q31" s="63"/>
      <c r="R31" s="63"/>
      <c r="T31" s="7"/>
      <c r="U31" s="62"/>
      <c r="V31" s="7"/>
      <c r="W31" s="62"/>
      <c r="X31" s="112"/>
    </row>
    <row r="32" spans="1:24" s="2" customFormat="1">
      <c r="A32" s="15" t="s">
        <v>145</v>
      </c>
      <c r="B32" s="32"/>
      <c r="C32" s="32"/>
      <c r="D32" s="32"/>
      <c r="E32" s="32"/>
      <c r="F32" s="32"/>
      <c r="H32" s="32"/>
      <c r="I32" s="32"/>
      <c r="J32" s="32"/>
      <c r="K32" s="32"/>
      <c r="L32" s="32"/>
      <c r="N32" s="64"/>
      <c r="O32" s="64"/>
      <c r="P32" s="64"/>
      <c r="Q32" s="64"/>
      <c r="R32" s="64"/>
      <c r="T32" s="32"/>
      <c r="U32" s="64"/>
      <c r="V32" s="32"/>
      <c r="W32" s="64"/>
      <c r="X32" s="113"/>
    </row>
    <row r="33" spans="1:24" s="2" customFormat="1">
      <c r="A33" s="6" t="s">
        <v>7</v>
      </c>
      <c r="B33" s="7">
        <v>-1306</v>
      </c>
      <c r="C33" s="7">
        <v>-1316</v>
      </c>
      <c r="D33" s="7">
        <v>-677</v>
      </c>
      <c r="E33" s="7">
        <v>-734</v>
      </c>
      <c r="F33" s="7">
        <v>-1074</v>
      </c>
      <c r="H33" s="7">
        <f>U33*$H$30</f>
        <v>-1526.7692282451094</v>
      </c>
      <c r="I33" s="7">
        <f>W33*$I$30</f>
        <v>-1649.9304803787816</v>
      </c>
      <c r="J33" s="7">
        <f>W33*$J$30</f>
        <v>-1783.5426485978376</v>
      </c>
      <c r="K33" s="7">
        <f>W33*$K$30</f>
        <v>-1928.5212226807671</v>
      </c>
      <c r="L33" s="7">
        <f>W33*$L$30</f>
        <v>-2085.8634036149701</v>
      </c>
      <c r="N33" s="62">
        <f>B33/$B$30</f>
        <v>-6.2915502456884098E-2</v>
      </c>
      <c r="O33" s="62">
        <f>C33/$C$30</f>
        <v>-6.2750333778371165E-2</v>
      </c>
      <c r="P33" s="62">
        <f>D33/$D$30</f>
        <v>-6.4043136883927723E-2</v>
      </c>
      <c r="Q33" s="62">
        <f>E33/$E$30</f>
        <v>-5.2969618243487046E-2</v>
      </c>
      <c r="R33" s="62">
        <f>F33/$F$30</f>
        <v>-5.1701728204881336E-2</v>
      </c>
      <c r="T33" s="7" t="s">
        <v>713</v>
      </c>
      <c r="U33" s="530">
        <v>-5.8876063913510281E-2</v>
      </c>
      <c r="V33" s="7" t="s">
        <v>754</v>
      </c>
      <c r="W33" s="530">
        <v>-5.8876063913510281E-2</v>
      </c>
      <c r="X33" s="112" t="s">
        <v>342</v>
      </c>
    </row>
    <row r="34" spans="1:24" s="2" customFormat="1">
      <c r="A34" s="300" t="s">
        <v>41</v>
      </c>
      <c r="B34" s="7">
        <v>-226</v>
      </c>
      <c r="C34" s="7">
        <v>-341</v>
      </c>
      <c r="D34" s="7">
        <v>-346</v>
      </c>
      <c r="E34" s="7">
        <v>-220</v>
      </c>
      <c r="F34" s="7">
        <v>-193</v>
      </c>
      <c r="H34" s="301">
        <f>U34*H62</f>
        <v>-348.0257339720082</v>
      </c>
      <c r="I34" s="301">
        <f>$W$34*I62</f>
        <v>-348.46076461902652</v>
      </c>
      <c r="J34" s="301">
        <f>$W$34*J62</f>
        <v>-348.93271003191313</v>
      </c>
      <c r="K34" s="301">
        <f>$W$34*K62</f>
        <v>-349.44480390717382</v>
      </c>
      <c r="L34" s="301">
        <f>$W$34*L62</f>
        <v>-350.00056856195977</v>
      </c>
      <c r="N34" s="62">
        <f>B34/B62</f>
        <v>-0.11554192229038855</v>
      </c>
      <c r="O34" s="62">
        <f>C34/C62</f>
        <v>-0.17909663865546219</v>
      </c>
      <c r="P34" s="62">
        <f>D34/D62</f>
        <v>-0.2285336856010568</v>
      </c>
      <c r="Q34" s="62">
        <f>E34/E62</f>
        <v>-0.14637391882900866</v>
      </c>
      <c r="R34" s="62">
        <f>F34/F62</f>
        <v>-0.12176656151419558</v>
      </c>
      <c r="T34" s="301" t="s">
        <v>714</v>
      </c>
      <c r="U34" s="530">
        <v>-0.12</v>
      </c>
      <c r="V34" s="301" t="s">
        <v>755</v>
      </c>
      <c r="W34" s="530">
        <v>-0.12</v>
      </c>
      <c r="X34" s="303" t="s">
        <v>342</v>
      </c>
    </row>
    <row r="35" spans="1:24" s="2" customFormat="1">
      <c r="A35" s="6" t="s">
        <v>9</v>
      </c>
      <c r="B35" s="7">
        <v>-927</v>
      </c>
      <c r="C35" s="7">
        <v>-938</v>
      </c>
      <c r="D35" s="7">
        <v>-762</v>
      </c>
      <c r="E35" s="7">
        <v>-823</v>
      </c>
      <c r="F35" s="7">
        <v>-891</v>
      </c>
      <c r="H35" s="7">
        <f>U35*$H$30</f>
        <v>-1367.9209224789245</v>
      </c>
      <c r="I35" s="7">
        <f>W35*$I$30</f>
        <v>-1478.2682169590464</v>
      </c>
      <c r="J35" s="7">
        <f>W35*$J$30</f>
        <v>-1597.9790920692947</v>
      </c>
      <c r="K35" s="7">
        <f>W35*$K$30</f>
        <v>-1727.8737880916599</v>
      </c>
      <c r="L35" s="7">
        <f>W35*$L$30</f>
        <v>-1868.8457551097215</v>
      </c>
      <c r="N35" s="62">
        <f>B35/$B$30</f>
        <v>-4.4657481452933807E-2</v>
      </c>
      <c r="O35" s="62">
        <f>C35/$C$30</f>
        <v>-4.4726301735647532E-2</v>
      </c>
      <c r="P35" s="62">
        <f>D35/$D$30</f>
        <v>-7.2084003405543468E-2</v>
      </c>
      <c r="Q35" s="62">
        <f>E35/$E$30</f>
        <v>-5.9392364869740928E-2</v>
      </c>
      <c r="R35" s="62">
        <f>F35/$F$30</f>
        <v>-4.2892215857122225E-2</v>
      </c>
      <c r="T35" s="7" t="s">
        <v>715</v>
      </c>
      <c r="U35" s="530">
        <v>-5.2750473464197603E-2</v>
      </c>
      <c r="V35" s="7" t="s">
        <v>756</v>
      </c>
      <c r="W35" s="530">
        <v>-5.2750473464197589E-2</v>
      </c>
      <c r="X35" s="112" t="s">
        <v>342</v>
      </c>
    </row>
    <row r="36" spans="1:24" s="2" customFormat="1">
      <c r="A36" s="6" t="s">
        <v>8</v>
      </c>
      <c r="B36" s="7">
        <v>-155</v>
      </c>
      <c r="C36" s="7">
        <v>-138</v>
      </c>
      <c r="D36" s="7">
        <v>-267</v>
      </c>
      <c r="E36" s="7">
        <v>-8</v>
      </c>
      <c r="F36" s="7">
        <v>-12</v>
      </c>
      <c r="H36" s="7">
        <f>U36*$H$30</f>
        <v>-209.84098277987567</v>
      </c>
      <c r="I36" s="7">
        <f>W36*$I$30</f>
        <v>-226.76841209271007</v>
      </c>
      <c r="J36" s="7">
        <f>W36*$J$30</f>
        <v>-245.13222777077641</v>
      </c>
      <c r="K36" s="7">
        <f>W36*$K$30</f>
        <v>-265.05825582057861</v>
      </c>
      <c r="L36" s="7">
        <f>W36*$L$30</f>
        <v>-286.68355273458064</v>
      </c>
      <c r="N36" s="62">
        <f>B36/$B$30</f>
        <v>-7.467000674438771E-3</v>
      </c>
      <c r="O36" s="62">
        <f>C36/$C$30</f>
        <v>-6.580202174327675E-3</v>
      </c>
      <c r="P36" s="62">
        <f>D36/$D$30</f>
        <v>-2.5257780720840034E-2</v>
      </c>
      <c r="Q36" s="62">
        <f>E36/$E$30</f>
        <v>-5.7732553943855096E-4</v>
      </c>
      <c r="R36" s="62">
        <f>F36/$F$30</f>
        <v>-5.7767294083666302E-4</v>
      </c>
      <c r="T36" s="7" t="s">
        <v>716</v>
      </c>
      <c r="U36" s="530">
        <v>-8.0919964099763382E-3</v>
      </c>
      <c r="V36" s="7" t="s">
        <v>757</v>
      </c>
      <c r="W36" s="530">
        <v>-8.0919964099763382E-3</v>
      </c>
      <c r="X36" s="112" t="s">
        <v>342</v>
      </c>
    </row>
    <row r="37" spans="1:24" s="2" customFormat="1">
      <c r="A37" s="6" t="s">
        <v>372</v>
      </c>
      <c r="B37" s="7">
        <v>-15778</v>
      </c>
      <c r="C37" s="7">
        <v>-16439</v>
      </c>
      <c r="D37" s="7">
        <v>-8435</v>
      </c>
      <c r="E37" s="7">
        <v>-10322</v>
      </c>
      <c r="F37" s="7">
        <v>-15141</v>
      </c>
      <c r="H37" s="7">
        <f>U37*$H$30</f>
        <v>-19789.465758743634</v>
      </c>
      <c r="I37" s="7">
        <f>W37*$I$30</f>
        <v>-21385.840205394459</v>
      </c>
      <c r="J37" s="7">
        <f>W37*$J$30</f>
        <v>-23117.675887570007</v>
      </c>
      <c r="K37" s="7">
        <f>W37*$K$30</f>
        <v>-24996.839073785999</v>
      </c>
      <c r="L37" s="7">
        <f>W37*$L$30</f>
        <v>-27036.255145579908</v>
      </c>
      <c r="N37" s="62">
        <f>B37/$B$30</f>
        <v>-0.76009249445996729</v>
      </c>
      <c r="O37" s="62">
        <f>C37/$C$30</f>
        <v>-0.78385466336067133</v>
      </c>
      <c r="P37" s="62">
        <f>D37/$D$30</f>
        <v>-0.79793775423327973</v>
      </c>
      <c r="Q37" s="62">
        <f>E37/$E$30</f>
        <v>-0.74489427726059032</v>
      </c>
      <c r="R37" s="62">
        <f>F37/$F$30</f>
        <v>-0.72887883310065948</v>
      </c>
      <c r="T37" s="7" t="s">
        <v>717</v>
      </c>
      <c r="U37" s="530">
        <v>-0.76313160448303363</v>
      </c>
      <c r="V37" s="7" t="s">
        <v>758</v>
      </c>
      <c r="W37" s="530">
        <v>-0.76313160448303363</v>
      </c>
      <c r="X37" s="112" t="s">
        <v>342</v>
      </c>
    </row>
    <row r="38" spans="1:24" s="2" customFormat="1" ht="20">
      <c r="A38" s="36" t="s">
        <v>107</v>
      </c>
      <c r="B38" s="36">
        <f>SUM(B33:B37)</f>
        <v>-18392</v>
      </c>
      <c r="C38" s="36">
        <f>SUM(C33:C37)</f>
        <v>-19172</v>
      </c>
      <c r="D38" s="36">
        <f>SUM(D33:D37)</f>
        <v>-10487</v>
      </c>
      <c r="E38" s="36">
        <f>SUM(E33:E37)</f>
        <v>-12107</v>
      </c>
      <c r="F38" s="36">
        <f>SUM(F33:F37)</f>
        <v>-17311</v>
      </c>
      <c r="H38" s="36">
        <f>SUM(H33:H37)</f>
        <v>-23242.02262621955</v>
      </c>
      <c r="I38" s="36">
        <f>SUM(I33:I37)</f>
        <v>-25089.268079444024</v>
      </c>
      <c r="J38" s="36">
        <f>SUM(J33:J37)</f>
        <v>-27093.26256603983</v>
      </c>
      <c r="K38" s="36">
        <f>SUM(K33:K37)</f>
        <v>-29267.737144286177</v>
      </c>
      <c r="L38" s="36">
        <f>SUM(L33:L37)</f>
        <v>-31627.648425601139</v>
      </c>
      <c r="N38" s="64"/>
      <c r="O38" s="64"/>
      <c r="P38" s="64"/>
      <c r="Q38" s="64"/>
      <c r="R38" s="64"/>
      <c r="T38" s="32"/>
      <c r="U38" s="64"/>
      <c r="V38" s="32"/>
      <c r="W38" s="64"/>
      <c r="X38" s="113"/>
    </row>
    <row r="39" spans="1:24" s="2" customFormat="1">
      <c r="A39" s="7"/>
      <c r="B39" s="7"/>
      <c r="C39" s="7"/>
      <c r="D39" s="7"/>
      <c r="E39" s="7"/>
      <c r="F39" s="7"/>
      <c r="H39" s="7"/>
      <c r="I39" s="7"/>
      <c r="J39" s="7"/>
      <c r="K39" s="7"/>
      <c r="L39" s="7"/>
      <c r="N39" s="62"/>
      <c r="O39" s="62"/>
      <c r="P39" s="62"/>
      <c r="Q39" s="62"/>
      <c r="R39" s="62"/>
      <c r="T39" s="7"/>
      <c r="U39" s="62"/>
      <c r="V39" s="7"/>
      <c r="W39" s="62"/>
      <c r="X39" s="112"/>
    </row>
    <row r="40" spans="1:24" s="2" customFormat="1">
      <c r="A40" s="6" t="s">
        <v>12</v>
      </c>
      <c r="B40" s="7">
        <v>194</v>
      </c>
      <c r="C40" s="7">
        <v>154</v>
      </c>
      <c r="D40" s="7">
        <v>9</v>
      </c>
      <c r="E40" s="7">
        <v>10</v>
      </c>
      <c r="F40" s="7">
        <v>11</v>
      </c>
      <c r="H40" s="7">
        <f>U40*$H$30</f>
        <v>97.459898730053467</v>
      </c>
      <c r="I40" s="7">
        <f>W40*$I$30</f>
        <v>105.32178311857434</v>
      </c>
      <c r="J40" s="7">
        <f>W40*$J$30</f>
        <v>113.85079204987142</v>
      </c>
      <c r="K40" s="7">
        <f>W40*$K$30</f>
        <v>123.10536496551147</v>
      </c>
      <c r="L40" s="7">
        <f>W40*$L$30</f>
        <v>133.14915726635508</v>
      </c>
      <c r="N40" s="62">
        <f>B40/$B$30</f>
        <v>9.3457943925233638E-3</v>
      </c>
      <c r="O40" s="62">
        <f>C40/$C$30</f>
        <v>7.3431241655540717E-3</v>
      </c>
      <c r="P40" s="62">
        <f>D40/$D$30</f>
        <v>8.5138586699460791E-4</v>
      </c>
      <c r="Q40" s="62">
        <f>E40/$E$30</f>
        <v>7.2165692429818865E-4</v>
      </c>
      <c r="R40" s="62">
        <f>F40/$F$30</f>
        <v>5.2953352910027444E-4</v>
      </c>
      <c r="T40" s="7" t="s">
        <v>718</v>
      </c>
      <c r="U40" s="530">
        <v>3.7582989756941008E-3</v>
      </c>
      <c r="V40" s="7" t="s">
        <v>759</v>
      </c>
      <c r="W40" s="530">
        <v>3.7582989756941012E-3</v>
      </c>
      <c r="X40" s="112" t="s">
        <v>342</v>
      </c>
    </row>
    <row r="41" spans="1:24" s="2" customFormat="1">
      <c r="A41" s="6" t="s">
        <v>38</v>
      </c>
      <c r="B41" s="8">
        <v>0</v>
      </c>
      <c r="C41" s="8">
        <v>0</v>
      </c>
      <c r="D41" s="8">
        <v>0</v>
      </c>
      <c r="E41" s="8">
        <v>-164</v>
      </c>
      <c r="F41" s="8">
        <v>0</v>
      </c>
      <c r="H41" s="7">
        <f>U41*$H$30</f>
        <v>-61.381748707208423</v>
      </c>
      <c r="I41" s="7">
        <f>W41*$I$30</f>
        <v>-66.333284858892327</v>
      </c>
      <c r="J41" s="7">
        <f>W41*$J$30</f>
        <v>-71.704986346008425</v>
      </c>
      <c r="K41" s="7">
        <f>W41*$K$30</f>
        <v>-77.533659230984284</v>
      </c>
      <c r="L41" s="7">
        <f>W41*$L$30</f>
        <v>-83.859394667929351</v>
      </c>
      <c r="N41" s="62">
        <f>B41/$B$30</f>
        <v>0</v>
      </c>
      <c r="O41" s="62">
        <f>C41/$C$30</f>
        <v>0</v>
      </c>
      <c r="P41" s="62">
        <f>D41/$D$30</f>
        <v>0</v>
      </c>
      <c r="Q41" s="62">
        <f>E41/$E$30</f>
        <v>-1.1835173558490293E-2</v>
      </c>
      <c r="R41" s="62">
        <f>F41/$F$30</f>
        <v>0</v>
      </c>
      <c r="T41" s="7" t="s">
        <v>719</v>
      </c>
      <c r="U41" s="530">
        <v>-2.3670347116980586E-3</v>
      </c>
      <c r="V41" s="7" t="s">
        <v>760</v>
      </c>
      <c r="W41" s="530">
        <v>-2.3670347116980586E-3</v>
      </c>
      <c r="X41" s="112" t="s">
        <v>342</v>
      </c>
    </row>
    <row r="42" spans="1:24" s="2" customFormat="1">
      <c r="A42" s="300" t="s">
        <v>13</v>
      </c>
      <c r="B42" s="7">
        <v>-340</v>
      </c>
      <c r="C42" s="7">
        <v>-394</v>
      </c>
      <c r="D42" s="7">
        <v>-445</v>
      </c>
      <c r="E42" s="7">
        <v>-420</v>
      </c>
      <c r="F42" s="7">
        <v>-403</v>
      </c>
      <c r="H42" s="301">
        <f>U42*(H82+H90)</f>
        <v>-400.34753996324497</v>
      </c>
      <c r="I42" s="301">
        <f>$W$42*(I82+I90)</f>
        <v>-400.34753996324497</v>
      </c>
      <c r="J42" s="301">
        <f>$W$42*(J82+J90)</f>
        <v>-400.34753996324497</v>
      </c>
      <c r="K42" s="301">
        <f>$W$42*(K82+K90)</f>
        <v>-400.34753996324497</v>
      </c>
      <c r="L42" s="301">
        <f>$W$42*(L82+L90)</f>
        <v>-400.34753996324497</v>
      </c>
      <c r="N42" s="62">
        <f>B42/(B82+B90)</f>
        <v>-3.6375307585321495E-2</v>
      </c>
      <c r="O42" s="62">
        <f>C42/(C82+C90)</f>
        <v>-3.6014625228519198E-2</v>
      </c>
      <c r="P42" s="62">
        <f>D42/(D82+D90)</f>
        <v>-4.2887432536622978E-2</v>
      </c>
      <c r="Q42" s="62">
        <f>E42/(E82+E90)</f>
        <v>-4.1428289603472085E-2</v>
      </c>
      <c r="R42" s="62">
        <f>F42/(F82+F90)</f>
        <v>-4.0043720190779016E-2</v>
      </c>
      <c r="T42" s="301" t="s">
        <v>720</v>
      </c>
      <c r="U42" s="530">
        <v>-3.9349875028942952E-2</v>
      </c>
      <c r="V42" s="301" t="s">
        <v>761</v>
      </c>
      <c r="W42" s="530">
        <v>-3.9349875028942952E-2</v>
      </c>
      <c r="X42" s="303" t="s">
        <v>342</v>
      </c>
    </row>
    <row r="43" spans="1:24" s="2" customFormat="1">
      <c r="A43" s="300" t="s">
        <v>14</v>
      </c>
      <c r="B43" s="7">
        <v>22</v>
      </c>
      <c r="C43" s="7">
        <v>26</v>
      </c>
      <c r="D43" s="7">
        <v>27</v>
      </c>
      <c r="E43" s="7">
        <v>28</v>
      </c>
      <c r="F43" s="7">
        <v>26</v>
      </c>
      <c r="H43" s="301">
        <f ca="1">H51*$W$43</f>
        <v>31.866680802742327</v>
      </c>
      <c r="I43" s="301">
        <f ca="1">I51*$W$43</f>
        <v>76.43574770550552</v>
      </c>
      <c r="J43" s="301">
        <f ca="1">J51*$W$43</f>
        <v>126.98430437216932</v>
      </c>
      <c r="K43" s="301">
        <f ca="1">K51*$W$43</f>
        <v>184.07447174302408</v>
      </c>
      <c r="L43" s="301">
        <f ca="1">L51*$W$43</f>
        <v>248.31875886584641</v>
      </c>
      <c r="N43" s="62">
        <f>B43/B51</f>
        <v>6.9620253164556958E-2</v>
      </c>
      <c r="O43" s="62">
        <f>C43/C51</f>
        <v>0.11555555555555555</v>
      </c>
      <c r="P43" s="62">
        <f>D43/D51</f>
        <v>3.0786773090079819E-2</v>
      </c>
      <c r="Q43" s="62">
        <f>E43/E51</f>
        <v>2.0100502512562814E-2</v>
      </c>
      <c r="R43" s="62">
        <f>F43/F51</f>
        <v>5.128205128205128E-2</v>
      </c>
      <c r="T43" s="301" t="s">
        <v>721</v>
      </c>
      <c r="U43" s="530">
        <v>3.9349875028942952E-2</v>
      </c>
      <c r="V43" s="301" t="s">
        <v>762</v>
      </c>
      <c r="W43" s="530">
        <v>3.9349875028942952E-2</v>
      </c>
      <c r="X43" s="304" t="s">
        <v>343</v>
      </c>
    </row>
    <row r="44" spans="1:24" s="2" customFormat="1">
      <c r="A44" s="300" t="s">
        <v>371</v>
      </c>
      <c r="B44" s="7">
        <v>103</v>
      </c>
      <c r="C44" s="7">
        <v>13</v>
      </c>
      <c r="D44" s="7">
        <v>-141</v>
      </c>
      <c r="E44" s="7">
        <v>-24</v>
      </c>
      <c r="F44" s="7">
        <v>18</v>
      </c>
      <c r="H44" s="301">
        <f>$U$44*H71</f>
        <v>26.421491985905114</v>
      </c>
      <c r="I44" s="301">
        <f>$W$44*I71</f>
        <v>28.552857994613692</v>
      </c>
      <c r="J44" s="301">
        <f>$U$44*J71</f>
        <v>30.865082243380417</v>
      </c>
      <c r="K44" s="301">
        <f>$W$44*K71</f>
        <v>33.374007732835665</v>
      </c>
      <c r="L44" s="301">
        <f>$U$44*L71</f>
        <v>36.096891516245577</v>
      </c>
      <c r="N44" s="62">
        <f>B44/B71</f>
        <v>0.14071038251366119</v>
      </c>
      <c r="O44" s="62">
        <f>C44/C71</f>
        <v>2.2530329289428077E-2</v>
      </c>
      <c r="P44" s="62">
        <f>D44/D71</f>
        <v>-0.33412322274881517</v>
      </c>
      <c r="Q44" s="62">
        <f>E44/E71</f>
        <v>-6.2015503875968991E-2</v>
      </c>
      <c r="R44" s="62">
        <f>F44/F71</f>
        <v>5.3731343283582089E-2</v>
      </c>
      <c r="T44" s="301" t="s">
        <v>722</v>
      </c>
      <c r="U44" s="530">
        <v>3.8739137802675593E-2</v>
      </c>
      <c r="V44" s="301" t="s">
        <v>763</v>
      </c>
      <c r="W44" s="530">
        <v>3.8739137802675593E-2</v>
      </c>
      <c r="X44" s="303" t="s">
        <v>629</v>
      </c>
    </row>
    <row r="45" spans="1:24" s="2" customFormat="1" ht="20">
      <c r="A45" s="9" t="s">
        <v>110</v>
      </c>
      <c r="B45" s="9">
        <f>SUM(B40:B44)+B30+B38</f>
        <v>2345</v>
      </c>
      <c r="C45" s="9">
        <f>SUM(C40:C44)+C30+C38</f>
        <v>1599</v>
      </c>
      <c r="D45" s="9">
        <f>SUM(D40:D44)+D30+D38</f>
        <v>-466</v>
      </c>
      <c r="E45" s="9">
        <f>SUM(E40:E44)+E30+E38</f>
        <v>1180</v>
      </c>
      <c r="F45" s="9">
        <f>SUM(F40:F44)+F30+F38</f>
        <v>3114</v>
      </c>
      <c r="H45" s="9">
        <f ca="1">SUM(H40:H44)+H30+H38</f>
        <v>2383.9135906465999</v>
      </c>
      <c r="I45" s="9">
        <f ca="1">SUM(I40:I44)+I30+I38</f>
        <v>2678.1519811888465</v>
      </c>
      <c r="J45" s="9">
        <f ca="1">SUM(J40:J44)+J30+J38</f>
        <v>2999.5556898724026</v>
      </c>
      <c r="K45" s="9">
        <f ca="1">SUM(K40:K44)+K30+K38</f>
        <v>3350.5426949777102</v>
      </c>
      <c r="L45" s="9">
        <f ca="1">SUM(L40:L44)+L30+L38</f>
        <v>3733.7470057544633</v>
      </c>
      <c r="N45" s="62"/>
      <c r="O45" s="62"/>
      <c r="P45" s="62"/>
      <c r="Q45" s="62"/>
      <c r="R45" s="62"/>
      <c r="T45" s="7"/>
      <c r="U45" s="62"/>
      <c r="V45" s="7"/>
      <c r="W45" s="62"/>
      <c r="X45" s="112"/>
    </row>
    <row r="46" spans="1:24" s="2" customFormat="1">
      <c r="A46" s="6" t="s">
        <v>11</v>
      </c>
      <c r="B46" s="7">
        <v>-438</v>
      </c>
      <c r="C46" s="7">
        <v>-326</v>
      </c>
      <c r="D46" s="7">
        <v>199</v>
      </c>
      <c r="E46" s="7">
        <v>-81</v>
      </c>
      <c r="F46" s="7">
        <v>-756</v>
      </c>
      <c r="H46" s="7">
        <f ca="1">-H45*($W$46)</f>
        <v>-496.25134578626722</v>
      </c>
      <c r="I46" s="7">
        <f ca="1">-I45*($W$46)</f>
        <v>-557.50197075081155</v>
      </c>
      <c r="J46" s="7">
        <f ca="1">-J45*($W$46)</f>
        <v>-624.40750944177182</v>
      </c>
      <c r="K46" s="7">
        <f ca="1">-K45*($W$46)</f>
        <v>-697.47130433786003</v>
      </c>
      <c r="L46" s="7">
        <f ca="1">-L45*($W$46)</f>
        <v>-777.24166836455413</v>
      </c>
      <c r="N46" s="62"/>
      <c r="O46" s="62"/>
      <c r="P46" s="62"/>
      <c r="Q46" s="62"/>
      <c r="R46" s="62"/>
      <c r="T46" s="7" t="s">
        <v>210</v>
      </c>
      <c r="U46" s="530">
        <v>0.20816666666666667</v>
      </c>
      <c r="V46" s="7" t="s">
        <v>764</v>
      </c>
      <c r="W46" s="530">
        <v>0.20816666666666667</v>
      </c>
      <c r="X46" s="112" t="s">
        <v>344</v>
      </c>
    </row>
    <row r="47" spans="1:24" s="2" customFormat="1" ht="20">
      <c r="A47" s="16" t="s">
        <v>108</v>
      </c>
      <c r="B47" s="16">
        <f>SUM(B45:B46)</f>
        <v>1907</v>
      </c>
      <c r="C47" s="16">
        <f>SUM(C45:C46)</f>
        <v>1273</v>
      </c>
      <c r="D47" s="16">
        <f>SUM(D45:D46)</f>
        <v>-267</v>
      </c>
      <c r="E47" s="16">
        <f>SUM(E45:E46)</f>
        <v>1099</v>
      </c>
      <c r="F47" s="16">
        <f>SUM(F45:F46)</f>
        <v>2358</v>
      </c>
      <c r="H47" s="16">
        <f ca="1">SUM(H45:H46)</f>
        <v>1887.6622448603327</v>
      </c>
      <c r="I47" s="16">
        <f ca="1">SUM(I45:I46)</f>
        <v>2120.6500104380348</v>
      </c>
      <c r="J47" s="16">
        <f ca="1">SUM(J45:J46)</f>
        <v>2375.1481804306309</v>
      </c>
      <c r="K47" s="16">
        <f ca="1">SUM(K45:K46)</f>
        <v>2653.0713906398501</v>
      </c>
      <c r="L47" s="16">
        <f ca="1">SUM(L45:L46)</f>
        <v>2956.5053373899091</v>
      </c>
      <c r="N47" s="64"/>
      <c r="O47" s="64"/>
      <c r="P47" s="64"/>
      <c r="Q47" s="64"/>
      <c r="R47" s="64"/>
      <c r="T47" s="32"/>
      <c r="U47" s="64"/>
      <c r="V47" s="32"/>
      <c r="W47" s="64"/>
      <c r="X47" s="113"/>
    </row>
    <row r="49" spans="1:22" s="2" customFormat="1" ht="20">
      <c r="A49" s="717" t="s">
        <v>115</v>
      </c>
      <c r="B49" s="717"/>
      <c r="C49" s="717"/>
      <c r="D49" s="717"/>
      <c r="E49" s="717"/>
      <c r="F49" s="717"/>
      <c r="G49" s="234"/>
      <c r="H49" s="717" t="s">
        <v>207</v>
      </c>
      <c r="I49" s="717"/>
      <c r="J49" s="717"/>
      <c r="K49" s="717"/>
      <c r="L49" s="717"/>
      <c r="N49" s="717" t="s">
        <v>521</v>
      </c>
      <c r="O49" s="717"/>
      <c r="P49" s="717"/>
      <c r="Q49" s="717"/>
      <c r="R49" s="717"/>
      <c r="T49" s="675" t="s">
        <v>206</v>
      </c>
      <c r="U49" s="675"/>
      <c r="V49" s="675"/>
    </row>
    <row r="50" spans="1:22" s="1" customFormat="1" ht="18" thickBot="1">
      <c r="A50" s="15" t="s">
        <v>97</v>
      </c>
      <c r="B50" s="15"/>
      <c r="C50" s="61"/>
      <c r="D50" s="15"/>
      <c r="E50" s="61"/>
      <c r="F50" s="15"/>
      <c r="G50" s="61"/>
      <c r="H50" s="15"/>
      <c r="I50" s="61"/>
      <c r="J50" s="15"/>
      <c r="K50" s="15"/>
      <c r="L50" s="15"/>
      <c r="N50" s="15"/>
      <c r="O50" s="15"/>
      <c r="P50" s="15"/>
      <c r="Q50" s="15"/>
      <c r="R50" s="61"/>
      <c r="T50" s="32"/>
      <c r="U50" s="113"/>
      <c r="V50" s="149"/>
    </row>
    <row r="51" spans="1:22" s="2" customFormat="1" ht="18" thickBot="1">
      <c r="A51" s="173" t="s">
        <v>275</v>
      </c>
      <c r="B51" s="7">
        <v>316</v>
      </c>
      <c r="C51" s="7">
        <v>225</v>
      </c>
      <c r="D51" s="7">
        <v>877</v>
      </c>
      <c r="E51" s="7">
        <v>1393</v>
      </c>
      <c r="F51" s="7">
        <v>507</v>
      </c>
      <c r="H51" s="174">
        <f ca="1">IF(H111&lt;-H112,-H111,H112)</f>
        <v>809.82927593298518</v>
      </c>
      <c r="I51" s="174">
        <f ca="1">IF(I111&lt;-I112,-I111,I112)</f>
        <v>1942.4648146731051</v>
      </c>
      <c r="J51" s="174">
        <f ca="1">IF(J111&lt;-J112,-J111,J112)</f>
        <v>3227.0573738485509</v>
      </c>
      <c r="K51" s="174">
        <f ca="1">IF(K111&lt;-K112,-K111,K112)</f>
        <v>4677.8921561410825</v>
      </c>
      <c r="L51" s="174">
        <f ca="1">IF(L111&lt;-L112,-L111,L112)</f>
        <v>6310.5348792899822</v>
      </c>
      <c r="N51" s="62">
        <f>B51/B30</f>
        <v>1.5223046536275171E-2</v>
      </c>
      <c r="O51" s="62">
        <f>C51/C30</f>
        <v>1.072859050162121E-2</v>
      </c>
      <c r="P51" s="62">
        <f>D51/D30</f>
        <v>8.2962822817141235E-2</v>
      </c>
      <c r="Q51" s="62">
        <f>E51/E30</f>
        <v>0.10052680955473768</v>
      </c>
      <c r="R51" s="62">
        <f>F51/F30</f>
        <v>2.4406681750349012E-2</v>
      </c>
      <c r="T51" s="7" t="s">
        <v>723</v>
      </c>
      <c r="U51" s="531">
        <v>1.6786106262748464E-2</v>
      </c>
      <c r="V51" s="53" t="s">
        <v>341</v>
      </c>
    </row>
    <row r="52" spans="1:22" s="2" customFormat="1">
      <c r="A52" s="6" t="s">
        <v>76</v>
      </c>
      <c r="B52" s="7">
        <v>2133</v>
      </c>
      <c r="C52" s="7">
        <v>2395</v>
      </c>
      <c r="D52" s="7">
        <v>1768</v>
      </c>
      <c r="E52" s="7">
        <v>1982</v>
      </c>
      <c r="F52" s="7">
        <v>2571</v>
      </c>
      <c r="H52" s="7">
        <f>$U$52*H30</f>
        <v>2945.1905296537816</v>
      </c>
      <c r="I52" s="7">
        <f>$U$52*I30</f>
        <v>3182.772835279186</v>
      </c>
      <c r="J52" s="7">
        <f>$U$52*J30</f>
        <v>3440.5153186914181</v>
      </c>
      <c r="K52" s="7">
        <f>$U$52*K30</f>
        <v>3720.1839912664745</v>
      </c>
      <c r="L52" s="7">
        <f>$U$52*L30</f>
        <v>4023.7024881221705</v>
      </c>
      <c r="N52" s="62">
        <f>B52/B30</f>
        <v>0.10275556411985741</v>
      </c>
      <c r="O52" s="62">
        <f>C52/C30</f>
        <v>0.11419988556170131</v>
      </c>
      <c r="P52" s="62">
        <f>D52/D30</f>
        <v>0.16725002364960742</v>
      </c>
      <c r="Q52" s="62">
        <f>E52/E30</f>
        <v>0.14303240239590098</v>
      </c>
      <c r="R52" s="62">
        <f>F52/F30</f>
        <v>0.12376642757425504</v>
      </c>
      <c r="T52" s="7" t="s">
        <v>724</v>
      </c>
      <c r="U52" s="531">
        <v>0.11357395908527125</v>
      </c>
      <c r="V52" s="53" t="s">
        <v>341</v>
      </c>
    </row>
    <row r="53" spans="1:22" s="2" customFormat="1">
      <c r="A53" s="6" t="s">
        <v>77</v>
      </c>
      <c r="B53" s="7">
        <v>249</v>
      </c>
      <c r="C53" s="7">
        <v>252</v>
      </c>
      <c r="D53" s="7">
        <v>172</v>
      </c>
      <c r="E53" s="7">
        <v>251</v>
      </c>
      <c r="F53" s="7">
        <v>235</v>
      </c>
      <c r="H53" s="7">
        <f>$U$53*H30</f>
        <v>305.34105299125656</v>
      </c>
      <c r="I53" s="7">
        <f>$U$53*I30</f>
        <v>329.97227146128176</v>
      </c>
      <c r="J53" s="7">
        <f>$U$53*J30</f>
        <v>356.69358558112714</v>
      </c>
      <c r="K53" s="7">
        <f>$U$53*K30</f>
        <v>385.6880856356866</v>
      </c>
      <c r="L53" s="7">
        <f>$U$53*L30</f>
        <v>417.15520346698565</v>
      </c>
      <c r="N53" s="62">
        <f>B53/B30</f>
        <v>1.1995375277001638E-2</v>
      </c>
      <c r="O53" s="62">
        <f>C53/C30</f>
        <v>1.2016021361815754E-2</v>
      </c>
      <c r="P53" s="62">
        <f>D53/D30</f>
        <v>1.6270929902563618E-2</v>
      </c>
      <c r="Q53" s="62">
        <f>E53/E30</f>
        <v>1.8113588799884534E-2</v>
      </c>
      <c r="R53" s="62">
        <f>F53/F30</f>
        <v>1.1312761758051317E-2</v>
      </c>
      <c r="T53" s="7" t="s">
        <v>725</v>
      </c>
      <c r="U53" s="531">
        <v>1.1774719465622904E-2</v>
      </c>
      <c r="V53" s="53" t="s">
        <v>341</v>
      </c>
    </row>
    <row r="54" spans="1:22" s="2" customFormat="1">
      <c r="A54" s="6" t="s">
        <v>17</v>
      </c>
      <c r="B54" s="7">
        <v>8</v>
      </c>
      <c r="C54" s="7">
        <v>255</v>
      </c>
      <c r="D54" s="7">
        <v>8</v>
      </c>
      <c r="E54" s="8">
        <v>0</v>
      </c>
      <c r="F54" s="8">
        <v>0</v>
      </c>
      <c r="H54" s="7">
        <f>U54*$H$30</f>
        <v>0</v>
      </c>
      <c r="I54" s="7">
        <f>U54*$I$30</f>
        <v>0</v>
      </c>
      <c r="J54" s="8">
        <f>U54*J30</f>
        <v>0</v>
      </c>
      <c r="K54" s="8">
        <f>U54*K30</f>
        <v>0</v>
      </c>
      <c r="L54" s="8">
        <f>U54*L30</f>
        <v>0</v>
      </c>
      <c r="N54" s="62">
        <f>B54/B30</f>
        <v>3.8539358319683977E-4</v>
      </c>
      <c r="O54" s="62">
        <f>C54/C30</f>
        <v>1.2159069235170704E-2</v>
      </c>
      <c r="P54" s="62">
        <f>D54/D30</f>
        <v>7.5678743732854033E-4</v>
      </c>
      <c r="Q54" s="62">
        <f>E54/E30</f>
        <v>0</v>
      </c>
      <c r="R54" s="62">
        <f>F54/F30</f>
        <v>0</v>
      </c>
      <c r="T54" s="48" t="s">
        <v>726</v>
      </c>
      <c r="U54" s="531">
        <v>0</v>
      </c>
      <c r="V54" s="53" t="s">
        <v>344</v>
      </c>
    </row>
    <row r="55" spans="1:22" s="2" customFormat="1" ht="20">
      <c r="A55" s="9" t="s">
        <v>117</v>
      </c>
      <c r="B55" s="9">
        <f>SUM(B51:B54)</f>
        <v>2706</v>
      </c>
      <c r="C55" s="9">
        <f>SUM(C51:C54)</f>
        <v>3127</v>
      </c>
      <c r="D55" s="9">
        <f>SUM(D51:D54)</f>
        <v>2825</v>
      </c>
      <c r="E55" s="9">
        <f>SUM(E51:E54)</f>
        <v>3626</v>
      </c>
      <c r="F55" s="9">
        <f>SUM(F51:F54)</f>
        <v>3313</v>
      </c>
      <c r="H55" s="9">
        <f ca="1">SUM(H51:H54)</f>
        <v>4060.3608585780235</v>
      </c>
      <c r="I55" s="9">
        <f ca="1">SUM(I51:I54)</f>
        <v>5455.2099214135724</v>
      </c>
      <c r="J55" s="9">
        <f ca="1">SUM(J51:J54)</f>
        <v>7024.2662781210956</v>
      </c>
      <c r="K55" s="9">
        <f ca="1">SUM(K51:K54)</f>
        <v>8783.7642330432445</v>
      </c>
      <c r="L55" s="9">
        <f ca="1">SUM(L51:L54)</f>
        <v>10751.392570879138</v>
      </c>
      <c r="N55" s="62"/>
      <c r="O55" s="62"/>
      <c r="P55" s="62"/>
      <c r="Q55" s="62"/>
      <c r="R55" s="62"/>
      <c r="T55" s="10"/>
      <c r="U55" s="114"/>
      <c r="V55" s="53"/>
    </row>
    <row r="56" spans="1:22" s="2" customFormat="1" ht="20">
      <c r="A56" s="7"/>
      <c r="B56" s="9"/>
      <c r="C56" s="9"/>
      <c r="D56" s="9"/>
      <c r="E56" s="9"/>
      <c r="F56" s="9"/>
      <c r="H56" s="9"/>
      <c r="I56" s="9"/>
      <c r="J56" s="9"/>
      <c r="K56" s="9"/>
      <c r="L56" s="9"/>
      <c r="N56" s="62"/>
      <c r="O56" s="62"/>
      <c r="P56" s="62"/>
      <c r="Q56" s="62"/>
      <c r="R56" s="62"/>
      <c r="T56" s="10"/>
      <c r="U56" s="114"/>
      <c r="V56" s="53"/>
    </row>
    <row r="57" spans="1:22" s="2" customFormat="1">
      <c r="A57" s="300" t="s">
        <v>155</v>
      </c>
      <c r="B57" s="7">
        <v>591</v>
      </c>
      <c r="C57" s="7">
        <v>684</v>
      </c>
      <c r="D57" s="7">
        <v>688</v>
      </c>
      <c r="E57" s="7">
        <v>686</v>
      </c>
      <c r="F57" s="7">
        <v>688</v>
      </c>
      <c r="H57" s="301">
        <f>F57+U57</f>
        <v>988</v>
      </c>
      <c r="I57" s="301">
        <f>H57</f>
        <v>988</v>
      </c>
      <c r="J57" s="301">
        <f>I57</f>
        <v>988</v>
      </c>
      <c r="K57" s="301">
        <f>J57</f>
        <v>988</v>
      </c>
      <c r="L57" s="301">
        <f>K57</f>
        <v>988</v>
      </c>
      <c r="N57" s="62"/>
      <c r="O57" s="62"/>
      <c r="P57" s="62"/>
      <c r="Q57" s="62"/>
      <c r="R57" s="62"/>
      <c r="T57" s="305" t="s">
        <v>630</v>
      </c>
      <c r="U57" s="307">
        <v>300</v>
      </c>
      <c r="V57" s="306" t="s">
        <v>633</v>
      </c>
    </row>
    <row r="58" spans="1:22" s="2" customFormat="1">
      <c r="A58" s="300" t="s">
        <v>156</v>
      </c>
      <c r="B58" s="7">
        <v>1275</v>
      </c>
      <c r="C58" s="7">
        <v>1100</v>
      </c>
      <c r="D58" s="7">
        <v>1045</v>
      </c>
      <c r="E58" s="7">
        <v>985</v>
      </c>
      <c r="F58" s="7">
        <v>1086</v>
      </c>
      <c r="H58" s="301">
        <f>H57*$U$58</f>
        <v>1639.8411647991124</v>
      </c>
      <c r="I58" s="301">
        <f>I57*$U$58</f>
        <v>1639.8411647991124</v>
      </c>
      <c r="J58" s="301">
        <f>J57*$U$58</f>
        <v>1639.8411647991124</v>
      </c>
      <c r="K58" s="301">
        <f>K57*$U$58</f>
        <v>1639.8411647991124</v>
      </c>
      <c r="L58" s="301">
        <f>L57*$U$58</f>
        <v>1639.8411647991124</v>
      </c>
      <c r="N58" s="62">
        <f>B58/B57</f>
        <v>2.1573604060913705</v>
      </c>
      <c r="O58" s="62">
        <f t="shared" ref="O58:R59" si="0">C58/C57</f>
        <v>1.6081871345029239</v>
      </c>
      <c r="P58" s="62">
        <f t="shared" si="0"/>
        <v>1.5188953488372092</v>
      </c>
      <c r="Q58" s="62">
        <f t="shared" si="0"/>
        <v>1.435860058309038</v>
      </c>
      <c r="R58" s="62">
        <f t="shared" si="0"/>
        <v>1.5784883720930232</v>
      </c>
      <c r="T58" s="305" t="s">
        <v>727</v>
      </c>
      <c r="U58" s="532">
        <v>1.659758263966713</v>
      </c>
      <c r="V58" s="306" t="s">
        <v>632</v>
      </c>
    </row>
    <row r="59" spans="1:22" s="2" customFormat="1">
      <c r="A59" s="300" t="s">
        <v>157</v>
      </c>
      <c r="B59" s="7">
        <v>1439</v>
      </c>
      <c r="C59" s="7">
        <v>1225</v>
      </c>
      <c r="D59" s="7">
        <v>640</v>
      </c>
      <c r="E59" s="7">
        <v>545</v>
      </c>
      <c r="F59" s="7">
        <v>649</v>
      </c>
      <c r="H59" s="301">
        <f>H58*$U$59</f>
        <v>1838.478252774021</v>
      </c>
      <c r="I59" s="301">
        <f>I58*$U$59</f>
        <v>1838.478252774021</v>
      </c>
      <c r="J59" s="301">
        <f>J58*$U$59</f>
        <v>1838.478252774021</v>
      </c>
      <c r="K59" s="301">
        <f>K58*$U$59</f>
        <v>1838.478252774021</v>
      </c>
      <c r="L59" s="301">
        <f>L58*$U$59</f>
        <v>1838.478252774021</v>
      </c>
      <c r="N59" s="62">
        <f>B59/B58</f>
        <v>1.1286274509803922</v>
      </c>
      <c r="O59" s="62">
        <f t="shared" si="0"/>
        <v>1.1136363636363635</v>
      </c>
      <c r="P59" s="62">
        <f t="shared" si="0"/>
        <v>0.61244019138755978</v>
      </c>
      <c r="Q59" s="62">
        <f t="shared" si="0"/>
        <v>0.5532994923857868</v>
      </c>
      <c r="R59" s="62">
        <f t="shared" si="0"/>
        <v>0.59760589318600366</v>
      </c>
      <c r="T59" s="305" t="s">
        <v>728</v>
      </c>
      <c r="U59" s="531">
        <v>1.1211319073083779</v>
      </c>
      <c r="V59" s="306" t="s">
        <v>635</v>
      </c>
    </row>
    <row r="60" spans="1:22" s="2" customFormat="1">
      <c r="A60" s="6" t="s">
        <v>158</v>
      </c>
      <c r="B60" s="7">
        <v>168</v>
      </c>
      <c r="C60" s="7">
        <v>196</v>
      </c>
      <c r="D60" s="7">
        <v>29</v>
      </c>
      <c r="E60" s="7">
        <v>137</v>
      </c>
      <c r="F60" s="7">
        <v>36</v>
      </c>
      <c r="H60" s="7">
        <f>$U$60*H30</f>
        <v>44.940501016927961</v>
      </c>
      <c r="I60" s="7">
        <f>$U$60*I30</f>
        <v>48.565756408747284</v>
      </c>
      <c r="J60" s="7">
        <f>$U$60*J30</f>
        <v>52.498634849468942</v>
      </c>
      <c r="K60" s="7">
        <f>$U$60*K30</f>
        <v>56.766083809974624</v>
      </c>
      <c r="L60" s="7">
        <f>$U$60*L30</f>
        <v>61.397455933191154</v>
      </c>
      <c r="N60" s="62">
        <f>B60/B30</f>
        <v>8.0932652471336353E-3</v>
      </c>
      <c r="O60" s="62">
        <f>C60/C30</f>
        <v>9.3457943925233638E-3</v>
      </c>
      <c r="P60" s="62">
        <f>D60/D30</f>
        <v>2.7433544603159589E-3</v>
      </c>
      <c r="Q60" s="62">
        <f>E60/E30</f>
        <v>9.886699862885184E-3</v>
      </c>
      <c r="R60" s="62">
        <f>F60/F30</f>
        <v>1.733018822509989E-3</v>
      </c>
      <c r="T60" s="48" t="s">
        <v>729</v>
      </c>
      <c r="U60" s="531">
        <v>1.733018822509989E-3</v>
      </c>
      <c r="V60" s="53" t="s">
        <v>340</v>
      </c>
    </row>
    <row r="61" spans="1:22" s="2" customFormat="1">
      <c r="A61" s="300" t="s">
        <v>159</v>
      </c>
      <c r="B61" s="7">
        <v>-1517</v>
      </c>
      <c r="C61" s="7">
        <v>-1301</v>
      </c>
      <c r="D61" s="7">
        <v>-888</v>
      </c>
      <c r="E61" s="8">
        <v>-850</v>
      </c>
      <c r="F61" s="8">
        <v>-874</v>
      </c>
      <c r="H61" s="301">
        <f>$U$61*SUM(H57:H59)</f>
        <v>-1611.0454688233258</v>
      </c>
      <c r="I61" s="301">
        <f>$U$61*SUM(I57:I59)</f>
        <v>-1611.0454688233258</v>
      </c>
      <c r="J61" s="301">
        <f>$U$61*SUM(J57:J59)</f>
        <v>-1611.0454688233258</v>
      </c>
      <c r="K61" s="301">
        <f>$U$61*SUM(K57:K59)</f>
        <v>-1611.0454688233258</v>
      </c>
      <c r="L61" s="301">
        <f>$U$61*SUM(L57:L59)</f>
        <v>-1611.0454688233258</v>
      </c>
      <c r="N61" s="62">
        <f>B61/SUM(B57:B59)</f>
        <v>-0.45900151285930407</v>
      </c>
      <c r="O61" s="62">
        <f>C61/SUM(C57:C59)</f>
        <v>-0.43236955799268861</v>
      </c>
      <c r="P61" s="62">
        <f>D61/SUM(D57:D59)</f>
        <v>-0.37420986093552466</v>
      </c>
      <c r="Q61" s="62">
        <f>E61/SUM(E57:E59)</f>
        <v>-0.38357400722021662</v>
      </c>
      <c r="R61" s="62">
        <f>F61/SUM(F57:F59)</f>
        <v>-0.36070986380520015</v>
      </c>
      <c r="T61" s="305" t="s">
        <v>730</v>
      </c>
      <c r="U61" s="531">
        <v>-0.36070986380520015</v>
      </c>
      <c r="V61" s="306" t="s">
        <v>340</v>
      </c>
    </row>
    <row r="62" spans="1:22" s="2" customFormat="1" ht="20">
      <c r="A62" s="10" t="s">
        <v>220</v>
      </c>
      <c r="B62" s="9">
        <f>SUM(B57:B61)</f>
        <v>1956</v>
      </c>
      <c r="C62" s="9">
        <f>SUM(C57:C61)</f>
        <v>1904</v>
      </c>
      <c r="D62" s="9">
        <f>SUM(D57:D61)</f>
        <v>1514</v>
      </c>
      <c r="E62" s="9">
        <f>SUM(E57:E61)</f>
        <v>1503</v>
      </c>
      <c r="F62" s="9">
        <f>SUM(F57:F61)</f>
        <v>1585</v>
      </c>
      <c r="H62" s="9">
        <f>SUM(H57:H61)</f>
        <v>2900.214449766735</v>
      </c>
      <c r="I62" s="9">
        <f>SUM(I57:I61)</f>
        <v>2903.8397051585544</v>
      </c>
      <c r="J62" s="9">
        <f>SUM(J57:J61)</f>
        <v>2907.772583599276</v>
      </c>
      <c r="K62" s="9">
        <f>SUM(K57:K61)</f>
        <v>2912.040032559782</v>
      </c>
      <c r="L62" s="9">
        <f>SUM(L57:L61)</f>
        <v>2916.6714046829984</v>
      </c>
      <c r="N62" s="62"/>
      <c r="O62" s="62"/>
      <c r="P62" s="62"/>
      <c r="Q62" s="62"/>
      <c r="R62" s="62"/>
      <c r="T62" s="10"/>
      <c r="U62" s="114"/>
      <c r="V62" s="53"/>
    </row>
    <row r="63" spans="1:22" s="27" customFormat="1">
      <c r="A63" s="26"/>
      <c r="B63" s="26"/>
      <c r="C63" s="26"/>
      <c r="D63" s="26"/>
      <c r="E63" s="26"/>
      <c r="F63" s="26"/>
      <c r="H63" s="26"/>
      <c r="I63" s="26"/>
      <c r="J63" s="26"/>
      <c r="K63" s="26"/>
      <c r="L63" s="26"/>
      <c r="N63" s="62"/>
      <c r="O63" s="62"/>
      <c r="P63" s="62"/>
      <c r="Q63" s="62"/>
      <c r="R63" s="62"/>
      <c r="T63" s="56"/>
      <c r="U63" s="114"/>
      <c r="V63" s="53"/>
    </row>
    <row r="64" spans="1:22" s="27" customFormat="1">
      <c r="A64" s="6" t="s">
        <v>161</v>
      </c>
      <c r="B64" s="26">
        <v>1347</v>
      </c>
      <c r="C64" s="26">
        <v>1588</v>
      </c>
      <c r="D64" s="26">
        <v>1674</v>
      </c>
      <c r="E64" s="26">
        <v>1875</v>
      </c>
      <c r="F64" s="26">
        <v>1995</v>
      </c>
      <c r="H64" s="7">
        <f>$U$64*H30</f>
        <v>2045.5855292938606</v>
      </c>
      <c r="I64" s="7">
        <f>$U$64*I30</f>
        <v>2210.5985977219766</v>
      </c>
      <c r="J64" s="7">
        <f>$U$64*J30</f>
        <v>2389.6139412265288</v>
      </c>
      <c r="K64" s="7">
        <f>$U$64*K30</f>
        <v>2583.8581450755778</v>
      </c>
      <c r="L64" s="7">
        <f>$U$64*L30</f>
        <v>2794.6672722915418</v>
      </c>
      <c r="N64" s="147">
        <f>B64/B30</f>
        <v>6.4890644570767902E-2</v>
      </c>
      <c r="O64" s="147">
        <f>C64/C30</f>
        <v>7.5720007629219918E-2</v>
      </c>
      <c r="P64" s="147">
        <f>D64/D30</f>
        <v>0.15835777126099707</v>
      </c>
      <c r="Q64" s="147">
        <f>E64/E30</f>
        <v>0.13531067330591037</v>
      </c>
      <c r="R64" s="147">
        <f>F64/F30</f>
        <v>9.6038126414095218E-2</v>
      </c>
      <c r="T64" s="48" t="s">
        <v>732</v>
      </c>
      <c r="U64" s="531">
        <v>7.8882926204694337E-2</v>
      </c>
      <c r="V64" s="53" t="s">
        <v>341</v>
      </c>
    </row>
    <row r="65" spans="1:22" s="27" customFormat="1">
      <c r="A65" s="6" t="s">
        <v>162</v>
      </c>
      <c r="B65" s="26">
        <v>1983</v>
      </c>
      <c r="C65" s="26">
        <v>1972</v>
      </c>
      <c r="D65" s="26">
        <v>2257</v>
      </c>
      <c r="E65" s="26">
        <v>2187</v>
      </c>
      <c r="F65" s="26">
        <v>2173</v>
      </c>
      <c r="H65" s="7">
        <f>$U$65*H30</f>
        <v>2542.7672298475059</v>
      </c>
      <c r="I65" s="7">
        <f>$U$65*I30</f>
        <v>2747.8868969974983</v>
      </c>
      <c r="J65" s="7">
        <f>$U$65*J30</f>
        <v>2970.412106813782</v>
      </c>
      <c r="K65" s="7">
        <f>$U$65*K30</f>
        <v>3211.8675673956145</v>
      </c>
      <c r="L65" s="7">
        <f>$U$65*L30</f>
        <v>3473.9140732792125</v>
      </c>
      <c r="N65" s="147">
        <f>B65/B30</f>
        <v>9.5529434434916655E-2</v>
      </c>
      <c r="O65" s="147">
        <f>C65/C30</f>
        <v>9.4030135418653446E-2</v>
      </c>
      <c r="P65" s="147">
        <f>D65/D30</f>
        <v>0.21350865575631445</v>
      </c>
      <c r="Q65" s="147">
        <f>E65/E30</f>
        <v>0.15782636934401387</v>
      </c>
      <c r="R65" s="147">
        <f>F65/F30</f>
        <v>0.10460694170317239</v>
      </c>
      <c r="T65" s="48" t="s">
        <v>731</v>
      </c>
      <c r="U65" s="531">
        <v>9.8055503852247483E-2</v>
      </c>
      <c r="V65" s="53" t="s">
        <v>341</v>
      </c>
    </row>
    <row r="66" spans="1:22" s="2" customFormat="1">
      <c r="A66" s="6" t="s">
        <v>163</v>
      </c>
      <c r="B66" s="7">
        <v>-674</v>
      </c>
      <c r="C66" s="7">
        <v>-808</v>
      </c>
      <c r="D66" s="7">
        <v>-937</v>
      </c>
      <c r="E66" s="7">
        <v>-1052</v>
      </c>
      <c r="F66" s="7">
        <v>-1172</v>
      </c>
      <c r="H66" s="7">
        <f>H67*$U$66</f>
        <v>-911.9535486387914</v>
      </c>
      <c r="I66" s="7">
        <f>I67*$U$66</f>
        <v>-911.9535486387914</v>
      </c>
      <c r="J66" s="7">
        <f>J67*$U$66</f>
        <v>-911.9535486387914</v>
      </c>
      <c r="K66" s="7">
        <f>K67*$U$66</f>
        <v>-911.9535486387914</v>
      </c>
      <c r="L66" s="7">
        <f>L67*$U$66</f>
        <v>-911.9535486387914</v>
      </c>
      <c r="N66" s="62">
        <f>B66/B67</f>
        <v>-0.11774982529699511</v>
      </c>
      <c r="O66" s="62">
        <f>C66/C67</f>
        <v>-0.13720495839701138</v>
      </c>
      <c r="P66" s="62">
        <f>D66/D67</f>
        <v>-0.15629691409507923</v>
      </c>
      <c r="Q66" s="62">
        <f>E66/E67</f>
        <v>-0.17782285327924274</v>
      </c>
      <c r="R66" s="62">
        <f>F66/F67</f>
        <v>-0.20379064510519909</v>
      </c>
      <c r="T66" s="48" t="s">
        <v>733</v>
      </c>
      <c r="U66" s="531">
        <v>-0.1585730392347055</v>
      </c>
      <c r="V66" s="53" t="s">
        <v>632</v>
      </c>
    </row>
    <row r="67" spans="1:22" s="2" customFormat="1">
      <c r="A67" s="300" t="s">
        <v>164</v>
      </c>
      <c r="B67" s="7">
        <v>5724</v>
      </c>
      <c r="C67" s="7">
        <v>5889</v>
      </c>
      <c r="D67" s="7">
        <v>5995</v>
      </c>
      <c r="E67" s="7">
        <v>5916</v>
      </c>
      <c r="F67" s="7">
        <v>5751</v>
      </c>
      <c r="H67" s="301">
        <f>F67</f>
        <v>5751</v>
      </c>
      <c r="I67" s="301">
        <f>H67</f>
        <v>5751</v>
      </c>
      <c r="J67" s="301">
        <f t="shared" ref="J67:L68" si="1">I67</f>
        <v>5751</v>
      </c>
      <c r="K67" s="301">
        <f t="shared" si="1"/>
        <v>5751</v>
      </c>
      <c r="L67" s="301">
        <f t="shared" si="1"/>
        <v>5751</v>
      </c>
      <c r="N67" s="62"/>
      <c r="O67" s="62"/>
      <c r="P67" s="62"/>
      <c r="Q67" s="62"/>
      <c r="R67" s="62"/>
      <c r="T67" s="305" t="s">
        <v>694</v>
      </c>
      <c r="U67" s="308"/>
      <c r="V67" s="306" t="s">
        <v>215</v>
      </c>
    </row>
    <row r="68" spans="1:22" s="2" customFormat="1">
      <c r="A68" s="300" t="s">
        <v>20</v>
      </c>
      <c r="B68" s="7">
        <v>9039</v>
      </c>
      <c r="C68" s="7">
        <v>9048</v>
      </c>
      <c r="D68" s="7">
        <v>9175</v>
      </c>
      <c r="E68" s="7">
        <v>9073</v>
      </c>
      <c r="F68" s="7">
        <v>8872</v>
      </c>
      <c r="H68" s="301">
        <f>F68</f>
        <v>8872</v>
      </c>
      <c r="I68" s="301">
        <f>H68</f>
        <v>8872</v>
      </c>
      <c r="J68" s="301">
        <f t="shared" si="1"/>
        <v>8872</v>
      </c>
      <c r="K68" s="301">
        <f t="shared" si="1"/>
        <v>8872</v>
      </c>
      <c r="L68" s="301">
        <f t="shared" si="1"/>
        <v>8872</v>
      </c>
      <c r="N68" s="62"/>
      <c r="O68" s="62"/>
      <c r="P68" s="62"/>
      <c r="Q68" s="62"/>
      <c r="R68" s="62"/>
      <c r="T68" s="305" t="s">
        <v>694</v>
      </c>
      <c r="U68" s="308"/>
      <c r="V68" s="306" t="s">
        <v>215</v>
      </c>
    </row>
    <row r="69" spans="1:22" s="2" customFormat="1" ht="20">
      <c r="A69" s="10" t="s">
        <v>118</v>
      </c>
      <c r="B69" s="9">
        <f>SUM(B64:B68)</f>
        <v>17419</v>
      </c>
      <c r="C69" s="9">
        <f>SUM(C64:C68)</f>
        <v>17689</v>
      </c>
      <c r="D69" s="9">
        <f>SUM(D64:D68)</f>
        <v>18164</v>
      </c>
      <c r="E69" s="9">
        <f>SUM(E64:E68)</f>
        <v>17999</v>
      </c>
      <c r="F69" s="9">
        <f>SUM(F64:F68)</f>
        <v>17619</v>
      </c>
      <c r="H69" s="9">
        <f>SUM(H64:H68)</f>
        <v>18299.399210502575</v>
      </c>
      <c r="I69" s="9">
        <f>SUM(I64:I68)</f>
        <v>18669.531946080682</v>
      </c>
      <c r="J69" s="9">
        <f>SUM(J64:J68)</f>
        <v>19071.072499401518</v>
      </c>
      <c r="K69" s="9">
        <f>SUM(K64:K68)</f>
        <v>19506.7721638324</v>
      </c>
      <c r="L69" s="9">
        <f>SUM(L64:L68)</f>
        <v>19979.627796931964</v>
      </c>
      <c r="N69" s="62"/>
      <c r="O69" s="62"/>
      <c r="P69" s="62"/>
      <c r="Q69" s="62"/>
      <c r="R69" s="62"/>
      <c r="T69" s="10"/>
      <c r="U69" s="114"/>
      <c r="V69" s="53"/>
    </row>
    <row r="70" spans="1:22" s="2" customFormat="1">
      <c r="A70" s="6"/>
      <c r="B70" s="7"/>
      <c r="C70" s="7"/>
      <c r="D70" s="7"/>
      <c r="E70" s="7"/>
      <c r="F70" s="7"/>
      <c r="H70" s="7"/>
      <c r="I70" s="7"/>
      <c r="J70" s="7"/>
      <c r="K70" s="7"/>
      <c r="L70" s="7"/>
      <c r="N70" s="62"/>
      <c r="O70" s="62"/>
      <c r="P70" s="62"/>
      <c r="Q70" s="62"/>
      <c r="R70" s="62"/>
      <c r="T70" s="48"/>
      <c r="U70" s="114"/>
      <c r="V70" s="53"/>
    </row>
    <row r="71" spans="1:22" s="2" customFormat="1">
      <c r="A71" s="6" t="s">
        <v>79</v>
      </c>
      <c r="B71" s="7">
        <v>732</v>
      </c>
      <c r="C71" s="7">
        <v>577</v>
      </c>
      <c r="D71" s="7">
        <v>422</v>
      </c>
      <c r="E71" s="7">
        <v>387</v>
      </c>
      <c r="F71" s="7">
        <v>335</v>
      </c>
      <c r="H71" s="7">
        <f>$U$71*H30</f>
        <v>682.0361392782537</v>
      </c>
      <c r="I71" s="7">
        <f>$U$71*I30</f>
        <v>737.05455552605599</v>
      </c>
      <c r="J71" s="7">
        <f>$U$71*J30</f>
        <v>796.74158987732199</v>
      </c>
      <c r="K71" s="7">
        <f>$U$71*K30</f>
        <v>861.50620860050799</v>
      </c>
      <c r="L71" s="7">
        <f>$U$71*L30</f>
        <v>931.79387987701875</v>
      </c>
      <c r="N71" s="62">
        <f>B71/B30</f>
        <v>3.5263512862510837E-2</v>
      </c>
      <c r="O71" s="62">
        <f>C71/C30</f>
        <v>2.7512874308601946E-2</v>
      </c>
      <c r="P71" s="62">
        <f>D71/D30</f>
        <v>3.9920537319080504E-2</v>
      </c>
      <c r="Q71" s="62">
        <f>E71/E30</f>
        <v>2.7928122970339902E-2</v>
      </c>
      <c r="R71" s="62">
        <f>F71/F30</f>
        <v>1.6126702931690176E-2</v>
      </c>
      <c r="T71" s="48" t="s">
        <v>734</v>
      </c>
      <c r="U71" s="531">
        <v>2.6301030034267651E-2</v>
      </c>
      <c r="V71" s="53" t="s">
        <v>341</v>
      </c>
    </row>
    <row r="72" spans="1:22" s="2" customFormat="1">
      <c r="A72" s="6" t="s">
        <v>21</v>
      </c>
      <c r="B72" s="7">
        <v>125</v>
      </c>
      <c r="C72" s="7">
        <v>117</v>
      </c>
      <c r="D72" s="7">
        <v>159</v>
      </c>
      <c r="E72" s="7">
        <v>144</v>
      </c>
      <c r="F72" s="7">
        <v>152</v>
      </c>
      <c r="H72" s="7">
        <f>$U$72*H30</f>
        <v>163.52522245548047</v>
      </c>
      <c r="I72" s="7">
        <f>$U$72*I30</f>
        <v>176.71645710998254</v>
      </c>
      <c r="J72" s="7">
        <f>$U$72*J30</f>
        <v>191.02704126807021</v>
      </c>
      <c r="K72" s="7">
        <f>$U$72*K30</f>
        <v>206.55502882480093</v>
      </c>
      <c r="L72" s="7">
        <f>$U$72*L30</f>
        <v>223.40722538660205</v>
      </c>
      <c r="N72" s="62">
        <f>B72/B30</f>
        <v>6.0217747374506211E-3</v>
      </c>
      <c r="O72" s="62">
        <f>C72/C30</f>
        <v>5.5788670608430289E-3</v>
      </c>
      <c r="P72" s="62">
        <f>D72/D30</f>
        <v>1.504115031690474E-2</v>
      </c>
      <c r="Q72" s="62">
        <f>E72/E30</f>
        <v>1.0391859709893916E-2</v>
      </c>
      <c r="R72" s="62">
        <f>F72/F30</f>
        <v>7.3171905839310644E-3</v>
      </c>
      <c r="T72" s="48" t="s">
        <v>735</v>
      </c>
      <c r="U72" s="531">
        <v>6.3059441274082376E-3</v>
      </c>
      <c r="V72" s="53" t="s">
        <v>341</v>
      </c>
    </row>
    <row r="73" spans="1:22" s="2" customFormat="1">
      <c r="A73" s="6" t="s">
        <v>22</v>
      </c>
      <c r="B73" s="7">
        <v>171</v>
      </c>
      <c r="C73" s="7">
        <v>154</v>
      </c>
      <c r="D73" s="7">
        <v>249</v>
      </c>
      <c r="E73" s="7">
        <v>228</v>
      </c>
      <c r="F73" s="7">
        <v>240</v>
      </c>
      <c r="H73" s="7">
        <f>$U$73*H30</f>
        <v>234.54875460305553</v>
      </c>
      <c r="I73" s="7">
        <f>$U$73*I30</f>
        <v>253.46930773504994</v>
      </c>
      <c r="J73" s="7">
        <f>$U$73*J30</f>
        <v>273.99537485497382</v>
      </c>
      <c r="K73" s="7">
        <f>$U$73*K30</f>
        <v>296.26759737963346</v>
      </c>
      <c r="L73" s="7">
        <f>$U$73*L30</f>
        <v>320.43916954778911</v>
      </c>
      <c r="N73" s="62">
        <f>B73/B30</f>
        <v>8.2377878408324504E-3</v>
      </c>
      <c r="O73" s="62">
        <f>C73/C30</f>
        <v>7.3431241655540717E-3</v>
      </c>
      <c r="P73" s="62">
        <f>D73/D30</f>
        <v>2.3555008986850819E-2</v>
      </c>
      <c r="Q73" s="62">
        <f>E73/E30</f>
        <v>1.6453777873998703E-2</v>
      </c>
      <c r="R73" s="62">
        <f>F73/F30</f>
        <v>1.155345881673326E-2</v>
      </c>
      <c r="T73" s="48" t="s">
        <v>736</v>
      </c>
      <c r="U73" s="531">
        <v>9.0447902743732607E-3</v>
      </c>
      <c r="V73" s="53" t="s">
        <v>341</v>
      </c>
    </row>
    <row r="74" spans="1:22" s="2" customFormat="1">
      <c r="A74" s="6" t="s">
        <v>23</v>
      </c>
      <c r="B74" s="7">
        <v>0</v>
      </c>
      <c r="C74" s="7">
        <v>888</v>
      </c>
      <c r="D74" s="7">
        <v>752</v>
      </c>
      <c r="E74" s="7">
        <v>1062</v>
      </c>
      <c r="F74" s="7">
        <v>987</v>
      </c>
      <c r="H74" s="7">
        <f>$U$74*H30</f>
        <v>776.71080197867275</v>
      </c>
      <c r="I74" s="7">
        <f>$U$74*I30</f>
        <v>839.36642350138038</v>
      </c>
      <c r="J74" s="7">
        <f>$U$74*J30</f>
        <v>907.33872240002688</v>
      </c>
      <c r="K74" s="7">
        <f>$U$74*K30</f>
        <v>981.09343428605825</v>
      </c>
      <c r="L74" s="7">
        <f>$U$74*L30</f>
        <v>1061.1378635800306</v>
      </c>
      <c r="N74" s="62">
        <f>B74/B30</f>
        <v>0</v>
      </c>
      <c r="O74" s="62">
        <f>C74/C30</f>
        <v>4.234217051306504E-2</v>
      </c>
      <c r="P74" s="62">
        <f>D74/D30</f>
        <v>7.1138019108882788E-2</v>
      </c>
      <c r="Q74" s="62">
        <f>E74/E30</f>
        <v>7.6639965360467632E-2</v>
      </c>
      <c r="R74" s="62">
        <f>F74/F30</f>
        <v>4.7513599383815532E-2</v>
      </c>
      <c r="T74" s="48" t="s">
        <v>737</v>
      </c>
      <c r="U74" s="531">
        <v>2.9951923298960192E-2</v>
      </c>
      <c r="V74" s="53" t="s">
        <v>341</v>
      </c>
    </row>
    <row r="75" spans="1:22" s="2" customFormat="1">
      <c r="A75" s="6" t="s">
        <v>24</v>
      </c>
      <c r="B75" s="7">
        <v>587</v>
      </c>
      <c r="C75" s="7">
        <v>595</v>
      </c>
      <c r="D75" s="7">
        <v>616</v>
      </c>
      <c r="E75" s="7">
        <v>604</v>
      </c>
      <c r="F75" s="7">
        <v>584</v>
      </c>
      <c r="H75" s="7">
        <f>$U$75*H30</f>
        <v>732.68758843402827</v>
      </c>
      <c r="I75" s="7">
        <f>$U$75*I30</f>
        <v>791.79195020981365</v>
      </c>
      <c r="J75" s="7">
        <f>$U$75*J30</f>
        <v>855.91164525395914</v>
      </c>
      <c r="K75" s="7">
        <f>$U$75*K30</f>
        <v>925.48601173599855</v>
      </c>
      <c r="L75" s="7">
        <f>$U$75*L30</f>
        <v>1000.9936005548662</v>
      </c>
      <c r="N75" s="62">
        <f>B75/B30</f>
        <v>2.8278254167068119E-2</v>
      </c>
      <c r="O75" s="62">
        <f>C75/C30</f>
        <v>2.8371161548731642E-2</v>
      </c>
      <c r="P75" s="62">
        <f>D75/D30</f>
        <v>5.8272632674297609E-2</v>
      </c>
      <c r="Q75" s="62">
        <f>E75/E30</f>
        <v>4.3588078227610592E-2</v>
      </c>
      <c r="R75" s="62">
        <f>F75/F30</f>
        <v>2.8113416454050931E-2</v>
      </c>
      <c r="T75" s="48" t="s">
        <v>738</v>
      </c>
      <c r="U75" s="531">
        <v>2.8254277389950233E-2</v>
      </c>
      <c r="V75" s="53" t="s">
        <v>341</v>
      </c>
    </row>
    <row r="76" spans="1:22" s="2" customFormat="1" ht="20">
      <c r="A76" s="49" t="s">
        <v>119</v>
      </c>
      <c r="B76" s="9">
        <f>SUM(B71:B75)</f>
        <v>1615</v>
      </c>
      <c r="C76" s="9">
        <f>SUM(C71:C75)</f>
        <v>2331</v>
      </c>
      <c r="D76" s="9">
        <f>SUM(D71:D75)</f>
        <v>2198</v>
      </c>
      <c r="E76" s="9">
        <f>SUM(E71:E75)</f>
        <v>2425</v>
      </c>
      <c r="F76" s="9">
        <f>SUM(F71:F75)</f>
        <v>2298</v>
      </c>
      <c r="H76" s="9">
        <f>SUM(H71:H75)</f>
        <v>2589.5085067494911</v>
      </c>
      <c r="I76" s="9">
        <f>SUM(I71:I75)</f>
        <v>2798.3986940822824</v>
      </c>
      <c r="J76" s="9">
        <f>SUM(J71:J75)</f>
        <v>3025.0143736543523</v>
      </c>
      <c r="K76" s="9">
        <f>SUM(K71:K75)</f>
        <v>3270.9082808269991</v>
      </c>
      <c r="L76" s="9">
        <f>SUM(L71:L75)</f>
        <v>3537.7717389463069</v>
      </c>
      <c r="N76" s="62"/>
      <c r="O76" s="62"/>
      <c r="P76" s="62"/>
      <c r="Q76" s="62"/>
      <c r="R76" s="62"/>
      <c r="T76" s="10"/>
      <c r="U76" s="114"/>
      <c r="V76" s="53"/>
    </row>
    <row r="77" spans="1:22" s="2" customFormat="1">
      <c r="A77" s="7"/>
      <c r="B77" s="7"/>
      <c r="C77" s="7"/>
      <c r="D77" s="7"/>
      <c r="E77" s="7"/>
      <c r="F77" s="7"/>
      <c r="H77" s="7"/>
      <c r="I77" s="7"/>
      <c r="J77" s="7"/>
      <c r="K77" s="7"/>
      <c r="L77" s="7"/>
      <c r="N77" s="62"/>
      <c r="O77" s="62"/>
      <c r="P77" s="62"/>
      <c r="Q77" s="62"/>
      <c r="R77" s="62"/>
      <c r="T77" s="48"/>
      <c r="U77" s="114"/>
      <c r="V77" s="53"/>
    </row>
    <row r="78" spans="1:22" s="1" customFormat="1" ht="20">
      <c r="A78" s="16" t="s">
        <v>40</v>
      </c>
      <c r="B78" s="16">
        <f>B55+B62+B69+SUM(B71:B75)</f>
        <v>23696</v>
      </c>
      <c r="C78" s="16">
        <f>C55+C62+C69+SUM(C71:C75)</f>
        <v>25051</v>
      </c>
      <c r="D78" s="16">
        <f>D55+D62+D69+SUM(D71:D75)</f>
        <v>24701</v>
      </c>
      <c r="E78" s="16">
        <f>E55+E62+E69+SUM(E71:E75)</f>
        <v>25553</v>
      </c>
      <c r="F78" s="16">
        <f>F55+F62+F69+SUM(F71:F75)</f>
        <v>24815</v>
      </c>
      <c r="H78" s="16">
        <f ca="1">H55+H62+H69+SUM(H71:H75)</f>
        <v>27849.483025596823</v>
      </c>
      <c r="I78" s="16">
        <f ca="1">I55+I62+I69+SUM(I71:I75)</f>
        <v>29826.980266735092</v>
      </c>
      <c r="J78" s="16">
        <f ca="1">J55+J62+J69+SUM(J71:J75)</f>
        <v>32028.125734776244</v>
      </c>
      <c r="K78" s="16">
        <f ca="1">K55+K62+K69+SUM(K71:K75)</f>
        <v>34473.484710262426</v>
      </c>
      <c r="L78" s="16">
        <f ca="1">L55+L62+L69+SUM(L71:L75)</f>
        <v>37185.463511440408</v>
      </c>
      <c r="N78" s="62"/>
      <c r="O78" s="62"/>
      <c r="P78" s="62"/>
      <c r="Q78" s="62"/>
      <c r="R78" s="62"/>
      <c r="T78" s="109"/>
      <c r="U78" s="115"/>
      <c r="V78" s="116"/>
    </row>
    <row r="79" spans="1:22" s="1" customFormat="1" ht="20">
      <c r="A79" s="12"/>
      <c r="B79" s="12"/>
      <c r="C79" s="12"/>
      <c r="D79" s="12"/>
      <c r="E79" s="12"/>
      <c r="F79" s="12"/>
      <c r="H79" s="12"/>
      <c r="I79" s="12"/>
      <c r="J79" s="12"/>
      <c r="K79" s="12"/>
      <c r="L79" s="12"/>
      <c r="N79" s="62"/>
      <c r="O79" s="62"/>
      <c r="P79" s="62"/>
      <c r="Q79" s="62"/>
      <c r="R79" s="62"/>
      <c r="T79" s="110"/>
      <c r="U79" s="114"/>
      <c r="V79" s="53"/>
    </row>
    <row r="80" spans="1:22" s="1" customFormat="1">
      <c r="A80" s="15" t="s">
        <v>25</v>
      </c>
      <c r="B80" s="15"/>
      <c r="C80" s="15"/>
      <c r="D80" s="15"/>
      <c r="E80" s="15"/>
      <c r="F80" s="15"/>
      <c r="H80" s="15"/>
      <c r="I80" s="15"/>
      <c r="J80" s="15"/>
      <c r="K80" s="15"/>
      <c r="L80" s="15"/>
      <c r="N80" s="62"/>
      <c r="O80" s="62"/>
      <c r="P80" s="62"/>
      <c r="Q80" s="62"/>
      <c r="R80" s="62"/>
      <c r="T80" s="55"/>
      <c r="U80" s="115"/>
      <c r="V80" s="116"/>
    </row>
    <row r="81" spans="1:22" s="1" customFormat="1">
      <c r="A81" s="15" t="s">
        <v>100</v>
      </c>
      <c r="B81" s="15"/>
      <c r="C81" s="15"/>
      <c r="D81" s="15"/>
      <c r="E81" s="15"/>
      <c r="F81" s="15"/>
      <c r="H81" s="15"/>
      <c r="I81" s="15"/>
      <c r="J81" s="15"/>
      <c r="K81" s="15"/>
      <c r="L81" s="15"/>
      <c r="N81" s="62"/>
      <c r="O81" s="62"/>
      <c r="P81" s="62"/>
      <c r="Q81" s="62"/>
      <c r="R81" s="62"/>
      <c r="T81" s="55"/>
      <c r="U81" s="115"/>
      <c r="V81" s="116"/>
    </row>
    <row r="82" spans="1:22" s="2" customFormat="1">
      <c r="A82" s="300" t="s">
        <v>26</v>
      </c>
      <c r="B82" s="7">
        <v>833</v>
      </c>
      <c r="C82" s="7">
        <v>977</v>
      </c>
      <c r="D82" s="7">
        <v>1173</v>
      </c>
      <c r="E82" s="7">
        <v>805</v>
      </c>
      <c r="F82" s="7">
        <v>684</v>
      </c>
      <c r="H82" s="301">
        <f>$U$82*H90</f>
        <v>895.44857496441682</v>
      </c>
      <c r="I82" s="301">
        <f>$U$82*I90</f>
        <v>895.44857496441682</v>
      </c>
      <c r="J82" s="301">
        <f>$U$82*J90</f>
        <v>895.44857496441682</v>
      </c>
      <c r="K82" s="301">
        <f>$U$82*K90</f>
        <v>895.44857496441682</v>
      </c>
      <c r="L82" s="301">
        <f>$U$82*L90</f>
        <v>895.44857496441682</v>
      </c>
      <c r="N82" s="62">
        <f>B82/B90</f>
        <v>9.7838853652807145E-2</v>
      </c>
      <c r="O82" s="62">
        <f>C82/C90</f>
        <v>9.8062832480176651E-2</v>
      </c>
      <c r="P82" s="62">
        <f>D82/D90</f>
        <v>0.12745843746604368</v>
      </c>
      <c r="Q82" s="62">
        <f>E82/E90</f>
        <v>8.6253080467159543E-2</v>
      </c>
      <c r="R82" s="62">
        <f>F82/F90</f>
        <v>7.2921108742004262E-2</v>
      </c>
      <c r="T82" s="305" t="s">
        <v>739</v>
      </c>
      <c r="U82" s="531">
        <v>9.6506862561638262E-2</v>
      </c>
      <c r="V82" s="306" t="s">
        <v>342</v>
      </c>
    </row>
    <row r="83" spans="1:22" s="2" customFormat="1">
      <c r="A83" s="6" t="s">
        <v>80</v>
      </c>
      <c r="B83" s="7">
        <v>767</v>
      </c>
      <c r="C83" s="7">
        <v>720</v>
      </c>
      <c r="D83" s="7">
        <v>527</v>
      </c>
      <c r="E83" s="7">
        <v>726</v>
      </c>
      <c r="F83" s="7">
        <v>746</v>
      </c>
      <c r="H83" s="7">
        <f>U83*$H$30</f>
        <v>1086.2297558586765</v>
      </c>
      <c r="I83" s="7">
        <f>U83*$I$30</f>
        <v>1173.8536183006634</v>
      </c>
      <c r="J83" s="7">
        <f>U83*$J$30</f>
        <v>1268.912851994515</v>
      </c>
      <c r="K83" s="7">
        <f>U83*$K$30</f>
        <v>1372.058788012527</v>
      </c>
      <c r="L83" s="7">
        <f>U83*$L$30</f>
        <v>1484.0008913904405</v>
      </c>
      <c r="N83" s="62">
        <f>B83/B30</f>
        <v>3.6949609788997015E-2</v>
      </c>
      <c r="O83" s="62">
        <f>C83/C30</f>
        <v>3.4331489605187872E-2</v>
      </c>
      <c r="P83" s="62">
        <f>D83/D30</f>
        <v>4.9853372434017593E-2</v>
      </c>
      <c r="Q83" s="62">
        <f>E83/E30</f>
        <v>5.2392292704048493E-2</v>
      </c>
      <c r="R83" s="62">
        <f>F83/F30</f>
        <v>3.5912001155345881E-2</v>
      </c>
      <c r="T83" s="48" t="s">
        <v>740</v>
      </c>
      <c r="U83" s="531">
        <v>4.1887753137519371E-2</v>
      </c>
      <c r="V83" s="53" t="s">
        <v>342</v>
      </c>
    </row>
    <row r="84" spans="1:22" s="2" customFormat="1">
      <c r="A84" s="6" t="s">
        <v>27</v>
      </c>
      <c r="B84" s="7">
        <v>1345</v>
      </c>
      <c r="C84" s="7">
        <v>1339</v>
      </c>
      <c r="D84" s="7">
        <v>831</v>
      </c>
      <c r="E84" s="7">
        <v>1187</v>
      </c>
      <c r="F84" s="7">
        <v>1299</v>
      </c>
      <c r="H84" s="7">
        <f>U84*$H$30</f>
        <v>1652.5064782368315</v>
      </c>
      <c r="I84" s="7">
        <f>U84*$I$30</f>
        <v>1785.8106890196145</v>
      </c>
      <c r="J84" s="7">
        <f>U84*$J$30</f>
        <v>1930.4265022470297</v>
      </c>
      <c r="K84" s="7">
        <f>U84*$K$30</f>
        <v>2087.3448029603296</v>
      </c>
      <c r="L84" s="7">
        <f>U84*$L$30</f>
        <v>2257.6449167453975</v>
      </c>
      <c r="N84" s="62">
        <f>B84/B30</f>
        <v>6.4794296174968694E-2</v>
      </c>
      <c r="O84" s="62">
        <f>C84/C30</f>
        <v>6.384703414075911E-2</v>
      </c>
      <c r="P84" s="62">
        <f>D84/D30</f>
        <v>7.8611295052502125E-2</v>
      </c>
      <c r="Q84" s="62">
        <f>E84/E30</f>
        <v>8.5660676914194989E-2</v>
      </c>
      <c r="R84" s="62">
        <f>F84/F30</f>
        <v>6.2533095845568765E-2</v>
      </c>
      <c r="T84" s="48" t="s">
        <v>741</v>
      </c>
      <c r="U84" s="531">
        <v>6.3724808720432194E-2</v>
      </c>
      <c r="V84" s="53" t="s">
        <v>341</v>
      </c>
    </row>
    <row r="85" spans="1:22" s="2" customFormat="1">
      <c r="A85" s="13" t="s">
        <v>131</v>
      </c>
      <c r="B85" s="7">
        <v>2529</v>
      </c>
      <c r="C85" s="7">
        <v>2258</v>
      </c>
      <c r="D85" s="7">
        <v>1769</v>
      </c>
      <c r="E85" s="7">
        <v>2522</v>
      </c>
      <c r="F85" s="7">
        <v>3314</v>
      </c>
      <c r="H85" s="7">
        <f>U85*$H$30</f>
        <v>3362.7985233735781</v>
      </c>
      <c r="I85" s="7">
        <f>U85*$I$30</f>
        <v>3634.0683846924376</v>
      </c>
      <c r="J85" s="7">
        <f>U85*$J$30</f>
        <v>3928.3569999458564</v>
      </c>
      <c r="K85" s="7">
        <f>U85*$K$30</f>
        <v>4247.6807889164138</v>
      </c>
      <c r="L85" s="7">
        <f>U85*$L$30</f>
        <v>4594.2361451034667</v>
      </c>
      <c r="N85" s="62">
        <f>B85/B30</f>
        <v>0.12183254648810098</v>
      </c>
      <c r="O85" s="62">
        <f>C85/C30</f>
        <v>0.10766736601182529</v>
      </c>
      <c r="P85" s="62">
        <f>D85/D30</f>
        <v>0.16734462207927348</v>
      </c>
      <c r="Q85" s="62">
        <f>E85/E30</f>
        <v>0.18200187630800319</v>
      </c>
      <c r="R85" s="62">
        <f>F85/F30</f>
        <v>0.15953401049439175</v>
      </c>
      <c r="T85" s="48" t="s">
        <v>742</v>
      </c>
      <c r="U85" s="531">
        <v>0.12967797433143935</v>
      </c>
      <c r="V85" s="53" t="s">
        <v>341</v>
      </c>
    </row>
    <row r="86" spans="1:22" s="2" customFormat="1" ht="18" thickBot="1">
      <c r="A86" s="13" t="s">
        <v>29</v>
      </c>
      <c r="B86" s="7">
        <v>963</v>
      </c>
      <c r="C86" s="7">
        <v>1383</v>
      </c>
      <c r="D86" s="7">
        <v>1452</v>
      </c>
      <c r="E86" s="7">
        <v>1167</v>
      </c>
      <c r="F86" s="7">
        <v>1296</v>
      </c>
      <c r="H86" s="7">
        <f>U86*$H$30</f>
        <v>1510.3224115143005</v>
      </c>
      <c r="I86" s="7">
        <f>U86*$I$30</f>
        <v>1632.1569336453592</v>
      </c>
      <c r="J86" s="7">
        <f>U86*$J$30</f>
        <v>1764.3297914545306</v>
      </c>
      <c r="K86" s="7">
        <f>U86*$K$30</f>
        <v>1907.7466127894193</v>
      </c>
      <c r="L86" s="7">
        <f>U86*$L$30</f>
        <v>2063.3938564888545</v>
      </c>
      <c r="N86" s="62">
        <f>B86/B30</f>
        <v>4.6391752577319589E-2</v>
      </c>
      <c r="O86" s="62">
        <f>C86/C30</f>
        <v>6.5945069616631699E-2</v>
      </c>
      <c r="P86" s="62">
        <f>D86/D30</f>
        <v>0.13735691987513007</v>
      </c>
      <c r="Q86" s="62">
        <f>E86/E30</f>
        <v>8.4217363065598613E-2</v>
      </c>
      <c r="R86" s="62">
        <f>F86/F30</f>
        <v>6.23886776103596E-2</v>
      </c>
      <c r="T86" s="48" t="s">
        <v>743</v>
      </c>
      <c r="U86" s="531">
        <v>5.8241833268103636E-2</v>
      </c>
      <c r="V86" s="53" t="s">
        <v>341</v>
      </c>
    </row>
    <row r="87" spans="1:22" s="2" customFormat="1" ht="18" thickBot="1">
      <c r="A87" s="177" t="s">
        <v>276</v>
      </c>
      <c r="B87" s="7">
        <v>0</v>
      </c>
      <c r="C87" s="7">
        <v>0</v>
      </c>
      <c r="D87" s="7">
        <v>0</v>
      </c>
      <c r="E87" s="7">
        <v>0</v>
      </c>
      <c r="F87" s="7">
        <v>0</v>
      </c>
      <c r="H87" s="176">
        <f ca="1">IF(H111&gt;-H112,H111+H112,0)</f>
        <v>0</v>
      </c>
      <c r="I87" s="176">
        <f ca="1">IF(I111&gt;-I112,I111+I112,0)</f>
        <v>0</v>
      </c>
      <c r="J87" s="176">
        <f ca="1">IF(J111&gt;-J112,J111+J112,0)</f>
        <v>0</v>
      </c>
      <c r="K87" s="176">
        <f ca="1">IF(K111&gt;-K112,K111+K112,0)</f>
        <v>0</v>
      </c>
      <c r="L87" s="176">
        <f ca="1">IF(L111&gt;-L112,L111+L112,0)</f>
        <v>0</v>
      </c>
      <c r="N87" s="62"/>
      <c r="O87" s="62"/>
      <c r="P87" s="62"/>
      <c r="Q87" s="62"/>
      <c r="R87" s="62"/>
      <c r="T87" s="48"/>
      <c r="U87" s="114"/>
      <c r="V87" s="53"/>
    </row>
    <row r="88" spans="1:22" s="2" customFormat="1" ht="20">
      <c r="A88" s="14" t="s">
        <v>74</v>
      </c>
      <c r="B88" s="9">
        <f>SUM(B82:B87)</f>
        <v>6437</v>
      </c>
      <c r="C88" s="9">
        <f>SUM(C82:C87)</f>
        <v>6677</v>
      </c>
      <c r="D88" s="9">
        <f>SUM(D82:D87)</f>
        <v>5752</v>
      </c>
      <c r="E88" s="9">
        <f>SUM(E82:E87)</f>
        <v>6407</v>
      </c>
      <c r="F88" s="9">
        <f>SUM(F82:F87)</f>
        <v>7339</v>
      </c>
      <c r="H88" s="9">
        <f ca="1">SUM(H82:H87)</f>
        <v>8507.3057439478034</v>
      </c>
      <c r="I88" s="9">
        <f ca="1">SUM(I82:I87)</f>
        <v>9121.3382006224911</v>
      </c>
      <c r="J88" s="9">
        <f ca="1">SUM(J82:J87)</f>
        <v>9787.4747206063494</v>
      </c>
      <c r="K88" s="9">
        <f ca="1">SUM(K82:K87)</f>
        <v>10510.279567643105</v>
      </c>
      <c r="L88" s="9">
        <f ca="1">SUM(L82:L87)</f>
        <v>11294.724384692576</v>
      </c>
      <c r="N88" s="62"/>
      <c r="O88" s="62"/>
      <c r="P88" s="62"/>
      <c r="Q88" s="62"/>
      <c r="R88" s="62"/>
      <c r="T88" s="10"/>
      <c r="U88" s="114"/>
      <c r="V88" s="53"/>
    </row>
    <row r="89" spans="1:22" s="2" customFormat="1">
      <c r="A89" s="7"/>
      <c r="B89" s="7"/>
      <c r="C89" s="7"/>
      <c r="D89" s="7"/>
      <c r="E89" s="7"/>
      <c r="F89" s="7"/>
      <c r="H89" s="7"/>
      <c r="I89" s="7"/>
      <c r="J89" s="7"/>
      <c r="K89" s="7"/>
      <c r="L89" s="7"/>
      <c r="N89" s="62"/>
      <c r="O89" s="62"/>
      <c r="P89" s="62"/>
      <c r="Q89" s="62"/>
      <c r="R89" s="62"/>
      <c r="T89" s="48"/>
      <c r="U89" s="114"/>
      <c r="V89" s="53"/>
    </row>
    <row r="90" spans="1:22" s="2" customFormat="1">
      <c r="A90" s="300" t="s">
        <v>30</v>
      </c>
      <c r="B90" s="7">
        <v>8514</v>
      </c>
      <c r="C90" s="7">
        <v>9963</v>
      </c>
      <c r="D90" s="7">
        <v>9203</v>
      </c>
      <c r="E90" s="7">
        <v>9333</v>
      </c>
      <c r="F90" s="7">
        <v>9380</v>
      </c>
      <c r="H90" s="301">
        <f>$U$90</f>
        <v>9278.6</v>
      </c>
      <c r="I90" s="301">
        <f>$U$90</f>
        <v>9278.6</v>
      </c>
      <c r="J90" s="301">
        <f>$U$90</f>
        <v>9278.6</v>
      </c>
      <c r="K90" s="301">
        <f>$U$90</f>
        <v>9278.6</v>
      </c>
      <c r="L90" s="301">
        <f>$U$90</f>
        <v>9278.6</v>
      </c>
      <c r="N90" s="62">
        <f>B90/B30</f>
        <v>0.41015512091723672</v>
      </c>
      <c r="O90" s="62">
        <f>C90/C30</f>
        <v>0.47506198741178712</v>
      </c>
      <c r="P90" s="62">
        <f>D90/D30</f>
        <v>0.87058934821681955</v>
      </c>
      <c r="Q90" s="62">
        <f>E90/E30</f>
        <v>0.67352240744749947</v>
      </c>
      <c r="R90" s="62">
        <f>F90/F30</f>
        <v>0.45154768208732488</v>
      </c>
      <c r="T90" s="305" t="s">
        <v>640</v>
      </c>
      <c r="U90" s="310">
        <f>AVERAGE(B90:F90)</f>
        <v>9278.6</v>
      </c>
      <c r="V90" s="306" t="s">
        <v>632</v>
      </c>
    </row>
    <row r="91" spans="1:22" s="2" customFormat="1">
      <c r="A91" s="13" t="s">
        <v>132</v>
      </c>
      <c r="B91" s="7">
        <v>2932</v>
      </c>
      <c r="C91" s="7">
        <v>3460</v>
      </c>
      <c r="D91" s="7">
        <v>4502</v>
      </c>
      <c r="E91" s="7">
        <v>3949</v>
      </c>
      <c r="F91" s="7">
        <v>3280</v>
      </c>
      <c r="H91" s="7">
        <f>U91*$H$30</f>
        <v>4011.8915002221756</v>
      </c>
      <c r="I91" s="7">
        <f>U91*$I$30</f>
        <v>4335.5223223862668</v>
      </c>
      <c r="J91" s="7">
        <f>U91*$J$30</f>
        <v>4686.6150167421874</v>
      </c>
      <c r="K91" s="7">
        <f>U91*$K$30</f>
        <v>5067.5752157803745</v>
      </c>
      <c r="L91" s="7">
        <f>U91*$L$30</f>
        <v>5481.0232645348706</v>
      </c>
      <c r="N91" s="62">
        <f>B91/B30</f>
        <v>0.14124674824164177</v>
      </c>
      <c r="O91" s="62">
        <f>C91/C30</f>
        <v>0.16498188060270838</v>
      </c>
      <c r="P91" s="62">
        <f>D91/D30</f>
        <v>0.42588213035663608</v>
      </c>
      <c r="Q91" s="62">
        <f>E91/E30</f>
        <v>0.28498231940535468</v>
      </c>
      <c r="R91" s="62">
        <f>F91/F30</f>
        <v>0.15789727049535454</v>
      </c>
      <c r="T91" s="48" t="s">
        <v>744</v>
      </c>
      <c r="U91" s="531">
        <v>0.15470863311323491</v>
      </c>
      <c r="V91" s="53" t="s">
        <v>341</v>
      </c>
    </row>
    <row r="92" spans="1:22" s="2" customFormat="1">
      <c r="A92" s="300" t="s">
        <v>81</v>
      </c>
      <c r="B92" s="7">
        <v>485</v>
      </c>
      <c r="C92" s="7">
        <v>290</v>
      </c>
      <c r="D92" s="7">
        <v>83</v>
      </c>
      <c r="E92" s="7">
        <v>169</v>
      </c>
      <c r="F92" s="7">
        <v>313</v>
      </c>
      <c r="H92" s="301">
        <f ca="1">$U$92*H46</f>
        <v>398.80373482592591</v>
      </c>
      <c r="I92" s="301">
        <f ca="1">$U$92*I46</f>
        <v>448.02673080104</v>
      </c>
      <c r="J92" s="301">
        <f ca="1">$U$92*J46</f>
        <v>501.79419951836883</v>
      </c>
      <c r="K92" s="301">
        <f ca="1">$U$92*K46</f>
        <v>560.51064337797902</v>
      </c>
      <c r="L92" s="301">
        <f ca="1">$U$92*L46</f>
        <v>624.61670449478027</v>
      </c>
      <c r="N92" s="62">
        <f>B92/B46</f>
        <v>-1.1073059360730593</v>
      </c>
      <c r="O92" s="62">
        <f>C92/C46</f>
        <v>-0.88957055214723924</v>
      </c>
      <c r="P92" s="62">
        <f>D92/D46</f>
        <v>0.41708542713567837</v>
      </c>
      <c r="Q92" s="62">
        <f>E92/E46</f>
        <v>-2.0864197530864197</v>
      </c>
      <c r="R92" s="62">
        <f>F92/F46</f>
        <v>-0.41402116402116401</v>
      </c>
      <c r="T92" s="305" t="s">
        <v>745</v>
      </c>
      <c r="U92" s="531">
        <v>-0.80363255074715412</v>
      </c>
      <c r="V92" s="306" t="s">
        <v>341</v>
      </c>
    </row>
    <row r="93" spans="1:22" s="2" customFormat="1">
      <c r="A93" s="6" t="s">
        <v>31</v>
      </c>
      <c r="B93" s="7">
        <v>731</v>
      </c>
      <c r="C93" s="7">
        <v>840</v>
      </c>
      <c r="D93" s="7">
        <v>1542</v>
      </c>
      <c r="E93" s="7">
        <v>1181</v>
      </c>
      <c r="F93" s="7">
        <v>1059</v>
      </c>
      <c r="H93" s="7">
        <f>U93*$H$30</f>
        <v>1091.2875241254374</v>
      </c>
      <c r="I93" s="7">
        <f>U93*$I$30</f>
        <v>1179.3193860615272</v>
      </c>
      <c r="J93" s="7">
        <f>U93*$J$30</f>
        <v>1274.8212402719375</v>
      </c>
      <c r="K93" s="7">
        <f>U93*$K$30</f>
        <v>1378.4474505958442</v>
      </c>
      <c r="L93" s="7">
        <f>U93*$L$30</f>
        <v>1490.9107855227237</v>
      </c>
      <c r="N93" s="62">
        <f>B93/B30</f>
        <v>3.5215338664611233E-2</v>
      </c>
      <c r="O93" s="62">
        <f>C93/C30</f>
        <v>4.0053404539385849E-2</v>
      </c>
      <c r="P93" s="62">
        <f>D93/D30</f>
        <v>0.14587077854507616</v>
      </c>
      <c r="Q93" s="62">
        <f>E93/E30</f>
        <v>8.5227682759616077E-2</v>
      </c>
      <c r="R93" s="62">
        <f>F93/F30</f>
        <v>5.0979637028835505E-2</v>
      </c>
      <c r="T93" s="48" t="s">
        <v>746</v>
      </c>
      <c r="U93" s="531">
        <v>4.2082793410944196E-2</v>
      </c>
      <c r="V93" s="53" t="s">
        <v>341</v>
      </c>
    </row>
    <row r="94" spans="1:22" s="2" customFormat="1">
      <c r="A94" s="6" t="s">
        <v>32</v>
      </c>
      <c r="B94" s="7">
        <v>0</v>
      </c>
      <c r="C94" s="7">
        <v>882</v>
      </c>
      <c r="D94" s="7">
        <v>823</v>
      </c>
      <c r="E94" s="7">
        <v>1098</v>
      </c>
      <c r="F94" s="7">
        <v>1034</v>
      </c>
      <c r="H94" s="7">
        <f>U94*$H$30</f>
        <v>793.79523847540463</v>
      </c>
      <c r="I94" s="7">
        <f>U94*$I$30</f>
        <v>857.82902544185401</v>
      </c>
      <c r="J94" s="7">
        <f>U94*$J$30</f>
        <v>927.29643477428419</v>
      </c>
      <c r="K94" s="7">
        <f>U94*$K$30</f>
        <v>1002.6734463481037</v>
      </c>
      <c r="L94" s="7">
        <f>U94*$L$30</f>
        <v>1084.4785231903093</v>
      </c>
      <c r="N94" s="62">
        <f>B94/B30</f>
        <v>0</v>
      </c>
      <c r="O94" s="62">
        <f>C94/C30</f>
        <v>4.2056074766355138E-2</v>
      </c>
      <c r="P94" s="62">
        <f>D94/D30</f>
        <v>7.7854507615173582E-2</v>
      </c>
      <c r="Q94" s="62">
        <f>E94/E30</f>
        <v>7.9237930287941113E-2</v>
      </c>
      <c r="R94" s="62">
        <f>F94/F30</f>
        <v>4.9776151735425794E-2</v>
      </c>
      <c r="T94" s="48" t="s">
        <v>747</v>
      </c>
      <c r="U94" s="531">
        <v>3.0610742167260313E-2</v>
      </c>
      <c r="V94" s="53" t="s">
        <v>341</v>
      </c>
    </row>
    <row r="95" spans="1:22" s="2" customFormat="1">
      <c r="A95" s="6" t="s">
        <v>82</v>
      </c>
      <c r="B95" s="7">
        <v>2372</v>
      </c>
      <c r="C95" s="7">
        <v>2236</v>
      </c>
      <c r="D95" s="7">
        <v>2366</v>
      </c>
      <c r="E95" s="7">
        <v>2002</v>
      </c>
      <c r="F95" s="7">
        <v>1842</v>
      </c>
      <c r="H95" s="7">
        <f>U95*$H$30</f>
        <v>2675.8310774825059</v>
      </c>
      <c r="I95" s="7">
        <f>U95*$I$30</f>
        <v>2891.6847244542473</v>
      </c>
      <c r="J95" s="7">
        <f>U95*$J$30</f>
        <v>3125.854751879619</v>
      </c>
      <c r="K95" s="7">
        <f>U95*$K$30</f>
        <v>3379.945656335497</v>
      </c>
      <c r="L95" s="7">
        <f>U95*$L$30</f>
        <v>3655.7051422838372</v>
      </c>
      <c r="N95" s="62">
        <f>B95/B30</f>
        <v>0.114269197417863</v>
      </c>
      <c r="O95" s="62">
        <f>C95/C30</f>
        <v>0.106618348273889</v>
      </c>
      <c r="P95" s="62">
        <f>D95/D30</f>
        <v>0.22381988458991581</v>
      </c>
      <c r="Q95" s="62">
        <f>E95/E30</f>
        <v>0.14447571624449737</v>
      </c>
      <c r="R95" s="62">
        <f>F95/F30</f>
        <v>8.8672796418427763E-2</v>
      </c>
      <c r="T95" s="48" t="s">
        <v>748</v>
      </c>
      <c r="U95" s="531">
        <v>0.10318678070339327</v>
      </c>
      <c r="V95" s="53" t="s">
        <v>341</v>
      </c>
    </row>
    <row r="96" spans="1:22" s="2" customFormat="1" ht="20">
      <c r="A96" s="10" t="s">
        <v>128</v>
      </c>
      <c r="B96" s="9">
        <f>SUM(B90:B95)</f>
        <v>15034</v>
      </c>
      <c r="C96" s="9">
        <f>SUM(C90:C95)</f>
        <v>17671</v>
      </c>
      <c r="D96" s="9">
        <f>SUM(D90:D95)</f>
        <v>18519</v>
      </c>
      <c r="E96" s="9">
        <f>SUM(E90:E95)</f>
        <v>17732</v>
      </c>
      <c r="F96" s="9">
        <f>SUM(F90:F95)</f>
        <v>16908</v>
      </c>
      <c r="H96" s="9">
        <f ca="1">SUM(H90:H95)</f>
        <v>18250.209075131446</v>
      </c>
      <c r="I96" s="9">
        <f ca="1">SUM(I90:I95)</f>
        <v>18990.982189144936</v>
      </c>
      <c r="J96" s="9">
        <f ca="1">SUM(J90:J95)</f>
        <v>19794.981643186398</v>
      </c>
      <c r="K96" s="9">
        <f ca="1">SUM(K90:K95)</f>
        <v>20667.7524124378</v>
      </c>
      <c r="L96" s="9">
        <f ca="1">SUM(L90:L95)</f>
        <v>21615.33442002652</v>
      </c>
      <c r="N96" s="62"/>
      <c r="O96" s="62"/>
      <c r="P96" s="62"/>
      <c r="Q96" s="62"/>
      <c r="R96" s="62"/>
      <c r="T96" s="10"/>
      <c r="U96" s="112"/>
      <c r="V96" s="53"/>
    </row>
    <row r="97" spans="1:24" s="108" customFormat="1">
      <c r="A97" s="107"/>
      <c r="B97" s="107"/>
      <c r="C97" s="107"/>
      <c r="D97" s="107"/>
      <c r="E97" s="107"/>
      <c r="F97" s="107"/>
      <c r="H97" s="107"/>
      <c r="I97" s="107"/>
      <c r="J97" s="107"/>
      <c r="K97" s="107"/>
      <c r="L97" s="107"/>
      <c r="N97" s="62"/>
      <c r="O97" s="62"/>
      <c r="P97" s="62"/>
      <c r="Q97" s="62"/>
      <c r="R97" s="62"/>
      <c r="T97" s="111"/>
      <c r="U97" s="112"/>
      <c r="V97" s="53"/>
    </row>
    <row r="98" spans="1:24" s="2" customFormat="1">
      <c r="A98" s="15" t="s">
        <v>98</v>
      </c>
      <c r="B98" s="15"/>
      <c r="C98" s="15"/>
      <c r="D98" s="15"/>
      <c r="E98" s="15"/>
      <c r="F98" s="15"/>
      <c r="H98" s="15"/>
      <c r="I98" s="15"/>
      <c r="J98" s="15"/>
      <c r="K98" s="15"/>
      <c r="L98" s="15"/>
      <c r="N98" s="62"/>
      <c r="O98" s="62"/>
      <c r="P98" s="62"/>
      <c r="Q98" s="62"/>
      <c r="R98" s="62"/>
      <c r="T98" s="55"/>
      <c r="U98" s="113"/>
      <c r="V98" s="116"/>
    </row>
    <row r="99" spans="1:24" s="2" customFormat="1">
      <c r="A99" s="6" t="s">
        <v>123</v>
      </c>
      <c r="B99" s="7">
        <v>3582</v>
      </c>
      <c r="C99" s="7">
        <f>B106</f>
        <v>2225</v>
      </c>
      <c r="D99" s="7">
        <f>C106</f>
        <v>703</v>
      </c>
      <c r="E99" s="7">
        <f>D106</f>
        <v>430</v>
      </c>
      <c r="F99" s="7">
        <f>E106</f>
        <v>1414</v>
      </c>
      <c r="H99" s="7">
        <f>F106</f>
        <v>568</v>
      </c>
      <c r="I99" s="7">
        <f ca="1">H106</f>
        <v>1091.9682065175716</v>
      </c>
      <c r="J99" s="7">
        <f ca="1">I106</f>
        <v>1714.6598769676673</v>
      </c>
      <c r="K99" s="7">
        <f ca="1">J106</f>
        <v>2445.6693709834908</v>
      </c>
      <c r="L99" s="7">
        <f ca="1">K106</f>
        <v>3295.4527301815242</v>
      </c>
      <c r="N99" s="62">
        <f>B99/B30</f>
        <v>0.172559976876385</v>
      </c>
      <c r="O99" s="62">
        <f>C99/C30</f>
        <v>0.10609383940492084</v>
      </c>
      <c r="P99" s="62">
        <f>D99/D30</f>
        <v>6.6502696055245489E-2</v>
      </c>
      <c r="Q99" s="62">
        <f>E99/E30</f>
        <v>3.1031247744822112E-2</v>
      </c>
      <c r="R99" s="62">
        <f>F99/F30</f>
        <v>6.8069128195253459E-2</v>
      </c>
      <c r="T99" s="48"/>
      <c r="U99" s="112"/>
      <c r="V99" s="53"/>
    </row>
    <row r="100" spans="1:24" s="2" customFormat="1">
      <c r="A100" s="6" t="s">
        <v>124</v>
      </c>
      <c r="B100" s="7">
        <v>372</v>
      </c>
      <c r="C100" s="7">
        <v>1</v>
      </c>
      <c r="D100" s="7">
        <v>-15</v>
      </c>
      <c r="E100" s="7">
        <v>0</v>
      </c>
      <c r="F100" s="7">
        <v>0</v>
      </c>
      <c r="H100" s="7">
        <f>$U$100*H30</f>
        <v>0</v>
      </c>
      <c r="I100" s="7">
        <f>$U$100*I30</f>
        <v>0</v>
      </c>
      <c r="J100" s="7">
        <f>$U$100*J30</f>
        <v>0</v>
      </c>
      <c r="K100" s="7">
        <f>$U$100*K30</f>
        <v>0</v>
      </c>
      <c r="L100" s="7">
        <f>$U$100*L30</f>
        <v>0</v>
      </c>
      <c r="N100" s="62">
        <f>B100/B30</f>
        <v>1.7920801618653049E-2</v>
      </c>
      <c r="O100" s="62">
        <f>C100/C30</f>
        <v>4.7682624451649821E-5</v>
      </c>
      <c r="P100" s="62">
        <f>D100/D30</f>
        <v>-1.4189764449910132E-3</v>
      </c>
      <c r="Q100" s="62">
        <f>E100/E30</f>
        <v>0</v>
      </c>
      <c r="R100" s="62">
        <f>F100/F30</f>
        <v>0</v>
      </c>
      <c r="T100" s="48" t="s">
        <v>749</v>
      </c>
      <c r="U100" s="532">
        <v>0</v>
      </c>
      <c r="V100" s="53" t="s">
        <v>344</v>
      </c>
    </row>
    <row r="101" spans="1:24" s="2" customFormat="1">
      <c r="A101" s="6" t="s">
        <v>108</v>
      </c>
      <c r="B101" s="7">
        <f>B47</f>
        <v>1907</v>
      </c>
      <c r="C101" s="7">
        <f t="shared" ref="C101:L101" si="2">C47</f>
        <v>1273</v>
      </c>
      <c r="D101" s="7">
        <f t="shared" si="2"/>
        <v>-267</v>
      </c>
      <c r="E101" s="7">
        <f t="shared" si="2"/>
        <v>1099</v>
      </c>
      <c r="F101" s="7">
        <f t="shared" si="2"/>
        <v>2358</v>
      </c>
      <c r="H101" s="7">
        <f t="shared" ca="1" si="2"/>
        <v>1887.6622448603327</v>
      </c>
      <c r="I101" s="7">
        <f t="shared" ca="1" si="2"/>
        <v>2120.6500104380348</v>
      </c>
      <c r="J101" s="7">
        <f t="shared" ca="1" si="2"/>
        <v>2375.1481804306309</v>
      </c>
      <c r="K101" s="7">
        <f t="shared" ca="1" si="2"/>
        <v>2653.0713906398501</v>
      </c>
      <c r="L101" s="7">
        <f t="shared" ca="1" si="2"/>
        <v>2956.5053373899091</v>
      </c>
      <c r="N101" s="62">
        <f>B101/B30</f>
        <v>9.1868195394546687E-2</v>
      </c>
      <c r="O101" s="62">
        <f>C101/C30</f>
        <v>6.0699980926950219E-2</v>
      </c>
      <c r="P101" s="62">
        <f>D101/D30</f>
        <v>-2.5257780720840034E-2</v>
      </c>
      <c r="Q101" s="62">
        <f>E101/E30</f>
        <v>7.9310095980370934E-2</v>
      </c>
      <c r="R101" s="62">
        <f>F101/F30</f>
        <v>0.11351273287440428</v>
      </c>
      <c r="T101" s="48"/>
      <c r="U101" s="112"/>
      <c r="V101" s="53"/>
    </row>
    <row r="102" spans="1:24" s="2" customFormat="1">
      <c r="A102" s="6" t="s">
        <v>120</v>
      </c>
      <c r="B102" s="7">
        <v>-370</v>
      </c>
      <c r="C102" s="7">
        <v>30</v>
      </c>
      <c r="D102" s="7">
        <v>226</v>
      </c>
      <c r="E102" s="7">
        <v>-207</v>
      </c>
      <c r="F102" s="7">
        <v>-387</v>
      </c>
      <c r="H102" s="7">
        <f>U102*$H$30</f>
        <v>-148.24229578540914</v>
      </c>
      <c r="I102" s="7">
        <f>U102*$I$30</f>
        <v>-160.20068899266997</v>
      </c>
      <c r="J102" s="7">
        <f>U102*$J$30</f>
        <v>-173.17381826147607</v>
      </c>
      <c r="K102" s="7">
        <f>U102*$K$30</f>
        <v>-187.2505734541725</v>
      </c>
      <c r="L102" s="7">
        <f>U102*$L$30</f>
        <v>-202.52777821705558</v>
      </c>
      <c r="N102" s="62">
        <f>B102/B30</f>
        <v>-1.782445322285384E-2</v>
      </c>
      <c r="O102" s="62">
        <f>C102/C30</f>
        <v>1.4304787335494946E-3</v>
      </c>
      <c r="P102" s="62">
        <f>D102/D30</f>
        <v>2.1379245104531264E-2</v>
      </c>
      <c r="Q102" s="62">
        <f>E102/E30</f>
        <v>-1.4938298332972505E-2</v>
      </c>
      <c r="R102" s="62">
        <f>F102/F30</f>
        <v>-1.8629952341982382E-2</v>
      </c>
      <c r="T102" s="48" t="s">
        <v>750</v>
      </c>
      <c r="U102" s="531">
        <v>-5.716596011945593E-3</v>
      </c>
      <c r="V102" s="53" t="s">
        <v>342</v>
      </c>
    </row>
    <row r="103" spans="1:24" s="2" customFormat="1">
      <c r="A103" s="300" t="s">
        <v>125</v>
      </c>
      <c r="B103" s="7">
        <v>-543</v>
      </c>
      <c r="C103" s="7">
        <v>-612</v>
      </c>
      <c r="D103" s="7">
        <v>-156</v>
      </c>
      <c r="E103" s="7">
        <v>0</v>
      </c>
      <c r="F103" s="7">
        <v>-321</v>
      </c>
      <c r="H103" s="7">
        <f ca="1">$U$103*H47</f>
        <v>-567.32233358571807</v>
      </c>
      <c r="I103" s="7">
        <f ca="1">$U$103*I47</f>
        <v>-637.34501016589411</v>
      </c>
      <c r="J103" s="7">
        <f ca="1">$U$103*J47</f>
        <v>-713.83247294511455</v>
      </c>
      <c r="K103" s="7">
        <f ca="1">$U$103*K47</f>
        <v>-797.36015095151254</v>
      </c>
      <c r="L103" s="7">
        <f ca="1">$U$103*L47</f>
        <v>-888.55488413435739</v>
      </c>
      <c r="N103" s="62">
        <f>B103/B47</f>
        <v>-0.28474042999475618</v>
      </c>
      <c r="O103" s="62">
        <f>C103/C47</f>
        <v>-0.48075412411626078</v>
      </c>
      <c r="P103" s="62">
        <f>D103/D47</f>
        <v>0.5842696629213483</v>
      </c>
      <c r="Q103" s="62">
        <f>E103/E47</f>
        <v>0</v>
      </c>
      <c r="R103" s="62">
        <f>F103/F47</f>
        <v>-0.13613231552162849</v>
      </c>
      <c r="T103" s="305" t="s">
        <v>751</v>
      </c>
      <c r="U103" s="532">
        <v>-0.3005422898775485</v>
      </c>
      <c r="V103" s="306" t="s">
        <v>643</v>
      </c>
    </row>
    <row r="104" spans="1:24" s="2" customFormat="1">
      <c r="A104" s="6" t="s">
        <v>121</v>
      </c>
      <c r="B104" s="7">
        <v>86</v>
      </c>
      <c r="C104" s="7">
        <v>46</v>
      </c>
      <c r="D104" s="7">
        <v>89</v>
      </c>
      <c r="E104" s="7">
        <v>92</v>
      </c>
      <c r="F104" s="7">
        <v>104</v>
      </c>
      <c r="H104" s="7">
        <f>U104*$H$30</f>
        <v>129.82811404890299</v>
      </c>
      <c r="I104" s="7">
        <f>U104*$I$30</f>
        <v>140.30107406971439</v>
      </c>
      <c r="J104" s="7">
        <f>U104*$J$30</f>
        <v>151.66272289846583</v>
      </c>
      <c r="K104" s="7">
        <f>U104*$K$30</f>
        <v>163.99090878437116</v>
      </c>
      <c r="L104" s="7">
        <f>U104*$L$30</f>
        <v>177.37042825144113</v>
      </c>
      <c r="N104" s="62">
        <f>B104/B30</f>
        <v>4.1429810193660275E-3</v>
      </c>
      <c r="O104" s="62">
        <f>C104/C30</f>
        <v>2.1934007247758915E-3</v>
      </c>
      <c r="P104" s="62">
        <f>D104/D30</f>
        <v>8.4192602402800108E-3</v>
      </c>
      <c r="Q104" s="62">
        <f>E104/E30</f>
        <v>6.6392437035433351E-3</v>
      </c>
      <c r="R104" s="62">
        <f>F104/F30</f>
        <v>5.0064988205844128E-3</v>
      </c>
      <c r="T104" s="48" t="s">
        <v>752</v>
      </c>
      <c r="U104" s="532">
        <v>5.0064988205844128E-3</v>
      </c>
      <c r="V104" s="53" t="s">
        <v>340</v>
      </c>
    </row>
    <row r="105" spans="1:24" s="2" customFormat="1">
      <c r="A105" s="6" t="s">
        <v>122</v>
      </c>
      <c r="B105" s="7">
        <v>-2809</v>
      </c>
      <c r="C105" s="7">
        <v>-2260</v>
      </c>
      <c r="D105" s="7">
        <v>-150</v>
      </c>
      <c r="E105" s="7">
        <v>0</v>
      </c>
      <c r="F105" s="7">
        <v>-2600</v>
      </c>
      <c r="H105" s="7">
        <f>U105*$H$30</f>
        <v>-777.957523020537</v>
      </c>
      <c r="I105" s="7">
        <f>U105*$I$30</f>
        <v>-840.71371489908938</v>
      </c>
      <c r="J105" s="7">
        <f>U105*$J$30</f>
        <v>-908.79511810668191</v>
      </c>
      <c r="K105" s="7">
        <f>U105*$K$30</f>
        <v>-982.66821582050238</v>
      </c>
      <c r="L105" s="7">
        <f>U105*$L$30</f>
        <v>-1062.8411267501499</v>
      </c>
      <c r="N105" s="62">
        <f>B105/B30</f>
        <v>-0.13532132189999035</v>
      </c>
      <c r="O105" s="62">
        <f>C105/C30</f>
        <v>-0.10776273126072859</v>
      </c>
      <c r="P105" s="62">
        <f>D105/D30</f>
        <v>-1.4189764449910132E-2</v>
      </c>
      <c r="Q105" s="62">
        <f>E105/E30</f>
        <v>0</v>
      </c>
      <c r="R105" s="62">
        <f>F105/F30</f>
        <v>-0.12516247051461032</v>
      </c>
      <c r="T105" s="48" t="s">
        <v>753</v>
      </c>
      <c r="U105" s="531">
        <v>-0.03</v>
      </c>
      <c r="V105" s="53" t="s">
        <v>215</v>
      </c>
    </row>
    <row r="106" spans="1:24" s="2" customFormat="1" ht="20">
      <c r="A106" s="9" t="s">
        <v>83</v>
      </c>
      <c r="B106" s="9">
        <f>SUM(B99:B105)</f>
        <v>2225</v>
      </c>
      <c r="C106" s="9">
        <f>SUM(C99:C105)</f>
        <v>703</v>
      </c>
      <c r="D106" s="9">
        <f>SUM(D99:D105)</f>
        <v>430</v>
      </c>
      <c r="E106" s="9">
        <f>SUM(E99:E105)</f>
        <v>1414</v>
      </c>
      <c r="F106" s="9">
        <f>SUM(F99:F105)</f>
        <v>568</v>
      </c>
      <c r="H106" s="9">
        <f ca="1">SUM(H99:H105)</f>
        <v>1091.9682065175716</v>
      </c>
      <c r="I106" s="9">
        <f ca="1">SUM(I99:I105)</f>
        <v>1714.6598769676673</v>
      </c>
      <c r="J106" s="9">
        <f ca="1">SUM(J99:J105)</f>
        <v>2445.6693709834908</v>
      </c>
      <c r="K106" s="9">
        <f ca="1">SUM(K99:K105)</f>
        <v>3295.4527301815242</v>
      </c>
      <c r="L106" s="9">
        <f ca="1">SUM(L99:L105)</f>
        <v>4275.4047067213114</v>
      </c>
      <c r="N106" s="62"/>
      <c r="O106" s="62"/>
      <c r="P106" s="62"/>
      <c r="Q106" s="62"/>
      <c r="R106" s="62"/>
      <c r="T106" s="10"/>
      <c r="U106" s="112"/>
      <c r="V106" s="53"/>
    </row>
    <row r="107" spans="1:24" s="1" customFormat="1" ht="20">
      <c r="A107" s="16" t="s">
        <v>99</v>
      </c>
      <c r="B107" s="16">
        <f>B88+B106+B96</f>
        <v>23696</v>
      </c>
      <c r="C107" s="16">
        <f>C88+C106+C96</f>
        <v>25051</v>
      </c>
      <c r="D107" s="16">
        <f>D88+D106+D96</f>
        <v>24701</v>
      </c>
      <c r="E107" s="16">
        <f>E88+E106+E96</f>
        <v>25553</v>
      </c>
      <c r="F107" s="16">
        <f>F88+F106+F96</f>
        <v>24815</v>
      </c>
      <c r="H107" s="16">
        <f ca="1">H88+H106+H96</f>
        <v>27849.483025596819</v>
      </c>
      <c r="I107" s="16">
        <f ca="1">I88+I106+I96</f>
        <v>29826.980266735096</v>
      </c>
      <c r="J107" s="16">
        <f ca="1">J88+J106+J96</f>
        <v>32028.125734776237</v>
      </c>
      <c r="K107" s="16">
        <f ca="1">K88+K106+K96</f>
        <v>34473.484710262434</v>
      </c>
      <c r="L107" s="16">
        <f ca="1">L88+L106+L96</f>
        <v>37185.463511440408</v>
      </c>
      <c r="N107" s="62"/>
      <c r="O107" s="62"/>
      <c r="P107" s="62"/>
      <c r="Q107" s="62"/>
      <c r="R107" s="62"/>
      <c r="T107" s="109"/>
      <c r="U107" s="113"/>
      <c r="V107" s="116"/>
    </row>
    <row r="108" spans="1:24">
      <c r="C108" s="57"/>
      <c r="E108" s="57"/>
      <c r="G108" s="57"/>
      <c r="I108" s="57"/>
      <c r="K108" s="57"/>
      <c r="N108" s="51"/>
      <c r="O108" s="27"/>
      <c r="P108" s="27"/>
      <c r="Q108" s="27"/>
      <c r="R108" s="27"/>
      <c r="S108" s="27"/>
      <c r="T108" s="27"/>
      <c r="U108" s="3"/>
      <c r="W108" s="3"/>
      <c r="X108" s="3"/>
    </row>
    <row r="109" spans="1:24">
      <c r="C109" s="57"/>
      <c r="E109" s="57"/>
      <c r="F109" s="86" t="s">
        <v>279</v>
      </c>
      <c r="G109" s="26"/>
      <c r="H109" s="130">
        <f>SUM(H52:H54,H62,H69,H76)</f>
        <v>27039.653749663838</v>
      </c>
      <c r="I109" s="130">
        <f>SUM(I52:I54,I62,I69,I76)</f>
        <v>27884.515452061987</v>
      </c>
      <c r="J109" s="130">
        <f>SUM(J52:J54,J62,J69,J76)</f>
        <v>28801.068360927689</v>
      </c>
      <c r="K109" s="130">
        <f>SUM(K52:K54,K62,K69,K76)</f>
        <v>29795.592554121344</v>
      </c>
      <c r="L109" s="130">
        <f>SUM(L52:L54,L62,L69,L76)</f>
        <v>30874.928632150426</v>
      </c>
      <c r="N109" s="3"/>
      <c r="O109" s="3"/>
      <c r="P109" s="3"/>
      <c r="Q109" s="3"/>
      <c r="R109" s="3"/>
      <c r="U109" s="3"/>
      <c r="W109" s="3"/>
      <c r="X109" s="3"/>
    </row>
    <row r="110" spans="1:24">
      <c r="C110" s="57"/>
      <c r="E110" s="57"/>
      <c r="F110" s="86" t="s">
        <v>280</v>
      </c>
      <c r="G110" s="26"/>
      <c r="H110" s="130">
        <f ca="1">SUM(H82:H86,H96,H106)</f>
        <v>27849.483025596823</v>
      </c>
      <c r="I110" s="130">
        <f ca="1">SUM(I82:I86,I96,I106)</f>
        <v>29826.980266735092</v>
      </c>
      <c r="J110" s="130">
        <f ca="1">SUM(J82:J86,J96,J106)</f>
        <v>32028.12573477624</v>
      </c>
      <c r="K110" s="130">
        <f ca="1">SUM(K82:K86,K96,K106)</f>
        <v>34473.484710262426</v>
      </c>
      <c r="L110" s="130">
        <f ca="1">SUM(L82:L86,L96,L106)</f>
        <v>37185.463511440408</v>
      </c>
      <c r="N110" s="3"/>
      <c r="O110" s="3"/>
      <c r="P110" s="3"/>
      <c r="Q110" s="3"/>
      <c r="R110" s="3"/>
      <c r="U110" s="3"/>
      <c r="W110" s="3"/>
      <c r="X110" s="3"/>
    </row>
    <row r="111" spans="1:24" ht="20">
      <c r="C111" s="57"/>
      <c r="E111" s="57"/>
      <c r="F111" s="86" t="s">
        <v>281</v>
      </c>
      <c r="G111" s="47"/>
      <c r="H111" s="131">
        <f ca="1">H109-H110</f>
        <v>-809.82927593298518</v>
      </c>
      <c r="I111" s="131">
        <f ca="1">I109-I110</f>
        <v>-1942.4648146731051</v>
      </c>
      <c r="J111" s="131">
        <f ca="1">J109-J110</f>
        <v>-3227.0573738485509</v>
      </c>
      <c r="K111" s="131">
        <f ca="1">K109-K110</f>
        <v>-4677.8921561410825</v>
      </c>
      <c r="L111" s="131">
        <f ca="1">L109-L110</f>
        <v>-6310.5348792899822</v>
      </c>
      <c r="N111" s="3"/>
      <c r="O111" s="3"/>
      <c r="P111" s="3"/>
      <c r="Q111" s="3"/>
      <c r="R111" s="3"/>
      <c r="U111" s="3"/>
      <c r="W111" s="3"/>
      <c r="X111" s="3"/>
    </row>
    <row r="112" spans="1:24" ht="20">
      <c r="C112" s="57"/>
      <c r="E112" s="57"/>
      <c r="F112" s="86" t="s">
        <v>282</v>
      </c>
      <c r="G112" s="132"/>
      <c r="H112" s="131">
        <f>$U$51*H30</f>
        <v>435.29592164424395</v>
      </c>
      <c r="I112" s="131">
        <f>$U$51*I30</f>
        <v>470.41032516153768</v>
      </c>
      <c r="J112" s="131">
        <f>$U$51*J30</f>
        <v>508.50438078686011</v>
      </c>
      <c r="K112" s="131">
        <f>$U$51*K30</f>
        <v>549.83910305961308</v>
      </c>
      <c r="L112" s="131">
        <f>$U$51*L30</f>
        <v>594.6988031349108</v>
      </c>
      <c r="N112" s="3"/>
      <c r="O112" s="3"/>
      <c r="P112" s="3"/>
      <c r="Q112" s="3"/>
      <c r="R112" s="3"/>
      <c r="U112" s="3"/>
      <c r="W112" s="3"/>
      <c r="X112" s="3"/>
    </row>
    <row r="113" spans="1:24" ht="20">
      <c r="A113" s="27"/>
      <c r="B113" s="27"/>
      <c r="C113" s="339"/>
      <c r="D113" s="27"/>
      <c r="E113" s="339"/>
      <c r="F113" s="119"/>
      <c r="G113" s="27"/>
      <c r="H113" s="235"/>
      <c r="I113" s="235"/>
      <c r="J113" s="235"/>
      <c r="K113" s="235"/>
      <c r="L113" s="235"/>
      <c r="M113" s="27"/>
      <c r="N113" s="3"/>
      <c r="O113" s="3"/>
      <c r="P113" s="3"/>
      <c r="Q113" s="3"/>
      <c r="R113" s="3"/>
      <c r="U113" s="3"/>
      <c r="W113" s="3"/>
      <c r="X113" s="3"/>
    </row>
    <row r="114" spans="1:24" ht="19" customHeight="1">
      <c r="A114" s="711" t="s">
        <v>656</v>
      </c>
      <c r="B114" s="711"/>
      <c r="C114" s="711"/>
      <c r="D114" s="711"/>
      <c r="E114" s="711"/>
      <c r="F114" s="711"/>
      <c r="G114" s="711"/>
      <c r="H114" s="711"/>
      <c r="I114" s="711"/>
      <c r="J114" s="711"/>
      <c r="K114" s="711"/>
      <c r="L114" s="711"/>
      <c r="M114" s="27"/>
      <c r="N114" s="3"/>
      <c r="O114" s="3"/>
      <c r="P114" s="3"/>
      <c r="Q114" s="3"/>
      <c r="R114" s="3"/>
      <c r="U114" s="3"/>
      <c r="W114" s="3"/>
      <c r="X114" s="3"/>
    </row>
    <row r="115" spans="1:24" ht="19" customHeight="1">
      <c r="A115" s="340" t="s">
        <v>513</v>
      </c>
      <c r="B115" s="341">
        <f>B47</f>
        <v>1907</v>
      </c>
      <c r="C115" s="341">
        <f>C47</f>
        <v>1273</v>
      </c>
      <c r="D115" s="341">
        <f>D47</f>
        <v>-267</v>
      </c>
      <c r="E115" s="341">
        <f>E47</f>
        <v>1099</v>
      </c>
      <c r="F115" s="341">
        <f>F47</f>
        <v>2358</v>
      </c>
      <c r="G115" s="341"/>
      <c r="H115" s="341">
        <f ca="1">H47</f>
        <v>1887.6622448603327</v>
      </c>
      <c r="I115" s="341">
        <f ca="1">I47</f>
        <v>2120.6500104380348</v>
      </c>
      <c r="J115" s="341">
        <f ca="1">J47</f>
        <v>2375.1481804306309</v>
      </c>
      <c r="K115" s="341">
        <f ca="1">K47</f>
        <v>2653.0713906398501</v>
      </c>
      <c r="L115" s="341">
        <f ca="1">L47</f>
        <v>2956.5053373899091</v>
      </c>
      <c r="M115" s="27"/>
      <c r="N115" s="3"/>
      <c r="O115" s="3"/>
      <c r="P115" s="3"/>
      <c r="Q115" s="3"/>
      <c r="R115" s="3"/>
      <c r="U115" s="3"/>
      <c r="W115" s="3"/>
      <c r="X115" s="3"/>
    </row>
    <row r="116" spans="1:24" ht="19" customHeight="1">
      <c r="A116" s="342" t="s">
        <v>514</v>
      </c>
      <c r="B116" s="341">
        <f>B34</f>
        <v>-226</v>
      </c>
      <c r="C116" s="341">
        <f>C34</f>
        <v>-341</v>
      </c>
      <c r="D116" s="341">
        <f>D34</f>
        <v>-346</v>
      </c>
      <c r="E116" s="341">
        <f>E34</f>
        <v>-220</v>
      </c>
      <c r="F116" s="341">
        <f>F34</f>
        <v>-193</v>
      </c>
      <c r="G116" s="341"/>
      <c r="H116" s="341">
        <f>H34</f>
        <v>-348.0257339720082</v>
      </c>
      <c r="I116" s="341">
        <f>I34</f>
        <v>-348.46076461902652</v>
      </c>
      <c r="J116" s="341">
        <f>J34</f>
        <v>-348.93271003191313</v>
      </c>
      <c r="K116" s="341">
        <f>K34</f>
        <v>-349.44480390717382</v>
      </c>
      <c r="L116" s="341">
        <f>L34</f>
        <v>-350.00056856195977</v>
      </c>
      <c r="M116" s="27"/>
      <c r="N116" s="3"/>
      <c r="O116" s="3"/>
      <c r="P116" s="3"/>
      <c r="Q116" s="3"/>
      <c r="R116" s="3"/>
      <c r="U116" s="3"/>
      <c r="W116" s="3"/>
      <c r="X116" s="3"/>
    </row>
    <row r="117" spans="1:24" ht="19" customHeight="1">
      <c r="A117" s="342" t="s">
        <v>515</v>
      </c>
      <c r="B117" s="26"/>
      <c r="C117" s="147">
        <f>SUM(C52:C54)-SUM(B52:B54)</f>
        <v>512</v>
      </c>
      <c r="D117" s="147">
        <f>SUM(D52:D54)-SUM(C52:C54)</f>
        <v>-954</v>
      </c>
      <c r="E117" s="147">
        <f>SUM(E52:E54)-SUM(D52:D54)</f>
        <v>285</v>
      </c>
      <c r="F117" s="147">
        <f>SUM(F52:F54)-SUM(E52:E54)</f>
        <v>573</v>
      </c>
      <c r="G117" s="147"/>
      <c r="H117" s="147">
        <f>SUM(H52:H54)-SUM(F52:F54)</f>
        <v>444.53158264503827</v>
      </c>
      <c r="I117" s="147">
        <f>SUM(I52:I54)-SUM(H52:H54)</f>
        <v>262.21352409542942</v>
      </c>
      <c r="J117" s="147">
        <f>SUM(J52:J54)-SUM(I52:I54)</f>
        <v>284.46379753207748</v>
      </c>
      <c r="K117" s="147">
        <f>SUM(K52:K54)-SUM(J52:J54)</f>
        <v>308.66317262961593</v>
      </c>
      <c r="L117" s="147">
        <f>SUM(L52:L54)-SUM(K52:K54)</f>
        <v>334.98561468699518</v>
      </c>
      <c r="M117" s="27"/>
      <c r="N117" s="3"/>
      <c r="O117" s="3"/>
      <c r="P117" s="3"/>
      <c r="Q117" s="3"/>
      <c r="R117" s="3"/>
      <c r="U117" s="3"/>
      <c r="W117" s="3"/>
      <c r="X117" s="3"/>
    </row>
    <row r="118" spans="1:24" ht="19" customHeight="1">
      <c r="A118" s="342" t="s">
        <v>516</v>
      </c>
      <c r="B118" s="26"/>
      <c r="C118" s="147">
        <f>SUM(C83:C87)-SUM(B83:B87)</f>
        <v>96</v>
      </c>
      <c r="D118" s="147">
        <f>SUM(D83:D87)-SUM(C83:C87)</f>
        <v>-1121</v>
      </c>
      <c r="E118" s="147">
        <f>SUM(E83:E87)-SUM(D83:D87)</f>
        <v>1023</v>
      </c>
      <c r="F118" s="147">
        <f>SUM(F83:F87)-SUM(E83:E87)</f>
        <v>1053</v>
      </c>
      <c r="G118" s="147"/>
      <c r="H118" s="147">
        <f ca="1">SUM(H83:H87)-SUM(F83:F87)</f>
        <v>956.85716898338615</v>
      </c>
      <c r="I118" s="147">
        <f ca="1">SUM(I83:I87)-SUM(H83:H87)</f>
        <v>614.03245667468764</v>
      </c>
      <c r="J118" s="147">
        <f ca="1">SUM(J83:J87)-SUM(I83:I87)</f>
        <v>666.13651998385831</v>
      </c>
      <c r="K118" s="147">
        <f ca="1">SUM(K83:K87)-SUM(J83:J87)</f>
        <v>722.80484703675756</v>
      </c>
      <c r="L118" s="147">
        <f ca="1">SUM(L83:L87)-SUM(K83:K87)</f>
        <v>784.44481704946884</v>
      </c>
      <c r="M118" s="27"/>
      <c r="N118" s="3"/>
      <c r="O118" s="3"/>
      <c r="P118" s="3"/>
      <c r="Q118" s="3"/>
      <c r="R118" s="3"/>
      <c r="U118" s="3"/>
      <c r="W118" s="3"/>
      <c r="X118" s="3"/>
    </row>
    <row r="119" spans="1:24" ht="19" customHeight="1">
      <c r="A119" s="342" t="s">
        <v>517</v>
      </c>
      <c r="B119" s="26"/>
      <c r="C119" s="147">
        <f>SUM(C57:C60,C64:C65,C67)-SUM(B57:B60,B64:B65,B67)</f>
        <v>127</v>
      </c>
      <c r="D119" s="147">
        <f>SUM(D57:D60,D64:D65,D67)-SUM(C57:C60,C64:C65,C67)</f>
        <v>-326</v>
      </c>
      <c r="E119" s="147">
        <f>SUM(E57:E60,E64:E65,E67)-SUM(D57:D60,D64:D65,D67)</f>
        <v>3</v>
      </c>
      <c r="F119" s="147">
        <f>SUM(F57:F60,F64:F65,F67)-SUM(E57:E60,E64:E65,E67)</f>
        <v>47</v>
      </c>
      <c r="G119" s="147"/>
      <c r="H119" s="147">
        <f>SUM(H57:H60,H64:H65,H67)-SUM(F57:F60,F64:F65,F67)</f>
        <v>2472.6126777314275</v>
      </c>
      <c r="I119" s="147">
        <f>SUM(I57:I60,I64:I65,I67)-SUM(H57:H60,H64:H65,H67)</f>
        <v>373.75799096992705</v>
      </c>
      <c r="J119" s="147">
        <f>SUM(J57:J60,J64:J65,J67)-SUM(I57:I60,I64:I65,I67)</f>
        <v>405.47343176155846</v>
      </c>
      <c r="K119" s="147">
        <f>SUM(K57:K60,K64:K65,K67)-SUM(J57:J60,J64:J65,J67)</f>
        <v>439.9671133913871</v>
      </c>
      <c r="L119" s="147">
        <f>SUM(L57:L60,L64:L65,L67)-SUM(K57:K60,K64:K65,K67)</f>
        <v>477.48700522277795</v>
      </c>
      <c r="M119" s="27"/>
      <c r="N119" s="3"/>
      <c r="O119" s="3"/>
      <c r="P119" s="3"/>
      <c r="Q119" s="3"/>
      <c r="R119" s="3"/>
      <c r="U119" s="3"/>
      <c r="W119" s="3"/>
      <c r="X119" s="3"/>
    </row>
    <row r="120" spans="1:24" ht="19" customHeight="1">
      <c r="A120" s="342" t="s">
        <v>518</v>
      </c>
      <c r="B120" s="343">
        <f>B42*(1-'Tax Rate'!$G$18/100)</f>
        <v>-269.22333333333336</v>
      </c>
      <c r="C120" s="343">
        <f>C42*(1-'Tax Rate'!$G$18/100)</f>
        <v>-311.98233333333337</v>
      </c>
      <c r="D120" s="343">
        <f>D42*(1-'Tax Rate'!$G$18/100)</f>
        <v>-352.36583333333334</v>
      </c>
      <c r="E120" s="343">
        <f>E42*(1-'Tax Rate'!$G$18/100)</f>
        <v>-332.57000000000005</v>
      </c>
      <c r="F120" s="343">
        <f>F42*(1-'Tax Rate'!$G$18/100)</f>
        <v>-319.10883333333334</v>
      </c>
      <c r="G120" s="343"/>
      <c r="H120" s="343">
        <f>H42*(1-'Tax Rate'!$G$18/100)</f>
        <v>-317.00852706089614</v>
      </c>
      <c r="I120" s="343">
        <f>I42*(1-'Tax Rate'!$G$18/100)</f>
        <v>-317.00852706089614</v>
      </c>
      <c r="J120" s="343">
        <f>J42*(1-'Tax Rate'!$G$18/100)</f>
        <v>-317.00852706089614</v>
      </c>
      <c r="K120" s="343">
        <f>K42*(1-'Tax Rate'!$G$18/100)</f>
        <v>-317.00852706089614</v>
      </c>
      <c r="L120" s="343">
        <f>L42*(1-'Tax Rate'!$G$18/100)</f>
        <v>-317.00852706089614</v>
      </c>
      <c r="M120" s="27"/>
      <c r="N120" s="3"/>
      <c r="O120" s="3"/>
      <c r="P120" s="3"/>
      <c r="Q120" s="3"/>
      <c r="R120" s="3"/>
      <c r="U120" s="3"/>
      <c r="W120" s="3"/>
      <c r="X120" s="3"/>
    </row>
    <row r="121" spans="1:24" ht="19" customHeight="1">
      <c r="A121" s="342" t="s">
        <v>519</v>
      </c>
      <c r="B121" s="343">
        <f>(1-'Tax Rate'!$G$18/100)*B43</f>
        <v>17.420333333333335</v>
      </c>
      <c r="C121" s="343">
        <f>(1-'Tax Rate'!$G$18/100)*C43</f>
        <v>20.587666666666667</v>
      </c>
      <c r="D121" s="343">
        <f>(1-'Tax Rate'!$G$18/100)*D43</f>
        <v>21.3795</v>
      </c>
      <c r="E121" s="343">
        <f>(1-'Tax Rate'!$G$18/100)*E43</f>
        <v>22.171333333333337</v>
      </c>
      <c r="F121" s="343">
        <f>(1-'Tax Rate'!$G$18/100)*F43</f>
        <v>20.587666666666667</v>
      </c>
      <c r="G121" s="343"/>
      <c r="H121" s="343">
        <f ca="1">(1-'Tax Rate'!$G$18/100)*H43</f>
        <v>25.233100082304802</v>
      </c>
      <c r="I121" s="343">
        <f ca="1">(1-'Tax Rate'!$G$18/100)*I43</f>
        <v>60.524372891476126</v>
      </c>
      <c r="J121" s="343">
        <f ca="1">(1-'Tax Rate'!$G$18/100)*J43</f>
        <v>100.55040501202942</v>
      </c>
      <c r="K121" s="343">
        <f ca="1">(1-'Tax Rate'!$G$18/100)*K43</f>
        <v>145.75630254185126</v>
      </c>
      <c r="L121" s="343">
        <f ca="1">(1-'Tax Rate'!$G$18/100)*L43</f>
        <v>196.62707056193941</v>
      </c>
      <c r="M121" s="27"/>
      <c r="N121" s="3"/>
      <c r="O121" s="3"/>
      <c r="P121" s="3"/>
      <c r="Q121" s="3"/>
      <c r="R121" s="3"/>
      <c r="U121" s="3"/>
      <c r="W121" s="3"/>
      <c r="X121" s="3"/>
    </row>
    <row r="122" spans="1:24" ht="19" customHeight="1" thickBot="1">
      <c r="A122" s="344" t="s">
        <v>520</v>
      </c>
      <c r="B122" s="345">
        <f>B115-B116-B117+B118-B119-B120-B121</f>
        <v>2384.8029999999999</v>
      </c>
      <c r="C122" s="345">
        <f>C115-C116-C117+C118-C119-C120-C121</f>
        <v>1362.3946666666668</v>
      </c>
      <c r="D122" s="345">
        <f>D115-D116-D117+D118-D119-D120-D121</f>
        <v>568.98633333333328</v>
      </c>
      <c r="E122" s="345">
        <f>E115-E116-E117+E118-E119-E120-E121</f>
        <v>2364.3986666666669</v>
      </c>
      <c r="F122" s="345">
        <f>F115-F116-F117+F118-F119-F120-F121</f>
        <v>3282.5211666666664</v>
      </c>
      <c r="G122" s="345"/>
      <c r="H122" s="345">
        <f ca="1">H115-H116-H117+H118-H119-H120-H121</f>
        <v>567.1763144178525</v>
      </c>
      <c r="I122" s="345">
        <f ca="1">I115-I116-I117+I118-I119-I120-I121</f>
        <v>2703.6558708358125</v>
      </c>
      <c r="J122" s="345">
        <f ca="1">J115-J116-J117+J118-J119-J120-J121</f>
        <v>2916.7383032016332</v>
      </c>
      <c r="K122" s="345">
        <f ca="1">K115-K116-K117+K118-K119-K120-K121</f>
        <v>3147.9429800818234</v>
      </c>
      <c r="L122" s="345">
        <f ca="1">L115-L116-L117+L118-L119-L120-L121</f>
        <v>3398.8595595905213</v>
      </c>
      <c r="M122" s="27"/>
    </row>
    <row r="123" spans="1:24" ht="19" customHeight="1" thickTop="1">
      <c r="A123" s="346"/>
      <c r="B123" s="347"/>
      <c r="C123" s="347"/>
      <c r="D123" s="347"/>
      <c r="E123" s="347"/>
      <c r="F123" s="347"/>
      <c r="G123" s="347"/>
      <c r="H123" s="347"/>
      <c r="I123" s="347"/>
      <c r="J123" s="347"/>
      <c r="K123" s="347"/>
      <c r="L123" s="347"/>
      <c r="M123" s="27"/>
    </row>
    <row r="124" spans="1:24" ht="19" customHeight="1">
      <c r="A124" s="712" t="s">
        <v>206</v>
      </c>
      <c r="B124" s="712"/>
      <c r="C124" s="347"/>
      <c r="D124" s="656" t="s">
        <v>645</v>
      </c>
      <c r="E124" s="656"/>
      <c r="F124" s="656"/>
      <c r="G124" s="656"/>
      <c r="H124" s="656"/>
      <c r="I124" s="656"/>
      <c r="J124" s="656"/>
    </row>
    <row r="125" spans="1:24" ht="19" customHeight="1">
      <c r="A125" s="348" t="s">
        <v>573</v>
      </c>
      <c r="B125" s="525">
        <v>0.10249854928626491</v>
      </c>
      <c r="C125" s="347"/>
      <c r="D125" s="317"/>
      <c r="E125" s="317"/>
      <c r="F125" s="317"/>
      <c r="G125" s="317"/>
      <c r="H125" s="317"/>
      <c r="I125" s="317"/>
      <c r="J125" s="317"/>
    </row>
    <row r="126" spans="1:24" ht="19" customHeight="1">
      <c r="A126" s="348" t="s">
        <v>379</v>
      </c>
      <c r="B126" s="319">
        <f>F129</f>
        <v>3.7699202065036852E-2</v>
      </c>
      <c r="C126" s="347"/>
      <c r="D126" s="123" t="s">
        <v>75</v>
      </c>
      <c r="E126" s="26"/>
      <c r="F126" s="317">
        <v>2023</v>
      </c>
      <c r="G126" s="317" t="s">
        <v>378</v>
      </c>
      <c r="H126" s="123" t="s">
        <v>379</v>
      </c>
      <c r="I126" s="123" t="s">
        <v>650</v>
      </c>
      <c r="J126" s="26"/>
    </row>
    <row r="127" spans="1:24" ht="19" customHeight="1">
      <c r="A127" s="346"/>
      <c r="B127" s="312"/>
      <c r="C127" s="347"/>
      <c r="D127" s="181" t="s">
        <v>134</v>
      </c>
      <c r="E127" s="26"/>
      <c r="F127" s="526">
        <v>0.22973515272238387</v>
      </c>
      <c r="G127" s="526">
        <v>9.1363297736570925E-2</v>
      </c>
      <c r="H127" s="525">
        <v>4.1528147123543824E-3</v>
      </c>
      <c r="I127" s="320">
        <v>0.7</v>
      </c>
      <c r="J127" s="26"/>
    </row>
    <row r="128" spans="1:24" ht="19" customHeight="1">
      <c r="D128" s="181" t="s">
        <v>173</v>
      </c>
      <c r="E128" s="26"/>
      <c r="F128" s="526">
        <v>0.30675290302434066</v>
      </c>
      <c r="G128" s="526">
        <v>4.9083316512498865E-2</v>
      </c>
      <c r="H128" s="525">
        <v>7.5992771546960457E-3</v>
      </c>
      <c r="I128" s="320">
        <v>0.3</v>
      </c>
      <c r="J128" s="26"/>
    </row>
    <row r="129" spans="1:13" ht="19" customHeight="1" thickBot="1">
      <c r="D129" s="321" t="s">
        <v>564</v>
      </c>
      <c r="E129" s="321"/>
      <c r="F129" s="322">
        <f>H127*I127+H128*I128+'Ex1. Population growth &amp; est'!B31</f>
        <v>3.7699202065036852E-2</v>
      </c>
      <c r="G129" s="318"/>
      <c r="H129" s="319"/>
      <c r="I129" s="320"/>
      <c r="J129" s="26"/>
    </row>
    <row r="130" spans="1:13" ht="19" customHeight="1" thickTop="1">
      <c r="A130" s="355"/>
      <c r="B130" s="355"/>
      <c r="C130" s="355"/>
      <c r="D130" s="355"/>
      <c r="E130" s="355"/>
      <c r="F130" s="355"/>
      <c r="G130" s="355"/>
      <c r="H130" s="347"/>
      <c r="I130" s="347"/>
      <c r="J130" s="347"/>
      <c r="K130" s="347"/>
      <c r="L130" s="347"/>
      <c r="M130" s="27"/>
    </row>
    <row r="131" spans="1:13" ht="19" customHeight="1">
      <c r="A131" s="349" t="s">
        <v>565</v>
      </c>
      <c r="B131" s="350">
        <v>2023</v>
      </c>
      <c r="C131" s="350">
        <v>2024</v>
      </c>
      <c r="D131" s="350">
        <v>2025</v>
      </c>
      <c r="E131" s="350">
        <v>2026</v>
      </c>
      <c r="F131" s="350">
        <v>2027</v>
      </c>
    </row>
    <row r="132" spans="1:13" ht="19" customHeight="1">
      <c r="A132" s="351" t="s">
        <v>566</v>
      </c>
      <c r="B132" s="352">
        <f ca="1">H122</f>
        <v>567.1763144178525</v>
      </c>
      <c r="C132" s="352">
        <f ca="1">I122</f>
        <v>2703.6558708358125</v>
      </c>
      <c r="D132" s="352">
        <f ca="1">J122</f>
        <v>2916.7383032016332</v>
      </c>
      <c r="E132" s="352">
        <f ca="1">K122</f>
        <v>3147.9429800818234</v>
      </c>
      <c r="F132" s="352">
        <f ca="1">L122</f>
        <v>3398.8595595905213</v>
      </c>
    </row>
    <row r="133" spans="1:13" ht="19" customHeight="1">
      <c r="A133" s="351" t="s">
        <v>567</v>
      </c>
      <c r="B133" s="352"/>
      <c r="C133" s="352"/>
      <c r="D133" s="352"/>
      <c r="E133" s="352"/>
      <c r="F133" s="352">
        <f ca="1">(F132*(1+B126))/(B125-B126)</f>
        <v>54429.465791945113</v>
      </c>
    </row>
    <row r="134" spans="1:13" ht="18" thickBot="1">
      <c r="A134" s="353" t="s">
        <v>568</v>
      </c>
      <c r="B134" s="354">
        <f ca="1">B132</f>
        <v>567.1763144178525</v>
      </c>
      <c r="C134" s="354">
        <f ca="1">C133+C132</f>
        <v>2703.6558708358125</v>
      </c>
      <c r="D134" s="354">
        <f ca="1">D133+D132</f>
        <v>2916.7383032016332</v>
      </c>
      <c r="E134" s="354">
        <f ca="1">E133+E132</f>
        <v>3147.9429800818234</v>
      </c>
      <c r="F134" s="354">
        <f ca="1">F133+F132</f>
        <v>57828.325351535634</v>
      </c>
    </row>
    <row r="135" spans="1:13" ht="18" thickTop="1">
      <c r="C135" s="27"/>
    </row>
    <row r="136" spans="1:13">
      <c r="A136" s="713" t="s">
        <v>657</v>
      </c>
      <c r="B136" s="713"/>
      <c r="C136" s="27"/>
    </row>
    <row r="137" spans="1:13">
      <c r="A137" s="356" t="s">
        <v>512</v>
      </c>
      <c r="B137" s="357">
        <f ca="1">XNPV(B125,B134:F134,B131:F131)</f>
        <v>67097.227129624705</v>
      </c>
      <c r="C137" s="27"/>
    </row>
    <row r="138" spans="1:13">
      <c r="A138" s="351" t="s">
        <v>654</v>
      </c>
      <c r="B138" s="357">
        <f>F51</f>
        <v>507</v>
      </c>
      <c r="C138" s="347"/>
    </row>
    <row r="139" spans="1:13">
      <c r="A139" s="351" t="s">
        <v>655</v>
      </c>
      <c r="B139" s="357">
        <f ca="1">B137+B138</f>
        <v>67604.227129624705</v>
      </c>
      <c r="C139" s="200"/>
    </row>
    <row r="140" spans="1:13">
      <c r="A140" s="351" t="s">
        <v>571</v>
      </c>
      <c r="B140" s="357">
        <f>-(F82+F90+F94)</f>
        <v>-11098</v>
      </c>
      <c r="C140" s="200"/>
    </row>
    <row r="141" spans="1:13">
      <c r="A141" s="351" t="s">
        <v>572</v>
      </c>
      <c r="B141" s="357">
        <f ca="1">B139+B140</f>
        <v>56506.227129624705</v>
      </c>
    </row>
    <row r="142" spans="1:13" ht="18" thickBot="1">
      <c r="A142" s="358" t="s">
        <v>688</v>
      </c>
      <c r="B142" s="527">
        <f ca="1">B141/Finratios!F46</f>
        <v>174.18689004199973</v>
      </c>
    </row>
    <row r="143" spans="1:13" ht="18" thickTop="1">
      <c r="A143" s="348" t="s">
        <v>682</v>
      </c>
      <c r="B143" s="429">
        <f>AVERAGEIF(B148:L164,"&lt;"&amp;172.14,B148:L164)</f>
        <v>144.02919309308641</v>
      </c>
    </row>
    <row r="144" spans="1:13">
      <c r="A144" s="348" t="s">
        <v>683</v>
      </c>
      <c r="B144" s="429">
        <f>AVERAGEIF(B148:L164,"&gt;"&amp;172.14,B148:L164)</f>
        <v>206.75354394648406</v>
      </c>
    </row>
    <row r="146" spans="1:29">
      <c r="A146" s="713" t="s">
        <v>681</v>
      </c>
      <c r="B146" s="713"/>
      <c r="C146" s="713"/>
      <c r="D146" s="713"/>
      <c r="E146" s="713"/>
      <c r="F146" s="713"/>
      <c r="G146" s="713"/>
      <c r="H146" s="713"/>
      <c r="I146" s="713"/>
      <c r="J146" s="713"/>
      <c r="K146" s="713"/>
      <c r="L146" s="713"/>
    </row>
    <row r="147" spans="1:29">
      <c r="A147" s="428">
        <f ca="1">B142</f>
        <v>174.18689004199973</v>
      </c>
      <c r="B147" s="422">
        <v>1.7500000000000002E-2</v>
      </c>
      <c r="C147" s="422">
        <v>0.02</v>
      </c>
      <c r="D147" s="422">
        <v>2.2499999999999999E-2</v>
      </c>
      <c r="E147" s="422">
        <v>2.5000000000000001E-2</v>
      </c>
      <c r="F147" s="422">
        <v>2.75E-2</v>
      </c>
      <c r="G147" s="422">
        <v>0.03</v>
      </c>
      <c r="H147" s="422">
        <v>3.2500000000000001E-2</v>
      </c>
      <c r="I147" s="422">
        <v>3.5000000000000003E-2</v>
      </c>
      <c r="J147" s="422">
        <v>3.7499999999999999E-2</v>
      </c>
      <c r="K147" s="422">
        <v>0.04</v>
      </c>
      <c r="L147" s="422">
        <v>4.2500000000000003E-2</v>
      </c>
    </row>
    <row r="148" spans="1:29">
      <c r="A148" s="427">
        <v>0.08</v>
      </c>
      <c r="B148" s="423">
        <f t="dataTable" ref="B148:L164" dt2D="1" dtr="1" r1="B126" r2="B125" ca="1"/>
        <v>177.01449396036816</v>
      </c>
      <c r="C148" s="423">
        <v>184.55184223767881</v>
      </c>
      <c r="D148" s="423">
        <v>192.74461210432079</v>
      </c>
      <c r="E148" s="424">
        <v>201.68217923156672</v>
      </c>
      <c r="F148" s="424">
        <v>211.47094322807399</v>
      </c>
      <c r="G148" s="424">
        <v>222.23858362423209</v>
      </c>
      <c r="H148" s="424">
        <v>234.13965985156466</v>
      </c>
      <c r="I148" s="424">
        <v>247.36307788193429</v>
      </c>
      <c r="J148" s="424">
        <v>262.14219215117083</v>
      </c>
      <c r="K148" s="425">
        <v>278.768695704062</v>
      </c>
      <c r="L148" s="425">
        <v>297.61206639733859</v>
      </c>
    </row>
    <row r="149" spans="1:29">
      <c r="A149" s="427">
        <v>8.2500000000000004E-2</v>
      </c>
      <c r="B149" s="423">
        <v>170.45480939277846</v>
      </c>
      <c r="C149" s="423">
        <v>177.42829039388272</v>
      </c>
      <c r="D149" s="423">
        <v>184.98289481174558</v>
      </c>
      <c r="E149" s="424">
        <v>193.19442135290095</v>
      </c>
      <c r="F149" s="424">
        <v>202.15245030688862</v>
      </c>
      <c r="G149" s="424">
        <v>211.96362487554174</v>
      </c>
      <c r="H149" s="424">
        <v>222.7559169010602</v>
      </c>
      <c r="I149" s="424">
        <v>234.68423966610692</v>
      </c>
      <c r="J149" s="424">
        <v>247.93793162726993</v>
      </c>
      <c r="K149" s="425">
        <v>262.75088146621687</v>
      </c>
      <c r="L149" s="425">
        <v>279.41545003503211</v>
      </c>
    </row>
    <row r="150" spans="1:29">
      <c r="A150" s="427">
        <v>8.5000000000000006E-2</v>
      </c>
      <c r="B150" s="423">
        <v>164.38099249980829</v>
      </c>
      <c r="C150" s="423">
        <v>170.85266781748382</v>
      </c>
      <c r="D150" s="423">
        <v>177.84207716057341</v>
      </c>
      <c r="E150" s="424">
        <v>185.41393728225381</v>
      </c>
      <c r="F150" s="424">
        <v>193.64422002321078</v>
      </c>
      <c r="G150" s="424">
        <v>202.62271028607285</v>
      </c>
      <c r="H150" s="424">
        <v>212.45629485968377</v>
      </c>
      <c r="I150" s="424">
        <v>223.27323789065576</v>
      </c>
      <c r="J150" s="424">
        <v>235.2288065038353</v>
      </c>
      <c r="K150" s="425">
        <v>248.51277162959045</v>
      </c>
      <c r="L150" s="425">
        <v>263.35955618190491</v>
      </c>
    </row>
    <row r="151" spans="1:29" s="57" customFormat="1">
      <c r="A151" s="427">
        <v>8.7499999999999994E-2</v>
      </c>
      <c r="B151" s="423">
        <v>158.74098613594367</v>
      </c>
      <c r="C151" s="423">
        <v>164.76409358815033</v>
      </c>
      <c r="D151" s="423">
        <v>171.25051699821901</v>
      </c>
      <c r="E151" s="424">
        <v>178.25585428109324</v>
      </c>
      <c r="F151" s="424">
        <v>185.84496967087364</v>
      </c>
      <c r="G151" s="424">
        <v>194.09400813802625</v>
      </c>
      <c r="H151" s="424">
        <v>203.09295919310176</v>
      </c>
      <c r="I151" s="424">
        <v>212.94895320580355</v>
      </c>
      <c r="J151" s="424">
        <v>223.79054661977557</v>
      </c>
      <c r="K151" s="425">
        <v>235.77336039311308</v>
      </c>
      <c r="L151" s="425">
        <v>249.08759791904356</v>
      </c>
      <c r="M151" s="3"/>
      <c r="N151" s="1"/>
      <c r="O151" s="1"/>
      <c r="S151" s="3"/>
      <c r="T151" s="3"/>
      <c r="V151" s="3"/>
      <c r="X151" s="129"/>
      <c r="Y151" s="3"/>
      <c r="Z151" s="3"/>
      <c r="AA151" s="3"/>
      <c r="AB151" s="3"/>
      <c r="AC151" s="3"/>
    </row>
    <row r="152" spans="1:29" s="57" customFormat="1" ht="18" customHeight="1">
      <c r="A152" s="427">
        <v>0.09</v>
      </c>
      <c r="B152" s="423">
        <v>153.48991345101319</v>
      </c>
      <c r="C152" s="423">
        <v>159.11038405927098</v>
      </c>
      <c r="D152" s="423">
        <v>165.14718582369593</v>
      </c>
      <c r="E152" s="424">
        <v>171.6483569546152</v>
      </c>
      <c r="F152" s="424">
        <v>178.669621776008</v>
      </c>
      <c r="G152" s="424">
        <v>186.27599199918359</v>
      </c>
      <c r="H152" s="424">
        <v>194.54378572002653</v>
      </c>
      <c r="I152" s="424">
        <v>203.5631970518553</v>
      </c>
      <c r="J152" s="424">
        <v>213.44159993909614</v>
      </c>
      <c r="K152" s="425">
        <v>224.30784311506122</v>
      </c>
      <c r="L152" s="425">
        <v>236.31790136218052</v>
      </c>
      <c r="M152" s="330"/>
      <c r="N152" s="330"/>
      <c r="O152" s="260"/>
      <c r="S152" s="3"/>
      <c r="T152" s="3"/>
      <c r="V152" s="3"/>
      <c r="X152" s="129"/>
      <c r="Y152" s="3"/>
      <c r="Z152" s="3"/>
      <c r="AA152" s="3"/>
      <c r="AB152" s="3"/>
      <c r="AC152" s="3"/>
    </row>
    <row r="153" spans="1:29" s="57" customFormat="1" ht="17" customHeight="1">
      <c r="A153" s="427">
        <v>9.2499999999999999E-2</v>
      </c>
      <c r="B153" s="424">
        <v>148.58888117430251</v>
      </c>
      <c r="C153" s="424">
        <v>153.84655332800855</v>
      </c>
      <c r="D153" s="424">
        <v>159.47977349269357</v>
      </c>
      <c r="E153" s="424">
        <v>165.53026922513303</v>
      </c>
      <c r="F153" s="424">
        <v>172.04618770622176</v>
      </c>
      <c r="G153" s="424">
        <v>179.08337966579751</v>
      </c>
      <c r="H153" s="424">
        <v>186.70700428867127</v>
      </c>
      <c r="I153" s="424">
        <v>194.99355279179491</v>
      </c>
      <c r="J153" s="424">
        <v>204.03342388611162</v>
      </c>
      <c r="K153" s="425">
        <v>213.93423508464895</v>
      </c>
      <c r="L153" s="425">
        <v>224.82512740304</v>
      </c>
      <c r="M153" s="331"/>
      <c r="N153" s="332"/>
      <c r="O153" s="261"/>
      <c r="S153" s="3"/>
      <c r="T153" s="3"/>
      <c r="V153" s="3"/>
      <c r="X153" s="129"/>
      <c r="Y153" s="3"/>
      <c r="Z153" s="3"/>
      <c r="AA153" s="3"/>
      <c r="AB153" s="3"/>
      <c r="AC153" s="3"/>
    </row>
    <row r="154" spans="1:29" s="57" customFormat="1" ht="18">
      <c r="A154" s="427">
        <v>9.5000000000000001E-2</v>
      </c>
      <c r="B154" s="424">
        <v>144.00401452109796</v>
      </c>
      <c r="C154" s="424">
        <v>148.93361361134205</v>
      </c>
      <c r="D154" s="424">
        <v>154.20318505263745</v>
      </c>
      <c r="E154" s="424">
        <v>159.84915445402541</v>
      </c>
      <c r="F154" s="424">
        <v>165.91334381107177</v>
      </c>
      <c r="G154" s="424">
        <v>172.44400927250626</v>
      </c>
      <c r="H154" s="424">
        <v>179.4971279708555</v>
      </c>
      <c r="I154" s="424">
        <v>187.13800656073388</v>
      </c>
      <c r="J154" s="424">
        <v>195.44330937581904</v>
      </c>
      <c r="K154" s="425">
        <v>204.50363971954835</v>
      </c>
      <c r="L154" s="425">
        <v>214.42685866744233</v>
      </c>
      <c r="M154" s="333"/>
      <c r="N154" s="334"/>
      <c r="O154" s="261"/>
      <c r="S154" s="3"/>
      <c r="T154" s="3"/>
      <c r="V154" s="3"/>
      <c r="X154" s="129"/>
      <c r="Y154" s="3"/>
      <c r="Z154" s="3"/>
      <c r="AA154" s="3"/>
      <c r="AB154" s="3"/>
      <c r="AC154" s="3"/>
    </row>
    <row r="155" spans="1:29" s="57" customFormat="1" ht="18">
      <c r="A155" s="427">
        <v>9.7500000000000003E-2</v>
      </c>
      <c r="B155" s="424">
        <v>139.70567305425317</v>
      </c>
      <c r="C155" s="424">
        <v>144.33760780739109</v>
      </c>
      <c r="D155" s="424">
        <v>149.27833821073821</v>
      </c>
      <c r="E155" s="424">
        <v>154.55980864190241</v>
      </c>
      <c r="F155" s="424">
        <v>160.21852696100694</v>
      </c>
      <c r="G155" s="424">
        <v>166.29640960004508</v>
      </c>
      <c r="H155" s="424">
        <v>172.84182167285536</v>
      </c>
      <c r="I155" s="424">
        <v>179.91086671149057</v>
      </c>
      <c r="J155" s="424">
        <v>187.56899883667865</v>
      </c>
      <c r="K155" s="425">
        <v>195.89305549449176</v>
      </c>
      <c r="L155" s="425">
        <v>204.97384457574239</v>
      </c>
      <c r="M155" s="335"/>
      <c r="N155" s="336"/>
      <c r="O155" s="261"/>
      <c r="S155" s="3"/>
      <c r="T155" s="3"/>
      <c r="V155" s="3"/>
      <c r="X155" s="129"/>
      <c r="Y155" s="3"/>
      <c r="Z155" s="3"/>
      <c r="AA155" s="3"/>
      <c r="AB155" s="3"/>
      <c r="AC155" s="3"/>
    </row>
    <row r="156" spans="1:29" s="57" customFormat="1" ht="18">
      <c r="A156" s="427">
        <v>0.1</v>
      </c>
      <c r="B156" s="424">
        <v>135.6678091163802</v>
      </c>
      <c r="C156" s="423">
        <v>140.02882345149217</v>
      </c>
      <c r="D156" s="426">
        <v>144.67119355015967</v>
      </c>
      <c r="E156" s="426">
        <v>149.6230549887384</v>
      </c>
      <c r="F156" s="426">
        <v>154.91642411273634</v>
      </c>
      <c r="G156" s="426">
        <v>160.58789103130556</v>
      </c>
      <c r="H156" s="426">
        <v>166.67946661050951</v>
      </c>
      <c r="I156" s="426">
        <v>173.23962492657532</v>
      </c>
      <c r="J156" s="424">
        <v>180.32459590792638</v>
      </c>
      <c r="K156" s="425">
        <v>187.99998113772338</v>
      </c>
      <c r="L156" s="425">
        <v>196.34279117011141</v>
      </c>
      <c r="M156" s="333"/>
      <c r="N156" s="333"/>
      <c r="O156" s="261"/>
      <c r="S156" s="3"/>
      <c r="T156" s="3"/>
      <c r="V156" s="3"/>
      <c r="X156" s="129"/>
      <c r="Y156" s="3"/>
      <c r="Z156" s="3"/>
      <c r="AA156" s="3"/>
      <c r="AB156" s="3"/>
      <c r="AC156" s="3"/>
    </row>
    <row r="157" spans="1:29" s="57" customFormat="1" ht="17" customHeight="1">
      <c r="A157" s="427">
        <f>B125</f>
        <v>0.10249854928626491</v>
      </c>
      <c r="B157" s="424">
        <v>135.6678091163802</v>
      </c>
      <c r="C157" s="424">
        <v>140.02882345149217</v>
      </c>
      <c r="D157" s="424">
        <v>144.67119355015967</v>
      </c>
      <c r="E157" s="424">
        <v>149.6230549887384</v>
      </c>
      <c r="F157" s="424">
        <v>154.91642411273634</v>
      </c>
      <c r="G157" s="424">
        <v>160.58789103130556</v>
      </c>
      <c r="H157" s="424">
        <v>166.67946661050951</v>
      </c>
      <c r="I157" s="424">
        <v>173.23962492657532</v>
      </c>
      <c r="J157" s="424">
        <v>180.32459590792638</v>
      </c>
      <c r="K157" s="425">
        <v>187.99998113772338</v>
      </c>
      <c r="L157" s="425">
        <v>196.34279117011141</v>
      </c>
      <c r="M157" s="333"/>
      <c r="N157" s="333"/>
      <c r="O157" s="261"/>
      <c r="S157" s="3"/>
      <c r="T157" s="3"/>
      <c r="V157" s="3"/>
      <c r="X157" s="129"/>
      <c r="Y157" s="3"/>
      <c r="Z157" s="3"/>
      <c r="AA157" s="3"/>
      <c r="AB157" s="3"/>
      <c r="AC157" s="3"/>
    </row>
    <row r="158" spans="1:29" s="57" customFormat="1" ht="18">
      <c r="A158" s="427">
        <v>0.105</v>
      </c>
      <c r="B158" s="424">
        <v>128.28420757130601</v>
      </c>
      <c r="C158" s="424">
        <v>132.17154714317138</v>
      </c>
      <c r="D158" s="424">
        <v>136.29448305272558</v>
      </c>
      <c r="E158" s="424">
        <v>140.67510245662689</v>
      </c>
      <c r="F158" s="424">
        <v>145.33834246723151</v>
      </c>
      <c r="G158" s="424">
        <v>150.31246514520979</v>
      </c>
      <c r="H158" s="424">
        <v>155.62963076649689</v>
      </c>
      <c r="I158" s="424">
        <v>161.32659393216164</v>
      </c>
      <c r="J158" s="424">
        <v>167.44555436935715</v>
      </c>
      <c r="K158" s="425">
        <v>174.03520407095232</v>
      </c>
      <c r="L158" s="425">
        <v>181.15202574867507</v>
      </c>
      <c r="M158" s="333"/>
      <c r="N158" s="333"/>
      <c r="O158" s="261"/>
      <c r="S158" s="3"/>
      <c r="T158" s="3"/>
      <c r="V158" s="3"/>
      <c r="X158" s="129"/>
      <c r="Y158" s="3"/>
      <c r="Z158" s="3"/>
      <c r="AA158" s="3"/>
      <c r="AB158" s="3"/>
      <c r="AC158" s="3"/>
    </row>
    <row r="159" spans="1:29" s="57" customFormat="1" ht="18">
      <c r="A159" s="427">
        <v>0.1075</v>
      </c>
      <c r="B159" s="424">
        <v>124.90001865820567</v>
      </c>
      <c r="C159" s="423">
        <v>128.5796100721544</v>
      </c>
      <c r="D159" s="426">
        <v>132.47564803986481</v>
      </c>
      <c r="E159" s="426">
        <v>136.60780952076985</v>
      </c>
      <c r="F159" s="426">
        <v>140.99823109423144</v>
      </c>
      <c r="G159" s="426">
        <v>145.67190567243247</v>
      </c>
      <c r="H159" s="426">
        <v>150.65715855584688</v>
      </c>
      <c r="I159" s="426">
        <v>155.98622198294504</v>
      </c>
      <c r="J159" s="424">
        <v>161.6959327976931</v>
      </c>
      <c r="K159" s="425">
        <v>167.82858515427435</v>
      </c>
      <c r="L159" s="425">
        <v>174.4329799998234</v>
      </c>
      <c r="M159" s="333"/>
      <c r="N159" s="333"/>
      <c r="O159" s="261"/>
      <c r="S159" s="3"/>
      <c r="T159" s="3"/>
      <c r="V159" s="3"/>
      <c r="X159" s="129"/>
      <c r="Y159" s="3"/>
      <c r="Z159" s="3"/>
      <c r="AA159" s="3"/>
      <c r="AB159" s="3"/>
      <c r="AC159" s="3"/>
    </row>
    <row r="160" spans="1:29" s="57" customFormat="1" ht="18">
      <c r="A160" s="427">
        <v>0.11</v>
      </c>
      <c r="B160" s="424">
        <v>121.69873419501874</v>
      </c>
      <c r="C160" s="424">
        <v>125.18719967292373</v>
      </c>
      <c r="D160" s="424">
        <v>128.87500603528036</v>
      </c>
      <c r="E160" s="424">
        <v>132.77974218365802</v>
      </c>
      <c r="F160" s="424">
        <v>136.9211290076949</v>
      </c>
      <c r="G160" s="424">
        <v>141.32135250823416</v>
      </c>
      <c r="H160" s="424">
        <v>146.00546139590489</v>
      </c>
      <c r="I160" s="424">
        <v>151.0018442094204</v>
      </c>
      <c r="J160" s="424">
        <v>156.34280514800594</v>
      </c>
      <c r="K160" s="425">
        <v>162.0652632964904</v>
      </c>
      <c r="L160" s="425">
        <v>168.21160723375152</v>
      </c>
      <c r="M160" s="333"/>
      <c r="N160" s="333"/>
      <c r="O160" s="261"/>
      <c r="S160" s="3"/>
      <c r="T160" s="3"/>
      <c r="V160" s="3"/>
      <c r="X160" s="129"/>
      <c r="Y160" s="3"/>
      <c r="Z160" s="3"/>
      <c r="AA160" s="3"/>
      <c r="AB160" s="3"/>
      <c r="AC160" s="3"/>
    </row>
    <row r="161" spans="1:29" s="57" customFormat="1" ht="18">
      <c r="A161" s="427">
        <v>0.1125</v>
      </c>
      <c r="B161" s="424">
        <v>118.66591443002827</v>
      </c>
      <c r="C161" s="423">
        <v>121.97813818257788</v>
      </c>
      <c r="D161" s="426">
        <v>125.47437436582472</v>
      </c>
      <c r="E161" s="426">
        <v>129.17039547382851</v>
      </c>
      <c r="F161" s="426">
        <v>133.08382958818547</v>
      </c>
      <c r="G161" s="426">
        <v>137.23444152765498</v>
      </c>
      <c r="H161" s="426">
        <v>141.6444667133413</v>
      </c>
      <c r="I161" s="426">
        <v>146.33900965294291</v>
      </c>
      <c r="J161" s="424">
        <v>151.34652212185128</v>
      </c>
      <c r="K161" s="425">
        <v>156.69938027827055</v>
      </c>
      <c r="L161" s="425">
        <v>162.43458544586264</v>
      </c>
      <c r="M161" s="333"/>
      <c r="N161" s="333"/>
      <c r="O161" s="261"/>
      <c r="S161" s="3"/>
      <c r="T161" s="3"/>
      <c r="V161" s="3"/>
      <c r="X161" s="129"/>
      <c r="Y161" s="3"/>
      <c r="Z161" s="3"/>
      <c r="AA161" s="3"/>
      <c r="AB161" s="3"/>
      <c r="AC161" s="3"/>
    </row>
    <row r="162" spans="1:29" s="57" customFormat="1" ht="18">
      <c r="A162" s="427">
        <v>0.115</v>
      </c>
      <c r="B162" s="424">
        <v>115.78860061128908</v>
      </c>
      <c r="C162" s="424">
        <v>118.93795076021078</v>
      </c>
      <c r="D162" s="424">
        <v>122.25753605231743</v>
      </c>
      <c r="E162" s="424">
        <v>125.76154274954109</v>
      </c>
      <c r="F162" s="424">
        <v>129.46577840089185</v>
      </c>
      <c r="G162" s="424">
        <v>133.38791026702793</v>
      </c>
      <c r="H162" s="424">
        <v>137.54774709474799</v>
      </c>
      <c r="I162" s="424">
        <v>141.96757372420061</v>
      </c>
      <c r="J162" s="424">
        <v>146.67255045877917</v>
      </c>
      <c r="K162" s="425">
        <v>151.69119230899631</v>
      </c>
      <c r="L162" s="425">
        <v>157.05594739026287</v>
      </c>
      <c r="M162" s="333"/>
      <c r="N162" s="333"/>
      <c r="O162" s="261"/>
      <c r="S162" s="3"/>
      <c r="T162" s="3"/>
      <c r="V162" s="3"/>
      <c r="X162" s="129"/>
      <c r="Y162" s="3"/>
      <c r="Z162" s="3"/>
      <c r="AA162" s="3"/>
      <c r="AB162" s="3"/>
      <c r="AC162" s="3"/>
    </row>
    <row r="163" spans="1:29" s="57" customFormat="1" ht="17" customHeight="1">
      <c r="A163" s="427">
        <v>0.11749999999999999</v>
      </c>
      <c r="B163" s="424">
        <v>113.05512986165979</v>
      </c>
      <c r="C163" s="424">
        <v>116.05364716358201</v>
      </c>
      <c r="D163" s="424">
        <v>119.20998116560536</v>
      </c>
      <c r="E163" s="424">
        <v>122.53692781638676</v>
      </c>
      <c r="F163" s="424">
        <v>126.04870483665604</v>
      </c>
      <c r="G163" s="424">
        <v>129.76115482951209</v>
      </c>
      <c r="H163" s="424">
        <v>133.69198423371267</v>
      </c>
      <c r="I163" s="424">
        <v>137.86104572301628</v>
      </c>
      <c r="J163" s="424">
        <v>142.29067355540138</v>
      </c>
      <c r="K163" s="425">
        <v>147.0060838285855</v>
      </c>
      <c r="L163" s="425">
        <v>152.03585478664854</v>
      </c>
      <c r="M163" s="3"/>
      <c r="N163" s="337"/>
      <c r="O163" s="337"/>
      <c r="S163" s="3"/>
      <c r="T163" s="3"/>
      <c r="V163" s="3"/>
      <c r="X163" s="129"/>
      <c r="Y163" s="3"/>
      <c r="Z163" s="3"/>
      <c r="AA163" s="3"/>
      <c r="AB163" s="3"/>
      <c r="AC163" s="3"/>
    </row>
    <row r="164" spans="1:29" s="57" customFormat="1">
      <c r="A164" s="427">
        <v>0.12</v>
      </c>
      <c r="B164" s="424">
        <v>110.45497714529293</v>
      </c>
      <c r="C164" s="423">
        <v>113.3135361742869</v>
      </c>
      <c r="D164" s="426">
        <v>116.31868797399846</v>
      </c>
      <c r="E164" s="426">
        <v>119.4820056579054</v>
      </c>
      <c r="F164" s="426">
        <v>122.81631348688842</v>
      </c>
      <c r="G164" s="426">
        <v>126.33586063970381</v>
      </c>
      <c r="H164" s="426">
        <v>130.05652477268009</v>
      </c>
      <c r="I164" s="426">
        <v>133.99605150171377</v>
      </c>
      <c r="J164" s="424">
        <v>138.17433742644653</v>
      </c>
      <c r="K164" s="425">
        <v>142.613766221475</v>
      </c>
      <c r="L164" s="425">
        <v>147.3396097774731</v>
      </c>
      <c r="M164" s="3"/>
      <c r="N164" s="337"/>
      <c r="O164" s="337"/>
      <c r="S164" s="3"/>
      <c r="T164" s="3"/>
      <c r="V164" s="3"/>
      <c r="X164" s="129"/>
      <c r="Y164" s="3"/>
      <c r="Z164" s="3"/>
      <c r="AA164" s="3"/>
      <c r="AB164" s="3"/>
      <c r="AC164" s="3"/>
    </row>
    <row r="165" spans="1:29" s="57" customFormat="1">
      <c r="E165" s="3"/>
      <c r="F165" s="3"/>
      <c r="G165" s="3"/>
      <c r="H165" s="3"/>
      <c r="I165" s="3"/>
      <c r="J165" s="3"/>
      <c r="K165" s="3"/>
      <c r="L165" s="3"/>
      <c r="M165" s="3"/>
      <c r="N165" s="337"/>
      <c r="O165" s="337"/>
      <c r="S165" s="3"/>
      <c r="T165" s="3"/>
      <c r="V165" s="3"/>
      <c r="X165" s="129"/>
      <c r="Y165" s="3"/>
      <c r="Z165" s="3"/>
      <c r="AA165" s="3"/>
      <c r="AB165" s="3"/>
      <c r="AC165" s="3"/>
    </row>
    <row r="166" spans="1:29" s="57" customFormat="1">
      <c r="E166" s="3"/>
      <c r="F166" s="3"/>
      <c r="G166" s="3"/>
      <c r="H166" s="3"/>
      <c r="I166" s="3"/>
      <c r="J166" s="3"/>
      <c r="K166" s="3"/>
      <c r="L166" s="3"/>
      <c r="M166" s="3"/>
      <c r="N166" s="337"/>
      <c r="O166" s="337"/>
      <c r="S166" s="3"/>
      <c r="T166" s="3"/>
      <c r="V166" s="3"/>
      <c r="X166" s="129"/>
      <c r="Y166" s="3"/>
      <c r="Z166" s="3"/>
      <c r="AA166" s="3"/>
      <c r="AB166" s="3"/>
      <c r="AC166" s="3"/>
    </row>
    <row r="167" spans="1:29" s="57" customFormat="1">
      <c r="E167" s="3"/>
      <c r="F167" s="3"/>
      <c r="G167" s="3"/>
      <c r="H167" s="3"/>
      <c r="I167" s="3"/>
      <c r="J167" s="3"/>
      <c r="K167" s="3"/>
      <c r="L167" s="3"/>
      <c r="M167" s="3"/>
      <c r="N167" s="337"/>
      <c r="O167" s="337"/>
      <c r="S167" s="3"/>
      <c r="T167" s="3"/>
      <c r="V167" s="3"/>
      <c r="X167" s="129"/>
      <c r="Y167" s="3"/>
      <c r="Z167" s="3"/>
      <c r="AA167" s="3"/>
      <c r="AB167" s="3"/>
      <c r="AC167" s="3"/>
    </row>
    <row r="168" spans="1:29" s="57" customFormat="1">
      <c r="E168" s="3"/>
      <c r="F168" s="3"/>
      <c r="G168" s="3"/>
      <c r="H168" s="3"/>
      <c r="I168" s="3"/>
      <c r="J168" s="3"/>
      <c r="K168" s="3"/>
      <c r="L168" s="3"/>
      <c r="M168" s="3"/>
      <c r="N168" s="337"/>
      <c r="O168" s="337"/>
      <c r="S168" s="3"/>
      <c r="T168" s="3"/>
      <c r="V168" s="3"/>
      <c r="X168" s="129"/>
      <c r="Y168" s="3"/>
      <c r="Z168" s="3"/>
      <c r="AA168" s="3"/>
      <c r="AB168" s="3"/>
      <c r="AC168" s="3"/>
    </row>
    <row r="169" spans="1:29" s="57" customFormat="1">
      <c r="E169" s="3"/>
      <c r="F169" s="3"/>
      <c r="G169" s="3"/>
      <c r="H169" s="3"/>
      <c r="I169" s="3"/>
      <c r="J169" s="3"/>
      <c r="K169" s="3"/>
      <c r="L169" s="3"/>
      <c r="M169" s="3"/>
      <c r="N169" s="337"/>
      <c r="O169" s="337"/>
      <c r="S169" s="3"/>
      <c r="T169" s="3"/>
      <c r="V169" s="3"/>
      <c r="X169" s="129"/>
      <c r="Y169" s="3"/>
      <c r="Z169" s="3"/>
      <c r="AA169" s="3"/>
      <c r="AB169" s="3"/>
      <c r="AC169" s="3"/>
    </row>
    <row r="170" spans="1:29" s="57" customFormat="1" ht="17" customHeight="1">
      <c r="E170" s="3"/>
      <c r="F170" s="3"/>
      <c r="G170" s="3"/>
      <c r="H170" s="3"/>
      <c r="I170" s="3"/>
      <c r="J170" s="3"/>
      <c r="K170" s="3"/>
      <c r="L170" s="3"/>
      <c r="M170" s="3"/>
      <c r="N170" s="337"/>
      <c r="O170" s="337"/>
      <c r="S170" s="3"/>
      <c r="T170" s="3"/>
      <c r="V170" s="3"/>
      <c r="X170" s="129"/>
      <c r="Y170" s="3"/>
      <c r="Z170" s="3"/>
      <c r="AA170" s="3"/>
      <c r="AB170" s="3"/>
      <c r="AC170" s="3"/>
    </row>
    <row r="171" spans="1:29" s="57" customFormat="1" ht="17" customHeight="1">
      <c r="E171" s="3"/>
      <c r="F171" s="3"/>
      <c r="G171" s="3"/>
      <c r="H171" s="3"/>
      <c r="I171" s="3"/>
      <c r="J171" s="3"/>
      <c r="K171" s="3"/>
      <c r="L171" s="3"/>
      <c r="M171" s="3"/>
      <c r="N171" s="337"/>
      <c r="O171" s="337"/>
      <c r="S171" s="3"/>
      <c r="T171" s="3"/>
      <c r="V171" s="3"/>
      <c r="X171" s="129"/>
      <c r="Y171" s="3"/>
      <c r="Z171" s="3"/>
      <c r="AA171" s="3"/>
      <c r="AB171" s="3"/>
      <c r="AC171" s="3"/>
    </row>
    <row r="174" spans="1:29">
      <c r="A174" s="677" t="s">
        <v>96</v>
      </c>
      <c r="B174" s="677"/>
      <c r="C174" s="677"/>
      <c r="D174" s="677"/>
    </row>
    <row r="175" spans="1:29">
      <c r="A175" s="179">
        <v>1</v>
      </c>
      <c r="B175" s="368" t="s">
        <v>652</v>
      </c>
      <c r="C175" s="368"/>
      <c r="D175" s="368"/>
    </row>
    <row r="176" spans="1:29">
      <c r="A176" s="714">
        <v>2</v>
      </c>
      <c r="B176" s="718" t="s">
        <v>676</v>
      </c>
      <c r="C176" s="718"/>
      <c r="D176" s="718"/>
    </row>
    <row r="177" spans="1:4">
      <c r="A177" s="686"/>
      <c r="B177" s="719"/>
      <c r="C177" s="719"/>
      <c r="D177" s="719"/>
    </row>
    <row r="178" spans="1:4">
      <c r="A178" s="686"/>
      <c r="B178" s="719"/>
      <c r="C178" s="719"/>
      <c r="D178" s="719"/>
    </row>
    <row r="179" spans="1:4">
      <c r="A179" s="715"/>
      <c r="B179" s="720"/>
      <c r="C179" s="720"/>
      <c r="D179" s="720"/>
    </row>
    <row r="180" spans="1:4">
      <c r="A180" s="714">
        <v>3</v>
      </c>
      <c r="B180" s="721" t="s">
        <v>677</v>
      </c>
      <c r="C180" s="721"/>
      <c r="D180" s="721"/>
    </row>
    <row r="181" spans="1:4">
      <c r="A181" s="686"/>
      <c r="B181" s="722"/>
      <c r="C181" s="722"/>
      <c r="D181" s="722"/>
    </row>
    <row r="182" spans="1:4">
      <c r="A182" s="686"/>
      <c r="B182" s="722"/>
      <c r="C182" s="722"/>
      <c r="D182" s="722"/>
    </row>
    <row r="183" spans="1:4">
      <c r="A183" s="686"/>
      <c r="B183" s="722"/>
      <c r="C183" s="722"/>
      <c r="D183" s="722"/>
    </row>
    <row r="184" spans="1:4">
      <c r="A184" s="686"/>
      <c r="B184" s="722"/>
      <c r="C184" s="722"/>
      <c r="D184" s="722"/>
    </row>
    <row r="185" spans="1:4">
      <c r="A185" s="715"/>
      <c r="B185" s="233"/>
      <c r="C185" s="233"/>
      <c r="D185" s="233"/>
    </row>
    <row r="186" spans="1:4">
      <c r="A186" s="683">
        <v>4</v>
      </c>
      <c r="B186" s="709" t="s">
        <v>678</v>
      </c>
      <c r="C186" s="709"/>
      <c r="D186" s="709"/>
    </row>
    <row r="187" spans="1:4">
      <c r="A187" s="683"/>
      <c r="B187" s="710"/>
      <c r="C187" s="710"/>
      <c r="D187" s="710"/>
    </row>
    <row r="188" spans="1:4">
      <c r="A188" s="683"/>
      <c r="B188" s="710"/>
      <c r="C188" s="710"/>
      <c r="D188" s="710"/>
    </row>
    <row r="189" spans="1:4">
      <c r="A189" s="683"/>
      <c r="B189" s="710"/>
      <c r="C189" s="710"/>
      <c r="D189" s="710"/>
    </row>
    <row r="190" spans="1:4">
      <c r="A190" s="683"/>
      <c r="B190" s="41"/>
      <c r="C190" s="41"/>
      <c r="D190" s="41"/>
    </row>
    <row r="191" spans="1:4">
      <c r="A191" s="683"/>
      <c r="B191" s="41"/>
      <c r="C191" s="41"/>
      <c r="D191" s="41"/>
    </row>
    <row r="192" spans="1:4">
      <c r="A192" s="683"/>
      <c r="B192" s="41"/>
      <c r="C192" s="41"/>
      <c r="D192" s="41"/>
    </row>
    <row r="193" spans="1:4">
      <c r="A193" s="682">
        <v>5</v>
      </c>
      <c r="B193" s="709" t="s">
        <v>679</v>
      </c>
      <c r="C193" s="709"/>
      <c r="D193" s="709"/>
    </row>
    <row r="194" spans="1:4">
      <c r="A194" s="683"/>
      <c r="B194" s="710"/>
      <c r="C194" s="710"/>
      <c r="D194" s="710"/>
    </row>
    <row r="195" spans="1:4">
      <c r="A195" s="11"/>
      <c r="B195" s="710"/>
      <c r="C195" s="710"/>
      <c r="D195" s="710"/>
    </row>
  </sheetData>
  <mergeCells count="24">
    <mergeCell ref="A186:A192"/>
    <mergeCell ref="B186:D189"/>
    <mergeCell ref="A193:A194"/>
    <mergeCell ref="B193:D195"/>
    <mergeCell ref="A136:B136"/>
    <mergeCell ref="A146:L146"/>
    <mergeCell ref="A174:D174"/>
    <mergeCell ref="A176:A179"/>
    <mergeCell ref="B176:D179"/>
    <mergeCell ref="A180:A185"/>
    <mergeCell ref="B180:D184"/>
    <mergeCell ref="T9:U9"/>
    <mergeCell ref="A49:F49"/>
    <mergeCell ref="H49:L49"/>
    <mergeCell ref="N49:R49"/>
    <mergeCell ref="T49:V49"/>
    <mergeCell ref="V9:W9"/>
    <mergeCell ref="H11:L11"/>
    <mergeCell ref="N11:R11"/>
    <mergeCell ref="A124:B124"/>
    <mergeCell ref="D124:J124"/>
    <mergeCell ref="A114:L114"/>
    <mergeCell ref="A1:R1"/>
    <mergeCell ref="A3:R3"/>
  </mergeCells>
  <conditionalFormatting sqref="B148:L164">
    <cfRule type="cellIs" dxfId="3" priority="1" operator="greaterThan">
      <formula>$B$142</formula>
    </cfRule>
    <cfRule type="cellIs" dxfId="2" priority="2" operator="greaterThan">
      <formula>$B$142</formula>
    </cfRule>
  </conditionalFormatting>
  <hyperlinks>
    <hyperlink ref="E4" r:id="rId1" xr:uid="{70929E65-70CB-46BC-A2B8-F58352AA0D30}"/>
    <hyperlink ref="E6" r:id="rId2" xr:uid="{7FDA09F9-6A48-4593-9CD7-1DA4B17C21C2}"/>
    <hyperlink ref="E5" r:id="rId3" xr:uid="{FDA26C1B-D019-4056-BD92-AB0F39E093FE}"/>
  </hyperlinks>
  <pageMargins left="0.7" right="0.7" top="0.75" bottom="0.75" header="0.3" footer="0.3"/>
  <pageSetup paperSize="9" orientation="portrait" horizontalDpi="0" verticalDpi="0"/>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E9349-CD1F-41B7-8733-EF796C770334}">
  <sheetPr>
    <tabColor rgb="FF7030A0"/>
  </sheetPr>
  <dimension ref="A1:L692"/>
  <sheetViews>
    <sheetView showGridLines="0" showRowColHeaders="0" topLeftCell="E1" workbookViewId="0">
      <selection activeCell="N115" sqref="N115"/>
    </sheetView>
  </sheetViews>
  <sheetFormatPr baseColWidth="10" defaultColWidth="8.83203125" defaultRowHeight="13"/>
  <cols>
    <col min="1" max="1" width="1.83203125" style="453" customWidth="1"/>
    <col min="2" max="2" width="1.6640625" style="453" customWidth="1"/>
    <col min="3" max="3" width="10.83203125" style="453" customWidth="1"/>
    <col min="4" max="4" width="11.1640625" style="453" customWidth="1"/>
    <col min="5" max="5" width="16.5" style="453" customWidth="1"/>
    <col min="6" max="6" width="1.5" style="455" customWidth="1"/>
    <col min="7" max="7" width="4.83203125" style="453" customWidth="1"/>
    <col min="8" max="8" width="14.1640625" style="453" customWidth="1"/>
    <col min="9" max="9" width="10" style="453" customWidth="1"/>
    <col min="10" max="10" width="2.33203125" style="454" customWidth="1"/>
    <col min="11" max="11" width="72.6640625" style="453" customWidth="1"/>
    <col min="12" max="16384" width="8.83203125" style="453"/>
  </cols>
  <sheetData>
    <row r="1" spans="2:6">
      <c r="E1" s="471"/>
      <c r="F1" s="456" t="s">
        <v>1003</v>
      </c>
    </row>
    <row r="2" spans="2:6">
      <c r="F2" s="455" t="s">
        <v>1007</v>
      </c>
    </row>
    <row r="3" spans="2:6">
      <c r="F3" s="455" t="s">
        <v>1006</v>
      </c>
    </row>
    <row r="5" spans="2:6">
      <c r="B5" s="453" t="s">
        <v>1000</v>
      </c>
    </row>
    <row r="6" spans="2:6">
      <c r="C6" s="453" t="s">
        <v>999</v>
      </c>
      <c r="E6" s="467">
        <v>20000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2817.8659557000001</v>
      </c>
    </row>
    <row r="14" spans="2:6">
      <c r="C14" s="453" t="s">
        <v>992</v>
      </c>
      <c r="E14" s="467">
        <v>7.0975696908306984</v>
      </c>
    </row>
    <row r="15" spans="2:6">
      <c r="C15" s="453" t="s">
        <v>991</v>
      </c>
      <c r="E15" s="467">
        <v>425.85418144984192</v>
      </c>
    </row>
    <row r="17" spans="1:10">
      <c r="B17" s="453" t="s">
        <v>990</v>
      </c>
    </row>
    <row r="18" spans="1:10">
      <c r="C18" s="453" t="s">
        <v>787</v>
      </c>
      <c r="E18" s="453">
        <v>60</v>
      </c>
    </row>
    <row r="19" spans="1:10">
      <c r="C19" s="453" t="s">
        <v>989</v>
      </c>
      <c r="E19" s="453">
        <v>0</v>
      </c>
    </row>
    <row r="20" spans="1:10">
      <c r="C20" s="453" t="s">
        <v>988</v>
      </c>
      <c r="E20" s="453">
        <v>0</v>
      </c>
    </row>
    <row r="21" spans="1:10">
      <c r="C21" s="453" t="s">
        <v>987</v>
      </c>
      <c r="E21" s="453">
        <v>0</v>
      </c>
    </row>
    <row r="22" spans="1:10">
      <c r="C22" s="453" t="s">
        <v>986</v>
      </c>
      <c r="E22" s="453">
        <v>1</v>
      </c>
    </row>
    <row r="24" spans="1:10">
      <c r="F24" s="456" t="s">
        <v>986</v>
      </c>
    </row>
    <row r="27" spans="1:10">
      <c r="A27" s="460" t="s">
        <v>952</v>
      </c>
    </row>
    <row r="29" spans="1:10">
      <c r="A29" s="460" t="s">
        <v>985</v>
      </c>
      <c r="B29" s="460"/>
      <c r="C29" s="460"/>
      <c r="D29" s="460"/>
      <c r="E29" s="460"/>
      <c r="F29" s="456"/>
      <c r="G29" s="460"/>
      <c r="H29" s="460"/>
      <c r="I29" s="460"/>
      <c r="J29" s="459" t="s">
        <v>978</v>
      </c>
    </row>
    <row r="31" spans="1:10">
      <c r="B31" s="453" t="s">
        <v>976</v>
      </c>
    </row>
    <row r="32" spans="1:10">
      <c r="C32" s="453" t="s">
        <v>1005</v>
      </c>
    </row>
    <row r="33" spans="3:3">
      <c r="C33" s="453" t="s">
        <v>981</v>
      </c>
    </row>
    <row r="34" spans="3:3">
      <c r="C34" s="453" t="s">
        <v>1004</v>
      </c>
    </row>
    <row r="53" spans="2:5">
      <c r="B53" s="453" t="s">
        <v>968</v>
      </c>
      <c r="E53" s="457" t="s">
        <v>770</v>
      </c>
    </row>
    <row r="54" spans="2:5">
      <c r="C54" s="453" t="s">
        <v>772</v>
      </c>
      <c r="E54" s="467">
        <v>20000</v>
      </c>
    </row>
    <row r="55" spans="2:5">
      <c r="C55" s="453" t="s">
        <v>773</v>
      </c>
      <c r="E55" s="468">
        <v>172.14019781188591</v>
      </c>
    </row>
    <row r="56" spans="2:5">
      <c r="C56" s="453" t="s">
        <v>429</v>
      </c>
      <c r="E56" s="468">
        <v>213.81740132514994</v>
      </c>
    </row>
    <row r="57" spans="2:5">
      <c r="C57" s="453" t="s">
        <v>428</v>
      </c>
      <c r="E57" s="468">
        <v>209.86639767749341</v>
      </c>
    </row>
    <row r="58" spans="2:5">
      <c r="C58" s="453" t="s">
        <v>774</v>
      </c>
      <c r="E58" s="469" t="s">
        <v>967</v>
      </c>
    </row>
    <row r="59" spans="2:5">
      <c r="C59" s="453" t="s">
        <v>776</v>
      </c>
      <c r="E59" s="468">
        <v>124.35252375385247</v>
      </c>
    </row>
    <row r="60" spans="2:5">
      <c r="C60" s="453" t="s">
        <v>777</v>
      </c>
      <c r="E60" s="468">
        <v>15463.550163952441</v>
      </c>
    </row>
    <row r="61" spans="2:5">
      <c r="C61" s="453" t="s">
        <v>778</v>
      </c>
      <c r="E61" s="464">
        <v>0.25795463967158111</v>
      </c>
    </row>
    <row r="62" spans="2:5">
      <c r="C62" s="453" t="s">
        <v>779</v>
      </c>
      <c r="E62" s="465">
        <v>3.5587747897127673</v>
      </c>
    </row>
    <row r="63" spans="2:5">
      <c r="C63" s="453" t="s">
        <v>780</v>
      </c>
      <c r="E63" s="464">
        <v>0.58158280375295957</v>
      </c>
    </row>
    <row r="64" spans="2:5">
      <c r="C64" s="453" t="s">
        <v>781</v>
      </c>
      <c r="E64" s="468">
        <v>-319.72835265997168</v>
      </c>
    </row>
    <row r="65" spans="1:10">
      <c r="C65" s="453" t="s">
        <v>782</v>
      </c>
      <c r="E65" s="468">
        <v>866.85517742879995</v>
      </c>
    </row>
    <row r="66" spans="1:10">
      <c r="C66" s="453" t="s">
        <v>966</v>
      </c>
      <c r="E66" s="468">
        <v>1186.5835300887716</v>
      </c>
    </row>
    <row r="67" spans="1:10">
      <c r="C67" s="453" t="s">
        <v>783</v>
      </c>
      <c r="E67" s="468">
        <v>0.87930512804010308</v>
      </c>
    </row>
    <row r="69" spans="1:10">
      <c r="A69" s="460" t="s">
        <v>979</v>
      </c>
      <c r="B69" s="460"/>
      <c r="C69" s="460"/>
      <c r="D69" s="460"/>
      <c r="E69" s="460"/>
      <c r="F69" s="456"/>
      <c r="G69" s="460"/>
      <c r="H69" s="460"/>
      <c r="I69" s="460"/>
      <c r="J69" s="459" t="s">
        <v>978</v>
      </c>
    </row>
    <row r="71" spans="1:10">
      <c r="B71" s="453" t="s">
        <v>965</v>
      </c>
      <c r="E71" s="457" t="s">
        <v>770</v>
      </c>
    </row>
    <row r="72" spans="1:10">
      <c r="C72" s="453" t="s">
        <v>964</v>
      </c>
      <c r="E72" s="468">
        <v>-319.72835265997168</v>
      </c>
    </row>
    <row r="73" spans="1:10">
      <c r="C73" s="453" t="s">
        <v>963</v>
      </c>
      <c r="E73" s="468">
        <v>58.853231803579483</v>
      </c>
    </row>
    <row r="74" spans="1:10">
      <c r="C74" s="453" t="s">
        <v>962</v>
      </c>
      <c r="E74" s="468">
        <v>112.07125794972048</v>
      </c>
    </row>
    <row r="75" spans="1:10">
      <c r="C75" s="453" t="s">
        <v>961</v>
      </c>
      <c r="E75" s="468">
        <v>149.54980561317089</v>
      </c>
    </row>
    <row r="76" spans="1:10">
      <c r="C76" s="453" t="s">
        <v>960</v>
      </c>
      <c r="E76" s="468">
        <v>181.29817327441552</v>
      </c>
    </row>
    <row r="77" spans="1:10">
      <c r="C77" s="453" t="s">
        <v>959</v>
      </c>
      <c r="E77" s="468">
        <v>209.8619680093249</v>
      </c>
    </row>
    <row r="78" spans="1:10">
      <c r="C78" s="453" t="s">
        <v>958</v>
      </c>
      <c r="E78" s="468">
        <v>239.52432201381501</v>
      </c>
    </row>
    <row r="79" spans="1:10">
      <c r="C79" s="453" t="s">
        <v>957</v>
      </c>
      <c r="E79" s="468">
        <v>273.39931461749541</v>
      </c>
    </row>
    <row r="80" spans="1:10">
      <c r="C80" s="453" t="s">
        <v>956</v>
      </c>
      <c r="E80" s="468">
        <v>312.70858127644732</v>
      </c>
    </row>
    <row r="81" spans="1:10">
      <c r="C81" s="453" t="s">
        <v>955</v>
      </c>
      <c r="E81" s="468">
        <v>369.18717824357822</v>
      </c>
    </row>
    <row r="82" spans="1:10">
      <c r="C82" s="453" t="s">
        <v>954</v>
      </c>
      <c r="E82" s="468">
        <v>866.85517742879995</v>
      </c>
    </row>
    <row r="84" spans="1:10">
      <c r="A84" s="453" t="s">
        <v>953</v>
      </c>
    </row>
    <row r="85" spans="1:10">
      <c r="F85" s="456" t="s">
        <v>787</v>
      </c>
    </row>
    <row r="88" spans="1:10">
      <c r="A88" s="460" t="s">
        <v>952</v>
      </c>
    </row>
    <row r="90" spans="1:10">
      <c r="A90" s="460" t="s">
        <v>951</v>
      </c>
      <c r="B90" s="460"/>
      <c r="C90" s="460"/>
      <c r="D90" s="460"/>
      <c r="E90" s="460"/>
      <c r="F90" s="456"/>
      <c r="G90" s="460"/>
      <c r="H90" s="460"/>
      <c r="I90" s="460"/>
      <c r="J90" s="459" t="s">
        <v>950</v>
      </c>
    </row>
    <row r="92" spans="1:10">
      <c r="B92" s="453" t="s">
        <v>816</v>
      </c>
    </row>
    <row r="93" spans="1:10">
      <c r="C93" s="453" t="s">
        <v>429</v>
      </c>
      <c r="E93" s="462">
        <v>-0.1585730392347055</v>
      </c>
    </row>
    <row r="94" spans="1:10">
      <c r="C94" s="453" t="s">
        <v>815</v>
      </c>
      <c r="E94" s="462">
        <v>1.585730392347055E-2</v>
      </c>
    </row>
    <row r="95" spans="1:10">
      <c r="E95" s="457"/>
    </row>
    <row r="96" spans="1:10">
      <c r="E96" s="457"/>
    </row>
    <row r="100" spans="1:10">
      <c r="A100" s="460" t="s">
        <v>949</v>
      </c>
      <c r="B100" s="460"/>
      <c r="C100" s="460"/>
      <c r="D100" s="460"/>
      <c r="E100" s="460"/>
      <c r="F100" s="456"/>
      <c r="G100" s="460"/>
      <c r="H100" s="460"/>
      <c r="I100" s="460"/>
      <c r="J100" s="459" t="s">
        <v>948</v>
      </c>
    </row>
    <row r="102" spans="1:10">
      <c r="B102" s="453" t="s">
        <v>816</v>
      </c>
    </row>
    <row r="103" spans="1:10">
      <c r="C103" s="453" t="s">
        <v>429</v>
      </c>
      <c r="E103" s="462">
        <v>-0.36070986380520015</v>
      </c>
    </row>
    <row r="104" spans="1:10">
      <c r="C104" s="453" t="s">
        <v>815</v>
      </c>
      <c r="E104" s="462">
        <v>3.6070986380520018E-2</v>
      </c>
    </row>
    <row r="105" spans="1:10">
      <c r="E105" s="457"/>
    </row>
    <row r="106" spans="1:10">
      <c r="E106" s="457"/>
    </row>
    <row r="110" spans="1:10">
      <c r="A110" s="460" t="s">
        <v>947</v>
      </c>
      <c r="B110" s="460"/>
      <c r="C110" s="460"/>
      <c r="D110" s="460"/>
      <c r="E110" s="460"/>
      <c r="F110" s="456"/>
      <c r="G110" s="460"/>
      <c r="H110" s="460"/>
      <c r="I110" s="460"/>
      <c r="J110" s="459" t="s">
        <v>946</v>
      </c>
    </row>
    <row r="112" spans="1:10">
      <c r="B112" s="453" t="s">
        <v>843</v>
      </c>
    </row>
    <row r="113" spans="1:10">
      <c r="C113" s="453" t="s">
        <v>781</v>
      </c>
      <c r="E113" s="462">
        <v>5.2417649941293276E-2</v>
      </c>
    </row>
    <row r="114" spans="1:10">
      <c r="C114" s="453" t="s">
        <v>782</v>
      </c>
      <c r="E114" s="462">
        <v>0.14000000000000001</v>
      </c>
    </row>
    <row r="115" spans="1:10">
      <c r="E115" s="457"/>
    </row>
    <row r="116" spans="1:10">
      <c r="E116" s="457"/>
    </row>
    <row r="120" spans="1:10">
      <c r="A120" s="460" t="s">
        <v>945</v>
      </c>
      <c r="B120" s="460"/>
      <c r="C120" s="460"/>
      <c r="D120" s="460"/>
      <c r="E120" s="460"/>
      <c r="F120" s="456"/>
      <c r="G120" s="460"/>
      <c r="H120" s="460"/>
      <c r="I120" s="460"/>
      <c r="J120" s="459" t="s">
        <v>944</v>
      </c>
    </row>
    <row r="122" spans="1:10">
      <c r="B122" s="453" t="s">
        <v>816</v>
      </c>
    </row>
    <row r="123" spans="1:10">
      <c r="C123" s="453" t="s">
        <v>429</v>
      </c>
      <c r="E123" s="462">
        <v>0</v>
      </c>
    </row>
    <row r="124" spans="1:10">
      <c r="C124" s="453" t="s">
        <v>815</v>
      </c>
      <c r="E124" s="462">
        <v>0.01</v>
      </c>
    </row>
    <row r="125" spans="1:10">
      <c r="E125" s="457"/>
    </row>
    <row r="126" spans="1:10">
      <c r="E126" s="457"/>
    </row>
    <row r="130" spans="1:10">
      <c r="A130" s="460" t="s">
        <v>943</v>
      </c>
      <c r="B130" s="460"/>
      <c r="C130" s="460"/>
      <c r="D130" s="460"/>
      <c r="E130" s="460"/>
      <c r="F130" s="456"/>
      <c r="G130" s="460"/>
      <c r="H130" s="460"/>
      <c r="I130" s="460"/>
      <c r="J130" s="459" t="s">
        <v>942</v>
      </c>
    </row>
    <row r="132" spans="1:10">
      <c r="B132" s="453" t="s">
        <v>816</v>
      </c>
    </row>
    <row r="133" spans="1:10">
      <c r="C133" s="453" t="s">
        <v>429</v>
      </c>
      <c r="E133" s="462">
        <v>4.1887753137519371E-2</v>
      </c>
    </row>
    <row r="134" spans="1:10">
      <c r="C134" s="453" t="s">
        <v>815</v>
      </c>
      <c r="E134" s="462">
        <v>4.1887753137519372E-3</v>
      </c>
    </row>
    <row r="135" spans="1:10">
      <c r="E135" s="457"/>
    </row>
    <row r="136" spans="1:10">
      <c r="E136" s="457"/>
    </row>
    <row r="140" spans="1:10">
      <c r="A140" s="460" t="s">
        <v>941</v>
      </c>
      <c r="B140" s="460"/>
      <c r="C140" s="460"/>
      <c r="D140" s="460"/>
      <c r="E140" s="460"/>
      <c r="F140" s="456"/>
      <c r="G140" s="460"/>
      <c r="H140" s="460"/>
      <c r="I140" s="460"/>
      <c r="J140" s="459" t="s">
        <v>940</v>
      </c>
    </row>
    <row r="142" spans="1:10">
      <c r="B142" s="453" t="s">
        <v>816</v>
      </c>
    </row>
    <row r="143" spans="1:10">
      <c r="C143" s="453" t="s">
        <v>429</v>
      </c>
      <c r="E143" s="462">
        <v>6.3724808720432194E-2</v>
      </c>
    </row>
    <row r="144" spans="1:10">
      <c r="C144" s="453" t="s">
        <v>815</v>
      </c>
      <c r="E144" s="462">
        <v>6.3724808720432196E-3</v>
      </c>
    </row>
    <row r="145" spans="1:10">
      <c r="E145" s="457"/>
    </row>
    <row r="146" spans="1:10">
      <c r="E146" s="457"/>
    </row>
    <row r="150" spans="1:10">
      <c r="A150" s="460" t="s">
        <v>939</v>
      </c>
      <c r="B150" s="460"/>
      <c r="C150" s="460"/>
      <c r="D150" s="460"/>
      <c r="E150" s="460"/>
      <c r="F150" s="456"/>
      <c r="G150" s="460"/>
      <c r="H150" s="460"/>
      <c r="I150" s="460"/>
      <c r="J150" s="459" t="s">
        <v>938</v>
      </c>
    </row>
    <row r="152" spans="1:10">
      <c r="B152" s="453" t="s">
        <v>816</v>
      </c>
    </row>
    <row r="153" spans="1:10">
      <c r="C153" s="453" t="s">
        <v>429</v>
      </c>
      <c r="E153" s="462">
        <v>0.11357395908527125</v>
      </c>
    </row>
    <row r="154" spans="1:10">
      <c r="C154" s="453" t="s">
        <v>815</v>
      </c>
      <c r="E154" s="462">
        <v>1.1357395908527124E-2</v>
      </c>
    </row>
    <row r="155" spans="1:10">
      <c r="E155" s="457"/>
    </row>
    <row r="156" spans="1:10">
      <c r="E156" s="457"/>
    </row>
    <row r="160" spans="1:10">
      <c r="A160" s="460" t="s">
        <v>937</v>
      </c>
      <c r="B160" s="460"/>
      <c r="C160" s="460"/>
      <c r="D160" s="460"/>
      <c r="E160" s="460"/>
      <c r="F160" s="456"/>
      <c r="G160" s="460"/>
      <c r="H160" s="460"/>
      <c r="I160" s="460"/>
      <c r="J160" s="459" t="s">
        <v>936</v>
      </c>
    </row>
    <row r="162" spans="1:12">
      <c r="B162" s="453" t="s">
        <v>816</v>
      </c>
    </row>
    <row r="163" spans="1:12">
      <c r="C163" s="453" t="s">
        <v>429</v>
      </c>
      <c r="E163" s="462">
        <v>0</v>
      </c>
    </row>
    <row r="164" spans="1:12">
      <c r="C164" s="453" t="s">
        <v>815</v>
      </c>
      <c r="E164" s="462">
        <v>0.01</v>
      </c>
    </row>
    <row r="165" spans="1:12">
      <c r="E165" s="457"/>
    </row>
    <row r="166" spans="1:12">
      <c r="E166" s="457"/>
    </row>
    <row r="170" spans="1:12">
      <c r="A170" s="460" t="s">
        <v>935</v>
      </c>
      <c r="B170" s="460"/>
      <c r="C170" s="460"/>
      <c r="D170" s="460"/>
      <c r="E170" s="460"/>
      <c r="F170" s="456"/>
      <c r="G170" s="460"/>
      <c r="H170" s="460"/>
      <c r="I170" s="460"/>
      <c r="J170" s="459" t="s">
        <v>934</v>
      </c>
    </row>
    <row r="172" spans="1:12">
      <c r="B172" s="453" t="s">
        <v>816</v>
      </c>
    </row>
    <row r="173" spans="1:12">
      <c r="C173" s="453" t="s">
        <v>429</v>
      </c>
      <c r="E173" s="462">
        <v>1.659758263966713</v>
      </c>
    </row>
    <row r="174" spans="1:12">
      <c r="C174" s="453" t="s">
        <v>815</v>
      </c>
      <c r="E174" s="462">
        <v>0.1659758263966713</v>
      </c>
    </row>
    <row r="175" spans="1:12">
      <c r="E175" s="457"/>
    </row>
    <row r="176" spans="1:12" ht="16">
      <c r="E176" s="457"/>
      <c r="K176" t="s">
        <v>768</v>
      </c>
      <c r="L176"/>
    </row>
    <row r="177" spans="1:12" ht="16">
      <c r="K177" t="s">
        <v>769</v>
      </c>
      <c r="L177" t="s">
        <v>770</v>
      </c>
    </row>
    <row r="178" spans="1:12" ht="16">
      <c r="K178" s="230">
        <v>0</v>
      </c>
      <c r="L178">
        <v>-319.73</v>
      </c>
    </row>
    <row r="179" spans="1:12" ht="16">
      <c r="K179" s="230">
        <v>0.1</v>
      </c>
      <c r="L179">
        <v>58.85</v>
      </c>
    </row>
    <row r="180" spans="1:12" ht="16">
      <c r="A180" s="460" t="s">
        <v>933</v>
      </c>
      <c r="B180" s="460"/>
      <c r="C180" s="460"/>
      <c r="D180" s="460"/>
      <c r="E180" s="460"/>
      <c r="F180" s="456"/>
      <c r="G180" s="460"/>
      <c r="H180" s="460"/>
      <c r="I180" s="460"/>
      <c r="J180" s="459" t="s">
        <v>932</v>
      </c>
      <c r="K180" s="230">
        <v>0.2</v>
      </c>
      <c r="L180">
        <v>112.07</v>
      </c>
    </row>
    <row r="181" spans="1:12" ht="16">
      <c r="K181" s="230">
        <v>0.3</v>
      </c>
      <c r="L181">
        <v>149.55000000000001</v>
      </c>
    </row>
    <row r="182" spans="1:12" ht="16">
      <c r="B182" s="453" t="s">
        <v>816</v>
      </c>
      <c r="K182" s="230">
        <v>0.4</v>
      </c>
      <c r="L182">
        <v>181.3</v>
      </c>
    </row>
    <row r="183" spans="1:12" ht="16">
      <c r="C183" s="453" t="s">
        <v>429</v>
      </c>
      <c r="E183" s="462">
        <v>9.8055503852247483E-2</v>
      </c>
      <c r="K183" s="230">
        <v>0.5</v>
      </c>
      <c r="L183">
        <v>209.86</v>
      </c>
    </row>
    <row r="184" spans="1:12" ht="16">
      <c r="C184" s="453" t="s">
        <v>815</v>
      </c>
      <c r="E184" s="462">
        <v>9.8055503852247476E-3</v>
      </c>
      <c r="K184" s="230">
        <v>0.6</v>
      </c>
      <c r="L184">
        <v>239.52</v>
      </c>
    </row>
    <row r="185" spans="1:12" ht="16">
      <c r="E185" s="457"/>
      <c r="K185" s="230">
        <v>0.7</v>
      </c>
      <c r="L185">
        <v>273.39999999999998</v>
      </c>
    </row>
    <row r="186" spans="1:12" ht="16">
      <c r="E186" s="457"/>
      <c r="K186" s="230">
        <v>0.8</v>
      </c>
      <c r="L186">
        <v>312.70999999999998</v>
      </c>
    </row>
    <row r="187" spans="1:12" ht="16">
      <c r="K187" s="230">
        <v>0.9</v>
      </c>
      <c r="L187">
        <v>369.19</v>
      </c>
    </row>
    <row r="188" spans="1:12" ht="16">
      <c r="K188" s="230">
        <v>1</v>
      </c>
      <c r="L188">
        <v>866.86</v>
      </c>
    </row>
    <row r="189" spans="1:12" ht="16">
      <c r="K189"/>
      <c r="L189"/>
    </row>
    <row r="190" spans="1:12" ht="16">
      <c r="A190" s="460" t="s">
        <v>931</v>
      </c>
      <c r="B190" s="460"/>
      <c r="C190" s="460"/>
      <c r="D190" s="460"/>
      <c r="E190" s="460"/>
      <c r="F190" s="456"/>
      <c r="G190" s="460"/>
      <c r="H190" s="460"/>
      <c r="I190" s="460"/>
      <c r="J190" s="459" t="s">
        <v>930</v>
      </c>
      <c r="K190"/>
      <c r="L190"/>
    </row>
    <row r="191" spans="1:12" ht="16">
      <c r="K191"/>
      <c r="L191"/>
    </row>
    <row r="192" spans="1:12" ht="16">
      <c r="B192" s="453" t="s">
        <v>816</v>
      </c>
      <c r="K192"/>
      <c r="L192"/>
    </row>
    <row r="193" spans="1:12" ht="16">
      <c r="C193" s="453" t="s">
        <v>429</v>
      </c>
      <c r="E193" s="462">
        <v>1.6786106262748464E-2</v>
      </c>
      <c r="K193" t="s">
        <v>768</v>
      </c>
      <c r="L193"/>
    </row>
    <row r="194" spans="1:12" ht="16">
      <c r="C194" s="453" t="s">
        <v>815</v>
      </c>
      <c r="E194" s="462">
        <v>1.6786106262748463E-3</v>
      </c>
      <c r="K194" t="s">
        <v>771</v>
      </c>
      <c r="L194" t="s">
        <v>770</v>
      </c>
    </row>
    <row r="195" spans="1:12" ht="16">
      <c r="E195" s="457"/>
      <c r="K195" t="s">
        <v>772</v>
      </c>
      <c r="L195" s="451">
        <v>20000</v>
      </c>
    </row>
    <row r="196" spans="1:12" ht="16">
      <c r="E196" s="457"/>
      <c r="K196" t="s">
        <v>773</v>
      </c>
      <c r="L196">
        <v>172.14</v>
      </c>
    </row>
    <row r="197" spans="1:12" ht="16">
      <c r="K197" t="s">
        <v>429</v>
      </c>
      <c r="L197">
        <v>213.82</v>
      </c>
    </row>
    <row r="198" spans="1:12" ht="16">
      <c r="K198" t="s">
        <v>428</v>
      </c>
      <c r="L198">
        <v>209.87</v>
      </c>
    </row>
    <row r="199" spans="1:12" ht="16">
      <c r="K199" t="s">
        <v>774</v>
      </c>
      <c r="L199" t="s">
        <v>775</v>
      </c>
    </row>
    <row r="200" spans="1:12" ht="16">
      <c r="A200" s="460" t="s">
        <v>929</v>
      </c>
      <c r="B200" s="460"/>
      <c r="C200" s="460"/>
      <c r="D200" s="460"/>
      <c r="E200" s="460"/>
      <c r="F200" s="456"/>
      <c r="G200" s="460"/>
      <c r="H200" s="460"/>
      <c r="I200" s="460"/>
      <c r="J200" s="459" t="s">
        <v>928</v>
      </c>
      <c r="K200" t="s">
        <v>776</v>
      </c>
      <c r="L200">
        <v>124.35</v>
      </c>
    </row>
    <row r="201" spans="1:12" ht="16">
      <c r="K201" t="s">
        <v>777</v>
      </c>
      <c r="L201" s="452">
        <v>15463.55</v>
      </c>
    </row>
    <row r="202" spans="1:12" ht="16">
      <c r="B202" s="453" t="s">
        <v>816</v>
      </c>
      <c r="K202" t="s">
        <v>778</v>
      </c>
      <c r="L202">
        <v>0.25800000000000001</v>
      </c>
    </row>
    <row r="203" spans="1:12" ht="16">
      <c r="C203" s="453" t="s">
        <v>429</v>
      </c>
      <c r="E203" s="462">
        <v>1.733018822509989E-3</v>
      </c>
      <c r="K203" t="s">
        <v>779</v>
      </c>
      <c r="L203">
        <v>3.56</v>
      </c>
    </row>
    <row r="204" spans="1:12" ht="16">
      <c r="C204" s="453" t="s">
        <v>815</v>
      </c>
      <c r="E204" s="462">
        <v>1.733018822509989E-4</v>
      </c>
      <c r="K204" t="s">
        <v>780</v>
      </c>
      <c r="L204">
        <v>0.58160000000000001</v>
      </c>
    </row>
    <row r="205" spans="1:12" ht="16">
      <c r="E205" s="457"/>
      <c r="K205" t="s">
        <v>781</v>
      </c>
      <c r="L205">
        <v>-319.73</v>
      </c>
    </row>
    <row r="206" spans="1:12" ht="16">
      <c r="E206" s="457"/>
      <c r="K206" t="s">
        <v>782</v>
      </c>
      <c r="L206">
        <v>866.86</v>
      </c>
    </row>
    <row r="207" spans="1:12" ht="16">
      <c r="K207" t="s">
        <v>783</v>
      </c>
      <c r="L207">
        <v>0.88</v>
      </c>
    </row>
    <row r="210" spans="1:10">
      <c r="A210" s="460" t="s">
        <v>927</v>
      </c>
      <c r="B210" s="460"/>
      <c r="C210" s="460"/>
      <c r="D210" s="460"/>
      <c r="E210" s="460"/>
      <c r="F210" s="456"/>
      <c r="G210" s="460"/>
      <c r="H210" s="460"/>
      <c r="I210" s="460"/>
      <c r="J210" s="459" t="s">
        <v>926</v>
      </c>
    </row>
    <row r="212" spans="1:10">
      <c r="B212" s="453" t="s">
        <v>816</v>
      </c>
    </row>
    <row r="213" spans="1:10">
      <c r="C213" s="453" t="s">
        <v>429</v>
      </c>
      <c r="E213" s="462">
        <v>7.8882926204694337E-2</v>
      </c>
    </row>
    <row r="214" spans="1:10">
      <c r="C214" s="453" t="s">
        <v>815</v>
      </c>
      <c r="E214" s="462">
        <v>7.8882926204694344E-3</v>
      </c>
    </row>
    <row r="215" spans="1:10">
      <c r="E215" s="457"/>
    </row>
    <row r="216" spans="1:10">
      <c r="E216" s="457"/>
    </row>
    <row r="220" spans="1:10">
      <c r="A220" s="460" t="s">
        <v>925</v>
      </c>
      <c r="B220" s="460"/>
      <c r="C220" s="460"/>
      <c r="D220" s="460"/>
      <c r="E220" s="460"/>
      <c r="F220" s="456"/>
      <c r="G220" s="460"/>
      <c r="H220" s="460"/>
      <c r="I220" s="460"/>
      <c r="J220" s="459" t="s">
        <v>924</v>
      </c>
    </row>
    <row r="222" spans="1:10">
      <c r="B222" s="453" t="s">
        <v>816</v>
      </c>
    </row>
    <row r="223" spans="1:10">
      <c r="C223" s="453" t="s">
        <v>429</v>
      </c>
      <c r="E223" s="462">
        <v>9.6506862561638262E-2</v>
      </c>
    </row>
    <row r="224" spans="1:10">
      <c r="C224" s="453" t="s">
        <v>815</v>
      </c>
      <c r="E224" s="462">
        <v>9.6506862561638266E-3</v>
      </c>
    </row>
    <row r="225" spans="1:10">
      <c r="E225" s="457"/>
    </row>
    <row r="226" spans="1:10">
      <c r="E226" s="457"/>
    </row>
    <row r="230" spans="1:10">
      <c r="A230" s="460" t="s">
        <v>923</v>
      </c>
      <c r="B230" s="460"/>
      <c r="C230" s="460"/>
      <c r="D230" s="460"/>
      <c r="E230" s="460"/>
      <c r="F230" s="456"/>
      <c r="G230" s="460"/>
      <c r="H230" s="460"/>
      <c r="I230" s="460"/>
      <c r="J230" s="459" t="s">
        <v>922</v>
      </c>
    </row>
    <row r="232" spans="1:10">
      <c r="B232" s="453" t="s">
        <v>843</v>
      </c>
    </row>
    <row r="233" spans="1:10">
      <c r="C233" s="453" t="s">
        <v>781</v>
      </c>
      <c r="E233" s="462">
        <v>-0.48</v>
      </c>
    </row>
    <row r="234" spans="1:10">
      <c r="C234" s="453" t="s">
        <v>782</v>
      </c>
      <c r="E234" s="462">
        <v>-0.14000000000000001</v>
      </c>
    </row>
    <row r="235" spans="1:10">
      <c r="E235" s="457"/>
    </row>
    <row r="236" spans="1:10">
      <c r="E236" s="457"/>
    </row>
    <row r="240" spans="1:10">
      <c r="A240" s="460" t="s">
        <v>921</v>
      </c>
      <c r="B240" s="460"/>
      <c r="C240" s="460"/>
      <c r="D240" s="460"/>
      <c r="E240" s="460"/>
      <c r="F240" s="456"/>
      <c r="G240" s="460"/>
      <c r="H240" s="460"/>
      <c r="I240" s="460"/>
      <c r="J240" s="459" t="s">
        <v>920</v>
      </c>
    </row>
    <row r="242" spans="1:10">
      <c r="B242" s="453" t="s">
        <v>816</v>
      </c>
    </row>
    <row r="243" spans="1:10">
      <c r="C243" s="453" t="s">
        <v>429</v>
      </c>
      <c r="E243" s="462">
        <v>-0.12</v>
      </c>
    </row>
    <row r="244" spans="1:10">
      <c r="C244" s="453" t="s">
        <v>815</v>
      </c>
      <c r="E244" s="462">
        <v>1.2E-2</v>
      </c>
    </row>
    <row r="245" spans="1:10">
      <c r="E245" s="457"/>
    </row>
    <row r="246" spans="1:10">
      <c r="E246" s="457"/>
    </row>
    <row r="250" spans="1:10">
      <c r="A250" s="460" t="s">
        <v>919</v>
      </c>
      <c r="B250" s="460"/>
      <c r="C250" s="460"/>
      <c r="D250" s="460"/>
      <c r="E250" s="460"/>
      <c r="F250" s="456"/>
      <c r="G250" s="460"/>
      <c r="H250" s="460"/>
      <c r="I250" s="460"/>
      <c r="J250" s="459" t="s">
        <v>918</v>
      </c>
    </row>
    <row r="252" spans="1:10">
      <c r="B252" s="453" t="s">
        <v>816</v>
      </c>
    </row>
    <row r="253" spans="1:10">
      <c r="C253" s="453" t="s">
        <v>429</v>
      </c>
      <c r="E253" s="462">
        <v>-0.12</v>
      </c>
    </row>
    <row r="254" spans="1:10">
      <c r="C254" s="453" t="s">
        <v>815</v>
      </c>
      <c r="E254" s="462">
        <v>1.2E-2</v>
      </c>
    </row>
    <row r="255" spans="1:10">
      <c r="E255" s="457"/>
    </row>
    <row r="256" spans="1:10">
      <c r="E256" s="457"/>
    </row>
    <row r="260" spans="1:10">
      <c r="A260" s="460" t="s">
        <v>917</v>
      </c>
      <c r="B260" s="460"/>
      <c r="C260" s="460"/>
      <c r="D260" s="460"/>
      <c r="E260" s="460"/>
      <c r="F260" s="456"/>
      <c r="G260" s="460"/>
      <c r="H260" s="460"/>
      <c r="I260" s="460"/>
      <c r="J260" s="459" t="s">
        <v>916</v>
      </c>
    </row>
    <row r="262" spans="1:10">
      <c r="B262" s="453" t="s">
        <v>816</v>
      </c>
    </row>
    <row r="263" spans="1:10">
      <c r="C263" s="453" t="s">
        <v>429</v>
      </c>
      <c r="E263" s="462">
        <v>4.2082793410944196E-2</v>
      </c>
    </row>
    <row r="264" spans="1:10">
      <c r="C264" s="453" t="s">
        <v>815</v>
      </c>
      <c r="E264" s="462">
        <v>4.2082793410944197E-3</v>
      </c>
    </row>
    <row r="265" spans="1:10">
      <c r="E265" s="457"/>
    </row>
    <row r="266" spans="1:10">
      <c r="E266" s="457"/>
    </row>
    <row r="270" spans="1:10">
      <c r="A270" s="460" t="s">
        <v>915</v>
      </c>
      <c r="B270" s="460"/>
      <c r="C270" s="460"/>
      <c r="D270" s="460"/>
      <c r="E270" s="460"/>
      <c r="F270" s="456"/>
      <c r="G270" s="460"/>
      <c r="H270" s="460"/>
      <c r="I270" s="460"/>
      <c r="J270" s="459" t="s">
        <v>914</v>
      </c>
    </row>
    <row r="272" spans="1:10">
      <c r="B272" s="453" t="s">
        <v>816</v>
      </c>
    </row>
    <row r="273" spans="1:10">
      <c r="C273" s="453" t="s">
        <v>429</v>
      </c>
      <c r="E273" s="462">
        <v>9.0447902743732607E-3</v>
      </c>
    </row>
    <row r="274" spans="1:10">
      <c r="C274" s="453" t="s">
        <v>815</v>
      </c>
      <c r="E274" s="462">
        <v>9.0447902743732609E-4</v>
      </c>
    </row>
    <row r="275" spans="1:10">
      <c r="E275" s="457"/>
    </row>
    <row r="276" spans="1:10">
      <c r="E276" s="457"/>
    </row>
    <row r="280" spans="1:10">
      <c r="A280" s="460" t="s">
        <v>913</v>
      </c>
      <c r="B280" s="460"/>
      <c r="C280" s="460"/>
      <c r="D280" s="460"/>
      <c r="E280" s="460"/>
      <c r="F280" s="456"/>
      <c r="G280" s="460"/>
      <c r="H280" s="460"/>
      <c r="I280" s="460"/>
      <c r="J280" s="459" t="s">
        <v>912</v>
      </c>
    </row>
    <row r="282" spans="1:10">
      <c r="B282" s="453" t="s">
        <v>843</v>
      </c>
    </row>
    <row r="283" spans="1:10">
      <c r="C283" s="453" t="s">
        <v>781</v>
      </c>
      <c r="E283" s="462">
        <v>-2.09</v>
      </c>
    </row>
    <row r="284" spans="1:10">
      <c r="C284" s="453" t="s">
        <v>782</v>
      </c>
      <c r="E284" s="462">
        <v>0.42</v>
      </c>
    </row>
    <row r="285" spans="1:10">
      <c r="E285" s="457"/>
    </row>
    <row r="286" spans="1:10">
      <c r="E286" s="457"/>
    </row>
    <row r="290" spans="1:10">
      <c r="A290" s="460" t="s">
        <v>911</v>
      </c>
      <c r="B290" s="460"/>
      <c r="C290" s="460"/>
      <c r="D290" s="460"/>
      <c r="E290" s="460"/>
      <c r="F290" s="456"/>
      <c r="G290" s="460"/>
      <c r="H290" s="460"/>
      <c r="I290" s="460"/>
      <c r="J290" s="459" t="s">
        <v>910</v>
      </c>
    </row>
    <row r="292" spans="1:10">
      <c r="B292" s="453" t="s">
        <v>843</v>
      </c>
    </row>
    <row r="293" spans="1:10">
      <c r="C293" s="453" t="s">
        <v>781</v>
      </c>
      <c r="E293" s="462">
        <v>-0.06</v>
      </c>
    </row>
    <row r="294" spans="1:10">
      <c r="C294" s="453" t="s">
        <v>782</v>
      </c>
      <c r="E294" s="462">
        <v>0.14000000000000001</v>
      </c>
    </row>
    <row r="295" spans="1:10">
      <c r="E295" s="457"/>
    </row>
    <row r="296" spans="1:10">
      <c r="E296" s="457"/>
    </row>
    <row r="300" spans="1:10">
      <c r="A300" s="460" t="s">
        <v>909</v>
      </c>
      <c r="B300" s="460"/>
      <c r="C300" s="460"/>
      <c r="D300" s="460"/>
      <c r="E300" s="460"/>
      <c r="F300" s="456"/>
      <c r="G300" s="460"/>
      <c r="H300" s="460"/>
      <c r="I300" s="460"/>
      <c r="J300" s="459" t="s">
        <v>908</v>
      </c>
    </row>
    <row r="302" spans="1:10">
      <c r="B302" s="453" t="s">
        <v>843</v>
      </c>
    </row>
    <row r="303" spans="1:10">
      <c r="C303" s="453" t="s">
        <v>781</v>
      </c>
      <c r="E303" s="462">
        <v>-0.06</v>
      </c>
    </row>
    <row r="304" spans="1:10">
      <c r="C304" s="453" t="s">
        <v>782</v>
      </c>
      <c r="E304" s="462">
        <v>0.14000000000000001</v>
      </c>
    </row>
    <row r="305" spans="1:10">
      <c r="E305" s="457"/>
    </row>
    <row r="306" spans="1:10">
      <c r="E306" s="457"/>
    </row>
    <row r="310" spans="1:10">
      <c r="A310" s="460" t="s">
        <v>907</v>
      </c>
      <c r="B310" s="460"/>
      <c r="C310" s="460"/>
      <c r="D310" s="460"/>
      <c r="E310" s="460"/>
      <c r="F310" s="456"/>
      <c r="G310" s="460"/>
      <c r="H310" s="460"/>
      <c r="I310" s="460"/>
      <c r="J310" s="459" t="s">
        <v>906</v>
      </c>
    </row>
    <row r="312" spans="1:10">
      <c r="B312" s="453" t="s">
        <v>816</v>
      </c>
    </row>
    <row r="313" spans="1:10">
      <c r="C313" s="453" t="s">
        <v>429</v>
      </c>
      <c r="E313" s="462">
        <v>2.6301030034267651E-2</v>
      </c>
    </row>
    <row r="314" spans="1:10">
      <c r="C314" s="453" t="s">
        <v>815</v>
      </c>
      <c r="E314" s="462">
        <v>2.6301030034267649E-3</v>
      </c>
    </row>
    <row r="315" spans="1:10">
      <c r="E315" s="457"/>
    </row>
    <row r="316" spans="1:10">
      <c r="E316" s="457"/>
    </row>
    <row r="320" spans="1:10">
      <c r="A320" s="460" t="s">
        <v>905</v>
      </c>
      <c r="B320" s="460"/>
      <c r="C320" s="460"/>
      <c r="D320" s="460"/>
      <c r="E320" s="460"/>
      <c r="F320" s="456"/>
      <c r="G320" s="460"/>
      <c r="H320" s="460"/>
      <c r="I320" s="460"/>
      <c r="J320" s="459" t="s">
        <v>904</v>
      </c>
    </row>
    <row r="322" spans="1:10">
      <c r="B322" s="453" t="s">
        <v>816</v>
      </c>
    </row>
    <row r="323" spans="1:10">
      <c r="C323" s="453" t="s">
        <v>429</v>
      </c>
      <c r="E323" s="462">
        <v>1.1211319073083779</v>
      </c>
    </row>
    <row r="324" spans="1:10">
      <c r="C324" s="453" t="s">
        <v>815</v>
      </c>
      <c r="E324" s="462">
        <v>0.11211319073083778</v>
      </c>
    </row>
    <row r="325" spans="1:10">
      <c r="E325" s="457"/>
    </row>
    <row r="326" spans="1:10">
      <c r="E326" s="457"/>
    </row>
    <row r="330" spans="1:10">
      <c r="A330" s="460" t="s">
        <v>903</v>
      </c>
      <c r="B330" s="460"/>
      <c r="C330" s="460"/>
      <c r="D330" s="460"/>
      <c r="E330" s="460"/>
      <c r="F330" s="456"/>
      <c r="G330" s="460"/>
      <c r="H330" s="460"/>
      <c r="I330" s="460"/>
      <c r="J330" s="459" t="s">
        <v>902</v>
      </c>
    </row>
    <row r="332" spans="1:10">
      <c r="B332" s="453" t="s">
        <v>816</v>
      </c>
    </row>
    <row r="333" spans="1:10">
      <c r="C333" s="453" t="s">
        <v>429</v>
      </c>
      <c r="E333" s="462">
        <v>-5.2750473464197603E-2</v>
      </c>
    </row>
    <row r="334" spans="1:10">
      <c r="C334" s="453" t="s">
        <v>815</v>
      </c>
      <c r="E334" s="462">
        <v>5.2750473464197607E-3</v>
      </c>
    </row>
    <row r="335" spans="1:10">
      <c r="E335" s="457"/>
    </row>
    <row r="336" spans="1:10">
      <c r="E336" s="457"/>
    </row>
    <row r="340" spans="1:10">
      <c r="A340" s="460" t="s">
        <v>901</v>
      </c>
      <c r="B340" s="460"/>
      <c r="C340" s="460"/>
      <c r="D340" s="460"/>
      <c r="E340" s="460"/>
      <c r="F340" s="456"/>
      <c r="G340" s="460"/>
      <c r="H340" s="460"/>
      <c r="I340" s="460"/>
      <c r="J340" s="459" t="s">
        <v>900</v>
      </c>
    </row>
    <row r="342" spans="1:10">
      <c r="B342" s="453" t="s">
        <v>816</v>
      </c>
    </row>
    <row r="343" spans="1:10">
      <c r="C343" s="453" t="s">
        <v>429</v>
      </c>
      <c r="E343" s="462">
        <v>-5.2750473464197589E-2</v>
      </c>
    </row>
    <row r="344" spans="1:10">
      <c r="C344" s="453" t="s">
        <v>815</v>
      </c>
      <c r="E344" s="462">
        <v>5.2750473464197589E-3</v>
      </c>
    </row>
    <row r="345" spans="1:10">
      <c r="E345" s="457"/>
    </row>
    <row r="346" spans="1:10">
      <c r="E346" s="457"/>
    </row>
    <row r="350" spans="1:10">
      <c r="A350" s="460" t="s">
        <v>899</v>
      </c>
      <c r="B350" s="460"/>
      <c r="C350" s="460"/>
      <c r="D350" s="460"/>
      <c r="E350" s="460"/>
      <c r="F350" s="456"/>
      <c r="G350" s="460"/>
      <c r="H350" s="460"/>
      <c r="I350" s="460"/>
      <c r="J350" s="459" t="s">
        <v>898</v>
      </c>
    </row>
    <row r="352" spans="1:10">
      <c r="B352" s="453" t="s">
        <v>816</v>
      </c>
    </row>
    <row r="353" spans="1:10">
      <c r="C353" s="453" t="s">
        <v>429</v>
      </c>
      <c r="E353" s="462">
        <v>3.7582989756941008E-3</v>
      </c>
    </row>
    <row r="354" spans="1:10">
      <c r="C354" s="453" t="s">
        <v>815</v>
      </c>
      <c r="E354" s="462">
        <v>1E-3</v>
      </c>
    </row>
    <row r="355" spans="1:10">
      <c r="E355" s="457"/>
    </row>
    <row r="356" spans="1:10">
      <c r="E356" s="457"/>
    </row>
    <row r="360" spans="1:10">
      <c r="A360" s="460" t="s">
        <v>897</v>
      </c>
      <c r="B360" s="460"/>
      <c r="C360" s="460"/>
      <c r="D360" s="460"/>
      <c r="E360" s="460"/>
      <c r="F360" s="456"/>
      <c r="G360" s="460"/>
      <c r="H360" s="460"/>
      <c r="I360" s="460"/>
      <c r="J360" s="459" t="s">
        <v>896</v>
      </c>
    </row>
    <row r="362" spans="1:10">
      <c r="B362" s="453" t="s">
        <v>816</v>
      </c>
    </row>
    <row r="363" spans="1:10">
      <c r="C363" s="453" t="s">
        <v>429</v>
      </c>
      <c r="E363" s="462">
        <v>3.7582989756941012E-3</v>
      </c>
    </row>
    <row r="364" spans="1:10">
      <c r="C364" s="453" t="s">
        <v>815</v>
      </c>
      <c r="E364" s="462">
        <v>3.7582989756941012E-4</v>
      </c>
    </row>
    <row r="365" spans="1:10">
      <c r="E365" s="457"/>
    </row>
    <row r="366" spans="1:10">
      <c r="E366" s="457"/>
    </row>
    <row r="370" spans="1:10">
      <c r="A370" s="460" t="s">
        <v>895</v>
      </c>
      <c r="B370" s="460"/>
      <c r="C370" s="460"/>
      <c r="D370" s="460"/>
      <c r="E370" s="460"/>
      <c r="F370" s="456"/>
      <c r="G370" s="460"/>
      <c r="H370" s="460"/>
      <c r="I370" s="460"/>
      <c r="J370" s="459" t="s">
        <v>894</v>
      </c>
    </row>
    <row r="372" spans="1:10">
      <c r="B372" s="453" t="s">
        <v>816</v>
      </c>
    </row>
    <row r="373" spans="1:10">
      <c r="C373" s="453" t="s">
        <v>429</v>
      </c>
      <c r="E373" s="462">
        <v>-3.9349875028942952E-2</v>
      </c>
    </row>
    <row r="374" spans="1:10">
      <c r="C374" s="453" t="s">
        <v>815</v>
      </c>
      <c r="E374" s="462">
        <v>3.9349875028942948E-3</v>
      </c>
    </row>
    <row r="375" spans="1:10">
      <c r="E375" s="457"/>
    </row>
    <row r="376" spans="1:10">
      <c r="E376" s="457"/>
    </row>
    <row r="380" spans="1:10">
      <c r="A380" s="460" t="s">
        <v>893</v>
      </c>
      <c r="B380" s="460"/>
      <c r="C380" s="460"/>
      <c r="D380" s="460"/>
      <c r="E380" s="460"/>
      <c r="F380" s="456"/>
      <c r="G380" s="460"/>
      <c r="H380" s="460"/>
      <c r="I380" s="460"/>
      <c r="J380" s="459" t="s">
        <v>892</v>
      </c>
    </row>
    <row r="382" spans="1:10">
      <c r="B382" s="453" t="s">
        <v>816</v>
      </c>
    </row>
    <row r="383" spans="1:10">
      <c r="C383" s="453" t="s">
        <v>429</v>
      </c>
      <c r="E383" s="462">
        <v>-3.9349875028942952E-2</v>
      </c>
    </row>
    <row r="384" spans="1:10">
      <c r="C384" s="453" t="s">
        <v>815</v>
      </c>
      <c r="E384" s="462">
        <v>3.9349875028942948E-3</v>
      </c>
    </row>
    <row r="385" spans="1:10">
      <c r="E385" s="457"/>
    </row>
    <row r="386" spans="1:10">
      <c r="E386" s="457"/>
    </row>
    <row r="390" spans="1:10">
      <c r="A390" s="460" t="s">
        <v>891</v>
      </c>
      <c r="B390" s="460"/>
      <c r="C390" s="460"/>
      <c r="D390" s="460"/>
      <c r="E390" s="460"/>
      <c r="F390" s="456"/>
      <c r="G390" s="460"/>
      <c r="H390" s="460"/>
      <c r="I390" s="460"/>
      <c r="J390" s="459" t="s">
        <v>890</v>
      </c>
    </row>
    <row r="392" spans="1:10" ht="126" customHeight="1">
      <c r="C392" s="708" t="s">
        <v>889</v>
      </c>
      <c r="D392" s="708"/>
      <c r="E392" s="708"/>
      <c r="F392" s="708"/>
      <c r="G392" s="708"/>
      <c r="H392" s="708"/>
      <c r="I392" s="708"/>
    </row>
    <row r="394" spans="1:10">
      <c r="B394" s="453" t="s">
        <v>843</v>
      </c>
    </row>
    <row r="395" spans="1:10">
      <c r="C395" s="453" t="s">
        <v>781</v>
      </c>
      <c r="E395" s="462">
        <v>0.02</v>
      </c>
    </row>
    <row r="396" spans="1:10">
      <c r="C396" s="453" t="s">
        <v>782</v>
      </c>
      <c r="E396" s="462">
        <v>0.12</v>
      </c>
    </row>
    <row r="397" spans="1:10">
      <c r="E397" s="457"/>
    </row>
    <row r="398" spans="1:10">
      <c r="E398" s="457"/>
    </row>
    <row r="402" spans="1:10">
      <c r="A402" s="460" t="s">
        <v>888</v>
      </c>
      <c r="B402" s="460"/>
      <c r="C402" s="460"/>
      <c r="D402" s="460"/>
      <c r="E402" s="460"/>
      <c r="F402" s="456"/>
      <c r="G402" s="460"/>
      <c r="H402" s="460"/>
      <c r="I402" s="460"/>
      <c r="J402" s="459" t="s">
        <v>887</v>
      </c>
    </row>
    <row r="404" spans="1:10">
      <c r="B404" s="453" t="s">
        <v>843</v>
      </c>
    </row>
    <row r="405" spans="1:10">
      <c r="C405" s="453" t="s">
        <v>781</v>
      </c>
      <c r="E405" s="462">
        <v>0.02</v>
      </c>
    </row>
    <row r="406" spans="1:10">
      <c r="C406" s="453" t="s">
        <v>782</v>
      </c>
      <c r="E406" s="462">
        <v>0.12</v>
      </c>
    </row>
    <row r="407" spans="1:10">
      <c r="E407" s="457"/>
    </row>
    <row r="408" spans="1:10">
      <c r="E408" s="457"/>
    </row>
    <row r="412" spans="1:10">
      <c r="A412" s="460" t="s">
        <v>886</v>
      </c>
      <c r="B412" s="460"/>
      <c r="C412" s="460"/>
      <c r="D412" s="460"/>
      <c r="E412" s="460"/>
      <c r="F412" s="456"/>
      <c r="G412" s="460"/>
      <c r="H412" s="460"/>
      <c r="I412" s="460"/>
      <c r="J412" s="459" t="s">
        <v>885</v>
      </c>
    </row>
    <row r="414" spans="1:10">
      <c r="B414" s="453" t="s">
        <v>816</v>
      </c>
    </row>
    <row r="415" spans="1:10">
      <c r="C415" s="453" t="s">
        <v>429</v>
      </c>
      <c r="E415" s="461">
        <v>0.30675290302434066</v>
      </c>
    </row>
    <row r="416" spans="1:10">
      <c r="C416" s="453" t="s">
        <v>815</v>
      </c>
      <c r="E416" s="461">
        <v>3.0675290302434065E-2</v>
      </c>
    </row>
    <row r="417" spans="1:10">
      <c r="E417" s="457"/>
    </row>
    <row r="418" spans="1:10">
      <c r="E418" s="457"/>
    </row>
    <row r="422" spans="1:10">
      <c r="A422" s="460" t="s">
        <v>884</v>
      </c>
      <c r="B422" s="460"/>
      <c r="C422" s="460"/>
      <c r="D422" s="460"/>
      <c r="E422" s="460"/>
      <c r="F422" s="456"/>
      <c r="G422" s="460"/>
      <c r="H422" s="460"/>
      <c r="I422" s="460"/>
      <c r="J422" s="459" t="s">
        <v>883</v>
      </c>
    </row>
    <row r="424" spans="1:10">
      <c r="B424" s="453" t="s">
        <v>816</v>
      </c>
    </row>
    <row r="425" spans="1:10">
      <c r="C425" s="453" t="s">
        <v>429</v>
      </c>
      <c r="E425" s="461">
        <v>4.9083316512498865E-2</v>
      </c>
    </row>
    <row r="426" spans="1:10">
      <c r="C426" s="453" t="s">
        <v>815</v>
      </c>
      <c r="E426" s="461">
        <v>4.9083316512498866E-3</v>
      </c>
    </row>
    <row r="427" spans="1:10">
      <c r="E427" s="457"/>
    </row>
    <row r="428" spans="1:10">
      <c r="E428" s="457"/>
    </row>
    <row r="432" spans="1:10">
      <c r="A432" s="460" t="s">
        <v>882</v>
      </c>
      <c r="B432" s="460"/>
      <c r="C432" s="460"/>
      <c r="D432" s="460"/>
      <c r="E432" s="460"/>
      <c r="F432" s="456"/>
      <c r="G432" s="460"/>
      <c r="H432" s="460"/>
      <c r="I432" s="460"/>
      <c r="J432" s="459" t="s">
        <v>881</v>
      </c>
    </row>
    <row r="434" spans="1:10">
      <c r="B434" s="453" t="s">
        <v>816</v>
      </c>
    </row>
    <row r="435" spans="1:10">
      <c r="C435" s="453" t="s">
        <v>429</v>
      </c>
      <c r="E435" s="458">
        <v>7.5992771546960457E-3</v>
      </c>
    </row>
    <row r="436" spans="1:10">
      <c r="C436" s="453" t="s">
        <v>815</v>
      </c>
      <c r="E436" s="458">
        <v>7.5992771546960455E-4</v>
      </c>
    </row>
    <row r="437" spans="1:10">
      <c r="E437" s="457"/>
    </row>
    <row r="438" spans="1:10">
      <c r="E438" s="457"/>
    </row>
    <row r="442" spans="1:10">
      <c r="A442" s="460" t="s">
        <v>880</v>
      </c>
      <c r="B442" s="460"/>
      <c r="C442" s="460"/>
      <c r="D442" s="460"/>
      <c r="E442" s="460"/>
      <c r="F442" s="456"/>
      <c r="G442" s="460"/>
      <c r="H442" s="460"/>
      <c r="I442" s="460"/>
      <c r="J442" s="459" t="s">
        <v>879</v>
      </c>
    </row>
    <row r="444" spans="1:10">
      <c r="B444" s="453" t="s">
        <v>816</v>
      </c>
    </row>
    <row r="445" spans="1:10">
      <c r="C445" s="453" t="s">
        <v>429</v>
      </c>
      <c r="E445" s="462">
        <v>-2.3670347116980586E-3</v>
      </c>
    </row>
    <row r="446" spans="1:10">
      <c r="C446" s="453" t="s">
        <v>815</v>
      </c>
      <c r="E446" s="462">
        <v>1E-3</v>
      </c>
    </row>
    <row r="447" spans="1:10">
      <c r="E447" s="457"/>
    </row>
    <row r="448" spans="1:10">
      <c r="E448" s="457"/>
    </row>
    <row r="452" spans="1:10">
      <c r="A452" s="460" t="s">
        <v>878</v>
      </c>
      <c r="B452" s="460"/>
      <c r="C452" s="460"/>
      <c r="D452" s="460"/>
      <c r="E452" s="460"/>
      <c r="F452" s="456"/>
      <c r="G452" s="460"/>
      <c r="H452" s="460"/>
      <c r="I452" s="460"/>
      <c r="J452" s="459" t="s">
        <v>877</v>
      </c>
    </row>
    <row r="454" spans="1:10">
      <c r="B454" s="453" t="s">
        <v>816</v>
      </c>
    </row>
    <row r="455" spans="1:10">
      <c r="C455" s="453" t="s">
        <v>429</v>
      </c>
      <c r="E455" s="462">
        <v>-2.3670347116980586E-3</v>
      </c>
    </row>
    <row r="456" spans="1:10">
      <c r="C456" s="453" t="s">
        <v>815</v>
      </c>
      <c r="E456" s="462">
        <v>2.3670347116980586E-4</v>
      </c>
    </row>
    <row r="457" spans="1:10">
      <c r="E457" s="457"/>
    </row>
    <row r="458" spans="1:10">
      <c r="E458" s="457"/>
    </row>
    <row r="462" spans="1:10">
      <c r="A462" s="460" t="s">
        <v>876</v>
      </c>
      <c r="B462" s="460"/>
      <c r="C462" s="460"/>
      <c r="D462" s="460"/>
      <c r="E462" s="460"/>
      <c r="F462" s="456"/>
      <c r="G462" s="460"/>
      <c r="H462" s="460"/>
      <c r="I462" s="460"/>
      <c r="J462" s="459" t="s">
        <v>875</v>
      </c>
    </row>
    <row r="464" spans="1:10">
      <c r="B464" s="453" t="s">
        <v>843</v>
      </c>
    </row>
    <row r="465" spans="1:10">
      <c r="C465" s="453" t="s">
        <v>781</v>
      </c>
      <c r="E465" s="462">
        <v>0.11</v>
      </c>
    </row>
    <row r="466" spans="1:10">
      <c r="C466" s="453" t="s">
        <v>782</v>
      </c>
      <c r="E466" s="462">
        <v>0.18</v>
      </c>
    </row>
    <row r="467" spans="1:10">
      <c r="E467" s="457"/>
    </row>
    <row r="468" spans="1:10">
      <c r="E468" s="457"/>
    </row>
    <row r="472" spans="1:10">
      <c r="A472" s="460" t="s">
        <v>874</v>
      </c>
      <c r="B472" s="460"/>
      <c r="C472" s="460"/>
      <c r="D472" s="460"/>
      <c r="E472" s="460"/>
      <c r="F472" s="456"/>
      <c r="G472" s="460"/>
      <c r="H472" s="460"/>
      <c r="I472" s="460"/>
      <c r="J472" s="459" t="s">
        <v>873</v>
      </c>
    </row>
    <row r="474" spans="1:10">
      <c r="B474" s="453" t="s">
        <v>843</v>
      </c>
    </row>
    <row r="475" spans="1:10">
      <c r="C475" s="453" t="s">
        <v>781</v>
      </c>
      <c r="E475" s="462">
        <v>0.13923776980191141</v>
      </c>
    </row>
    <row r="476" spans="1:10">
      <c r="C476" s="453" t="s">
        <v>782</v>
      </c>
      <c r="E476" s="462">
        <v>0.43</v>
      </c>
    </row>
    <row r="477" spans="1:10">
      <c r="E477" s="457"/>
    </row>
    <row r="478" spans="1:10">
      <c r="E478" s="457"/>
    </row>
    <row r="482" spans="1:10">
      <c r="A482" s="460" t="s">
        <v>872</v>
      </c>
      <c r="B482" s="460"/>
      <c r="C482" s="460"/>
      <c r="D482" s="460"/>
      <c r="E482" s="460"/>
      <c r="F482" s="456"/>
      <c r="G482" s="460"/>
      <c r="H482" s="460"/>
      <c r="I482" s="460"/>
      <c r="J482" s="459" t="s">
        <v>871</v>
      </c>
    </row>
    <row r="484" spans="1:10">
      <c r="B484" s="453" t="s">
        <v>816</v>
      </c>
    </row>
    <row r="485" spans="1:10">
      <c r="C485" s="453" t="s">
        <v>429</v>
      </c>
      <c r="E485" s="462">
        <v>-8.0919964099763382E-3</v>
      </c>
    </row>
    <row r="486" spans="1:10">
      <c r="C486" s="453" t="s">
        <v>815</v>
      </c>
      <c r="E486" s="462">
        <v>1E-3</v>
      </c>
    </row>
    <row r="487" spans="1:10">
      <c r="E487" s="457"/>
    </row>
    <row r="488" spans="1:10">
      <c r="E488" s="457"/>
    </row>
    <row r="492" spans="1:10">
      <c r="A492" s="460" t="s">
        <v>870</v>
      </c>
      <c r="B492" s="460"/>
      <c r="C492" s="460"/>
      <c r="D492" s="460"/>
      <c r="E492" s="460"/>
      <c r="F492" s="456"/>
      <c r="G492" s="460"/>
      <c r="H492" s="460"/>
      <c r="I492" s="460"/>
      <c r="J492" s="459" t="s">
        <v>869</v>
      </c>
    </row>
    <row r="494" spans="1:10">
      <c r="B494" s="453" t="s">
        <v>816</v>
      </c>
    </row>
    <row r="495" spans="1:10">
      <c r="C495" s="453" t="s">
        <v>429</v>
      </c>
      <c r="E495" s="462">
        <v>-8.0919964099763382E-3</v>
      </c>
    </row>
    <row r="496" spans="1:10">
      <c r="C496" s="453" t="s">
        <v>815</v>
      </c>
      <c r="E496" s="462">
        <v>8.091996409976338E-4</v>
      </c>
    </row>
    <row r="497" spans="1:10">
      <c r="E497" s="457"/>
    </row>
    <row r="498" spans="1:10">
      <c r="E498" s="457"/>
    </row>
    <row r="502" spans="1:10">
      <c r="A502" s="460" t="s">
        <v>824</v>
      </c>
      <c r="B502" s="460"/>
      <c r="C502" s="460"/>
      <c r="D502" s="460"/>
      <c r="E502" s="460"/>
      <c r="F502" s="456"/>
      <c r="G502" s="460"/>
      <c r="H502" s="460"/>
      <c r="I502" s="460"/>
      <c r="J502" s="459" t="s">
        <v>868</v>
      </c>
    </row>
    <row r="504" spans="1:10">
      <c r="B504" s="453" t="s">
        <v>816</v>
      </c>
    </row>
    <row r="505" spans="1:10">
      <c r="C505" s="453" t="s">
        <v>429</v>
      </c>
      <c r="E505" s="461">
        <v>0.22973515272238387</v>
      </c>
    </row>
    <row r="506" spans="1:10">
      <c r="C506" s="453" t="s">
        <v>815</v>
      </c>
      <c r="E506" s="461">
        <v>2.2973515272238388E-2</v>
      </c>
    </row>
    <row r="507" spans="1:10">
      <c r="E507" s="457"/>
    </row>
    <row r="508" spans="1:10">
      <c r="E508" s="457"/>
    </row>
    <row r="512" spans="1:10">
      <c r="A512" s="460" t="s">
        <v>867</v>
      </c>
      <c r="B512" s="460"/>
      <c r="C512" s="460"/>
      <c r="D512" s="460"/>
      <c r="E512" s="460"/>
      <c r="F512" s="456"/>
      <c r="G512" s="460"/>
      <c r="H512" s="460"/>
      <c r="I512" s="460"/>
      <c r="J512" s="459" t="s">
        <v>866</v>
      </c>
    </row>
    <row r="514" spans="1:10">
      <c r="B514" s="453" t="s">
        <v>816</v>
      </c>
    </row>
    <row r="515" spans="1:10">
      <c r="C515" s="453" t="s">
        <v>429</v>
      </c>
      <c r="E515" s="461">
        <v>9.1363297736570925E-2</v>
      </c>
    </row>
    <row r="516" spans="1:10">
      <c r="C516" s="453" t="s">
        <v>815</v>
      </c>
      <c r="E516" s="461">
        <v>9.1363297736570918E-3</v>
      </c>
    </row>
    <row r="517" spans="1:10">
      <c r="E517" s="457"/>
    </row>
    <row r="518" spans="1:10">
      <c r="E518" s="457"/>
    </row>
    <row r="522" spans="1:10">
      <c r="A522" s="460" t="s">
        <v>865</v>
      </c>
      <c r="B522" s="460"/>
      <c r="C522" s="460"/>
      <c r="D522" s="460"/>
      <c r="E522" s="460"/>
      <c r="F522" s="456"/>
      <c r="G522" s="460"/>
      <c r="H522" s="460"/>
      <c r="I522" s="460"/>
      <c r="J522" s="459" t="s">
        <v>864</v>
      </c>
    </row>
    <row r="524" spans="1:10">
      <c r="B524" s="453" t="s">
        <v>816</v>
      </c>
    </row>
    <row r="525" spans="1:10">
      <c r="C525" s="453" t="s">
        <v>429</v>
      </c>
      <c r="E525" s="458">
        <v>4.1528147123543824E-3</v>
      </c>
    </row>
    <row r="526" spans="1:10">
      <c r="C526" s="453" t="s">
        <v>815</v>
      </c>
      <c r="E526" s="458">
        <v>4.1528147123543824E-4</v>
      </c>
    </row>
    <row r="527" spans="1:10">
      <c r="E527" s="457"/>
    </row>
    <row r="528" spans="1:10">
      <c r="E528" s="457"/>
    </row>
    <row r="532" spans="1:10">
      <c r="A532" s="460" t="s">
        <v>863</v>
      </c>
      <c r="B532" s="460"/>
      <c r="C532" s="460"/>
      <c r="D532" s="460"/>
      <c r="E532" s="460"/>
      <c r="F532" s="456"/>
      <c r="G532" s="460"/>
      <c r="H532" s="460"/>
      <c r="I532" s="460"/>
      <c r="J532" s="459" t="s">
        <v>862</v>
      </c>
    </row>
    <row r="534" spans="1:10">
      <c r="B534" s="453" t="s">
        <v>816</v>
      </c>
    </row>
    <row r="535" spans="1:10">
      <c r="C535" s="453" t="s">
        <v>429</v>
      </c>
      <c r="E535" s="462">
        <v>6.3059441274082376E-3</v>
      </c>
    </row>
    <row r="536" spans="1:10">
      <c r="C536" s="453" t="s">
        <v>815</v>
      </c>
      <c r="E536" s="462">
        <v>6.3059441274082378E-4</v>
      </c>
    </row>
    <row r="537" spans="1:10">
      <c r="E537" s="457"/>
    </row>
    <row r="538" spans="1:10">
      <c r="E538" s="457"/>
    </row>
    <row r="542" spans="1:10">
      <c r="A542" s="460" t="s">
        <v>861</v>
      </c>
      <c r="B542" s="460"/>
      <c r="C542" s="460"/>
      <c r="D542" s="460"/>
      <c r="E542" s="460"/>
      <c r="F542" s="456"/>
      <c r="G542" s="460"/>
      <c r="H542" s="460"/>
      <c r="I542" s="460"/>
      <c r="J542" s="459" t="s">
        <v>860</v>
      </c>
    </row>
    <row r="544" spans="1:10">
      <c r="B544" s="453" t="s">
        <v>816</v>
      </c>
    </row>
    <row r="545" spans="1:10">
      <c r="C545" s="453" t="s">
        <v>429</v>
      </c>
      <c r="E545" s="462">
        <v>-5.716596011945593E-3</v>
      </c>
    </row>
    <row r="546" spans="1:10">
      <c r="C546" s="453" t="s">
        <v>815</v>
      </c>
      <c r="E546" s="462">
        <v>5.7165960119455927E-4</v>
      </c>
    </row>
    <row r="547" spans="1:10">
      <c r="E547" s="457"/>
    </row>
    <row r="548" spans="1:10">
      <c r="E548" s="457"/>
    </row>
    <row r="552" spans="1:10">
      <c r="A552" s="460" t="s">
        <v>859</v>
      </c>
      <c r="B552" s="460"/>
      <c r="C552" s="460"/>
      <c r="D552" s="460"/>
      <c r="E552" s="460"/>
      <c r="F552" s="456"/>
      <c r="G552" s="460"/>
      <c r="H552" s="460"/>
      <c r="I552" s="460"/>
      <c r="J552" s="459" t="s">
        <v>858</v>
      </c>
    </row>
    <row r="554" spans="1:10">
      <c r="B554" s="453" t="s">
        <v>816</v>
      </c>
    </row>
    <row r="555" spans="1:10">
      <c r="C555" s="453" t="s">
        <v>429</v>
      </c>
      <c r="E555" s="462">
        <v>-5.8876063913510281E-2</v>
      </c>
    </row>
    <row r="556" spans="1:10">
      <c r="C556" s="453" t="s">
        <v>815</v>
      </c>
      <c r="E556" s="462">
        <v>5.8876063913510281E-3</v>
      </c>
    </row>
    <row r="557" spans="1:10">
      <c r="E557" s="457"/>
    </row>
    <row r="558" spans="1:10">
      <c r="E558" s="457"/>
    </row>
    <row r="562" spans="1:10">
      <c r="A562" s="460" t="s">
        <v>857</v>
      </c>
      <c r="B562" s="460"/>
      <c r="C562" s="460"/>
      <c r="D562" s="460"/>
      <c r="E562" s="460"/>
      <c r="F562" s="456"/>
      <c r="G562" s="460"/>
      <c r="H562" s="460"/>
      <c r="I562" s="460"/>
      <c r="J562" s="459" t="s">
        <v>856</v>
      </c>
    </row>
    <row r="564" spans="1:10">
      <c r="B564" s="453" t="s">
        <v>816</v>
      </c>
    </row>
    <row r="565" spans="1:10">
      <c r="C565" s="453" t="s">
        <v>429</v>
      </c>
      <c r="E565" s="462">
        <v>-5.8876063913510281E-2</v>
      </c>
    </row>
    <row r="566" spans="1:10">
      <c r="C566" s="453" t="s">
        <v>815</v>
      </c>
      <c r="E566" s="462">
        <v>5.8876063913510281E-3</v>
      </c>
    </row>
    <row r="567" spans="1:10">
      <c r="E567" s="457"/>
    </row>
    <row r="568" spans="1:10">
      <c r="E568" s="457"/>
    </row>
    <row r="572" spans="1:10">
      <c r="A572" s="460" t="s">
        <v>855</v>
      </c>
      <c r="B572" s="460"/>
      <c r="C572" s="460"/>
      <c r="D572" s="460"/>
      <c r="E572" s="460"/>
      <c r="F572" s="456"/>
      <c r="G572" s="460"/>
      <c r="H572" s="460"/>
      <c r="I572" s="460"/>
      <c r="J572" s="459" t="s">
        <v>854</v>
      </c>
    </row>
    <row r="574" spans="1:10">
      <c r="B574" s="453" t="s">
        <v>816</v>
      </c>
    </row>
    <row r="575" spans="1:10">
      <c r="C575" s="453" t="s">
        <v>429</v>
      </c>
      <c r="E575" s="462">
        <v>2.9951923298960192E-2</v>
      </c>
    </row>
    <row r="576" spans="1:10">
      <c r="C576" s="453" t="s">
        <v>815</v>
      </c>
      <c r="E576" s="462">
        <v>2.9951923298960192E-3</v>
      </c>
    </row>
    <row r="577" spans="1:10">
      <c r="E577" s="457"/>
    </row>
    <row r="578" spans="1:10">
      <c r="E578" s="457"/>
    </row>
    <row r="582" spans="1:10">
      <c r="A582" s="460" t="s">
        <v>853</v>
      </c>
      <c r="B582" s="460"/>
      <c r="C582" s="460"/>
      <c r="D582" s="460"/>
      <c r="E582" s="460"/>
      <c r="F582" s="456"/>
      <c r="G582" s="460"/>
      <c r="H582" s="460"/>
      <c r="I582" s="460"/>
      <c r="J582" s="459" t="s">
        <v>852</v>
      </c>
    </row>
    <row r="584" spans="1:10">
      <c r="B584" s="453" t="s">
        <v>843</v>
      </c>
    </row>
    <row r="585" spans="1:10">
      <c r="C585" s="453" t="s">
        <v>781</v>
      </c>
      <c r="E585" s="462">
        <v>0</v>
      </c>
    </row>
    <row r="586" spans="1:10">
      <c r="C586" s="453" t="s">
        <v>782</v>
      </c>
      <c r="E586" s="462">
        <v>0.08</v>
      </c>
    </row>
    <row r="587" spans="1:10">
      <c r="E587" s="457"/>
    </row>
    <row r="588" spans="1:10">
      <c r="E588" s="457"/>
    </row>
    <row r="592" spans="1:10">
      <c r="A592" s="460" t="s">
        <v>851</v>
      </c>
      <c r="B592" s="460"/>
      <c r="C592" s="460"/>
      <c r="D592" s="460"/>
      <c r="E592" s="460"/>
      <c r="F592" s="456"/>
      <c r="G592" s="460"/>
      <c r="H592" s="460"/>
      <c r="I592" s="460"/>
      <c r="J592" s="459" t="s">
        <v>850</v>
      </c>
    </row>
    <row r="594" spans="1:10">
      <c r="B594" s="453" t="s">
        <v>816</v>
      </c>
    </row>
    <row r="595" spans="1:10">
      <c r="C595" s="453" t="s">
        <v>429</v>
      </c>
      <c r="E595" s="462">
        <v>2.8254277389950233E-2</v>
      </c>
    </row>
    <row r="596" spans="1:10">
      <c r="C596" s="453" t="s">
        <v>815</v>
      </c>
      <c r="E596" s="462">
        <v>2.8254277389950233E-3</v>
      </c>
    </row>
    <row r="597" spans="1:10">
      <c r="E597" s="457"/>
    </row>
    <row r="598" spans="1:10">
      <c r="E598" s="457"/>
    </row>
    <row r="602" spans="1:10">
      <c r="A602" s="460" t="s">
        <v>849</v>
      </c>
      <c r="B602" s="460"/>
      <c r="C602" s="460"/>
      <c r="D602" s="460"/>
      <c r="E602" s="460"/>
      <c r="F602" s="456"/>
      <c r="G602" s="460"/>
      <c r="H602" s="460"/>
      <c r="I602" s="460"/>
      <c r="J602" s="459" t="s">
        <v>848</v>
      </c>
    </row>
    <row r="604" spans="1:10">
      <c r="B604" s="453" t="s">
        <v>816</v>
      </c>
    </row>
    <row r="605" spans="1:10">
      <c r="C605" s="453" t="s">
        <v>429</v>
      </c>
      <c r="E605" s="462">
        <v>0.10318678070339327</v>
      </c>
    </row>
    <row r="606" spans="1:10">
      <c r="C606" s="453" t="s">
        <v>815</v>
      </c>
      <c r="E606" s="462">
        <v>1.0318678070339326E-2</v>
      </c>
    </row>
    <row r="607" spans="1:10">
      <c r="E607" s="457"/>
    </row>
    <row r="608" spans="1:10">
      <c r="E608" s="457"/>
    </row>
    <row r="612" spans="1:10">
      <c r="A612" s="460" t="s">
        <v>847</v>
      </c>
      <c r="B612" s="460"/>
      <c r="C612" s="460"/>
      <c r="D612" s="460"/>
      <c r="E612" s="460"/>
      <c r="F612" s="456"/>
      <c r="G612" s="460"/>
      <c r="H612" s="460"/>
      <c r="I612" s="460"/>
      <c r="J612" s="459" t="s">
        <v>846</v>
      </c>
    </row>
    <row r="614" spans="1:10">
      <c r="B614" s="453" t="s">
        <v>816</v>
      </c>
    </row>
    <row r="615" spans="1:10">
      <c r="C615" s="453" t="s">
        <v>429</v>
      </c>
      <c r="E615" s="462">
        <v>1.1774719465622904E-2</v>
      </c>
    </row>
    <row r="616" spans="1:10">
      <c r="C616" s="453" t="s">
        <v>815</v>
      </c>
      <c r="E616" s="462">
        <v>1.1774719465622904E-3</v>
      </c>
    </row>
    <row r="617" spans="1:10">
      <c r="E617" s="457"/>
    </row>
    <row r="618" spans="1:10">
      <c r="E618" s="457"/>
    </row>
    <row r="622" spans="1:10">
      <c r="A622" s="460" t="s">
        <v>845</v>
      </c>
      <c r="B622" s="460"/>
      <c r="C622" s="460"/>
      <c r="D622" s="460"/>
      <c r="E622" s="460"/>
      <c r="F622" s="456"/>
      <c r="G622" s="460"/>
      <c r="H622" s="460"/>
      <c r="I622" s="460"/>
      <c r="J622" s="459" t="s">
        <v>844</v>
      </c>
    </row>
    <row r="624" spans="1:10">
      <c r="B624" s="453" t="s">
        <v>843</v>
      </c>
    </row>
    <row r="625" spans="1:10">
      <c r="C625" s="453" t="s">
        <v>781</v>
      </c>
      <c r="E625" s="462">
        <v>-0.14000000000000001</v>
      </c>
    </row>
    <row r="626" spans="1:10">
      <c r="C626" s="453" t="s">
        <v>782</v>
      </c>
      <c r="E626" s="462">
        <v>0.03</v>
      </c>
    </row>
    <row r="627" spans="1:10">
      <c r="E627" s="457"/>
    </row>
    <row r="628" spans="1:10">
      <c r="E628" s="457"/>
    </row>
    <row r="632" spans="1:10">
      <c r="A632" s="460" t="s">
        <v>842</v>
      </c>
      <c r="B632" s="460"/>
      <c r="C632" s="460"/>
      <c r="D632" s="460"/>
      <c r="E632" s="460"/>
      <c r="F632" s="456"/>
      <c r="G632" s="460"/>
      <c r="H632" s="460"/>
      <c r="I632" s="460"/>
      <c r="J632" s="459" t="s">
        <v>841</v>
      </c>
    </row>
    <row r="634" spans="1:10">
      <c r="B634" s="453" t="s">
        <v>816</v>
      </c>
    </row>
    <row r="635" spans="1:10">
      <c r="C635" s="453" t="s">
        <v>429</v>
      </c>
      <c r="E635" s="462">
        <v>-0.76313160448303363</v>
      </c>
    </row>
    <row r="636" spans="1:10">
      <c r="C636" s="453" t="s">
        <v>815</v>
      </c>
      <c r="E636" s="462">
        <v>7.6313160448303358E-2</v>
      </c>
    </row>
    <row r="637" spans="1:10">
      <c r="E637" s="457"/>
    </row>
    <row r="638" spans="1:10">
      <c r="E638" s="457"/>
    </row>
    <row r="642" spans="1:10">
      <c r="A642" s="460" t="s">
        <v>840</v>
      </c>
      <c r="B642" s="460"/>
      <c r="C642" s="460"/>
      <c r="D642" s="460"/>
      <c r="E642" s="460"/>
      <c r="F642" s="456"/>
      <c r="G642" s="460"/>
      <c r="H642" s="460"/>
      <c r="I642" s="460"/>
      <c r="J642" s="459" t="s">
        <v>839</v>
      </c>
    </row>
    <row r="644" spans="1:10">
      <c r="B644" s="453" t="s">
        <v>816</v>
      </c>
    </row>
    <row r="645" spans="1:10">
      <c r="C645" s="453" t="s">
        <v>429</v>
      </c>
      <c r="E645" s="462">
        <v>-0.76313160448303363</v>
      </c>
    </row>
    <row r="646" spans="1:10">
      <c r="C646" s="453" t="s">
        <v>815</v>
      </c>
      <c r="E646" s="462">
        <v>7.6313160448303358E-2</v>
      </c>
    </row>
    <row r="647" spans="1:10">
      <c r="E647" s="457"/>
    </row>
    <row r="648" spans="1:10">
      <c r="E648" s="457"/>
    </row>
    <row r="652" spans="1:10">
      <c r="A652" s="460" t="s">
        <v>838</v>
      </c>
      <c r="B652" s="460"/>
      <c r="C652" s="460"/>
      <c r="D652" s="460"/>
      <c r="E652" s="460"/>
      <c r="F652" s="456"/>
      <c r="G652" s="460"/>
      <c r="H652" s="460"/>
      <c r="I652" s="460"/>
      <c r="J652" s="459" t="s">
        <v>837</v>
      </c>
    </row>
    <row r="654" spans="1:10">
      <c r="B654" s="453" t="s">
        <v>816</v>
      </c>
    </row>
    <row r="655" spans="1:10">
      <c r="C655" s="453" t="s">
        <v>429</v>
      </c>
      <c r="E655" s="462">
        <v>5.0064988205844128E-3</v>
      </c>
    </row>
    <row r="656" spans="1:10">
      <c r="C656" s="453" t="s">
        <v>815</v>
      </c>
      <c r="E656" s="462">
        <v>5.006498820584413E-4</v>
      </c>
    </row>
    <row r="657" spans="1:10">
      <c r="E657" s="457"/>
    </row>
    <row r="658" spans="1:10">
      <c r="E658" s="457"/>
    </row>
    <row r="662" spans="1:10">
      <c r="A662" s="460" t="s">
        <v>836</v>
      </c>
      <c r="B662" s="460"/>
      <c r="C662" s="460"/>
      <c r="D662" s="460"/>
      <c r="E662" s="460"/>
      <c r="F662" s="456"/>
      <c r="G662" s="460"/>
      <c r="H662" s="460"/>
      <c r="I662" s="460"/>
      <c r="J662" s="459" t="s">
        <v>835</v>
      </c>
    </row>
    <row r="664" spans="1:10">
      <c r="B664" s="453" t="s">
        <v>816</v>
      </c>
    </row>
    <row r="665" spans="1:10">
      <c r="C665" s="453" t="s">
        <v>429</v>
      </c>
      <c r="E665" s="462">
        <v>0.20816666666666667</v>
      </c>
    </row>
    <row r="666" spans="1:10">
      <c r="C666" s="453" t="s">
        <v>815</v>
      </c>
      <c r="E666" s="462">
        <v>2.0816666666666667E-2</v>
      </c>
    </row>
    <row r="667" spans="1:10">
      <c r="E667" s="457"/>
    </row>
    <row r="668" spans="1:10">
      <c r="E668" s="457"/>
    </row>
    <row r="672" spans="1:10">
      <c r="A672" s="460" t="s">
        <v>834</v>
      </c>
      <c r="B672" s="460"/>
      <c r="C672" s="460"/>
      <c r="D672" s="460"/>
      <c r="E672" s="460"/>
      <c r="F672" s="456"/>
      <c r="G672" s="460"/>
      <c r="H672" s="460"/>
      <c r="I672" s="460"/>
      <c r="J672" s="459" t="s">
        <v>833</v>
      </c>
    </row>
    <row r="674" spans="1:10">
      <c r="B674" s="453" t="s">
        <v>816</v>
      </c>
    </row>
    <row r="675" spans="1:10">
      <c r="C675" s="453" t="s">
        <v>429</v>
      </c>
      <c r="E675" s="462">
        <v>0.20816666666666667</v>
      </c>
    </row>
    <row r="676" spans="1:10">
      <c r="C676" s="453" t="s">
        <v>815</v>
      </c>
      <c r="E676" s="462">
        <v>2.0816666666666667E-2</v>
      </c>
    </row>
    <row r="677" spans="1:10">
      <c r="E677" s="457"/>
    </row>
    <row r="678" spans="1:10">
      <c r="E678" s="457"/>
    </row>
    <row r="682" spans="1:10">
      <c r="A682" s="460" t="s">
        <v>818</v>
      </c>
      <c r="B682" s="460"/>
      <c r="C682" s="460"/>
      <c r="D682" s="460"/>
      <c r="E682" s="460"/>
      <c r="F682" s="456"/>
      <c r="G682" s="460"/>
      <c r="H682" s="460"/>
      <c r="I682" s="460"/>
      <c r="J682" s="459" t="s">
        <v>832</v>
      </c>
    </row>
    <row r="684" spans="1:10">
      <c r="B684" s="453" t="s">
        <v>816</v>
      </c>
    </row>
    <row r="685" spans="1:10">
      <c r="C685" s="453" t="s">
        <v>429</v>
      </c>
      <c r="E685" s="458">
        <v>0.10329902063198657</v>
      </c>
    </row>
    <row r="686" spans="1:10">
      <c r="C686" s="453" t="s">
        <v>815</v>
      </c>
      <c r="E686" s="458">
        <v>1.0329902063198657E-2</v>
      </c>
    </row>
    <row r="687" spans="1:10">
      <c r="E687" s="457"/>
    </row>
    <row r="688" spans="1:10">
      <c r="E688" s="457"/>
    </row>
    <row r="692" spans="1:1">
      <c r="A692" s="453" t="s">
        <v>814</v>
      </c>
    </row>
  </sheetData>
  <mergeCells count="1">
    <mergeCell ref="C392:I392"/>
  </mergeCells>
  <printOptions gridLinesSet="0"/>
  <pageMargins left="0.75" right="0.75" top="1" bottom="1" header="0.5" footer="0.5"/>
  <pageSetup orientation="portrait" r:id="rId1"/>
  <headerFooter alignWithMargins="0">
    <oddHeader>&amp;f</oddHeader>
    <oddFooter>Page &amp;p</oddFooter>
  </headerFooter>
  <rowBreaks count="18" manualBreakCount="18">
    <brk id="23" max="16383" man="1"/>
    <brk id="68" max="16383" man="1"/>
    <brk id="84" max="16383" man="1"/>
    <brk id="128" max="16383" man="1"/>
    <brk id="168" max="16383" man="1"/>
    <brk id="208" max="16383" man="1"/>
    <brk id="248" max="16383" man="1"/>
    <brk id="288" max="16383" man="1"/>
    <brk id="328" max="16383" man="1"/>
    <brk id="368" max="16383" man="1"/>
    <brk id="410" max="16383" man="1"/>
    <brk id="450" max="16383" man="1"/>
    <brk id="490" max="16383" man="1"/>
    <brk id="530" max="16383" man="1"/>
    <brk id="570" max="16383" man="1"/>
    <brk id="610" max="16383" man="1"/>
    <brk id="650" max="16383" man="1"/>
    <brk id="692" max="16383" man="1"/>
  </rowBreaks>
  <colBreaks count="1" manualBreakCount="1">
    <brk id="10" max="1048575" man="1"/>
  </colBreaks>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001A5-D853-CB43-9E9A-79C0E8045D14}">
  <sheetPr>
    <tabColor rgb="FFFF0000"/>
  </sheetPr>
  <dimension ref="A1:T57"/>
  <sheetViews>
    <sheetView topLeftCell="A11" workbookViewId="0">
      <selection activeCell="D24" sqref="D24"/>
    </sheetView>
  </sheetViews>
  <sheetFormatPr baseColWidth="10" defaultColWidth="10.83203125" defaultRowHeight="16"/>
  <cols>
    <col min="1" max="1" width="44.1640625" style="3" customWidth="1"/>
    <col min="2" max="4" width="17.5" style="3" customWidth="1"/>
    <col min="5" max="5" width="18" style="3" bestFit="1" customWidth="1"/>
    <col min="6" max="7" width="17.5" style="3" customWidth="1"/>
    <col min="8" max="16384" width="10.83203125" style="3"/>
  </cols>
  <sheetData>
    <row r="1" spans="1:8" s="73" customFormat="1" ht="25">
      <c r="A1" s="726" t="s">
        <v>644</v>
      </c>
      <c r="B1" s="726"/>
      <c r="C1" s="726"/>
      <c r="D1" s="726"/>
      <c r="E1" s="726"/>
      <c r="F1" s="726"/>
      <c r="G1" s="726"/>
    </row>
    <row r="2" spans="1:8" s="73" customFormat="1"/>
    <row r="3" spans="1:8" s="73" customFormat="1" ht="20" customHeight="1">
      <c r="A3" s="727" t="s">
        <v>95</v>
      </c>
      <c r="B3" s="727"/>
      <c r="C3" s="727"/>
      <c r="D3" s="727"/>
      <c r="E3" s="727"/>
      <c r="F3" s="727"/>
      <c r="G3" s="727"/>
    </row>
    <row r="4" spans="1:8" s="73" customFormat="1" ht="20" customHeight="1">
      <c r="A4" s="181" t="s">
        <v>86</v>
      </c>
      <c r="B4" s="107" t="s">
        <v>87</v>
      </c>
      <c r="C4" s="76"/>
      <c r="D4" s="76"/>
      <c r="E4" s="181" t="s">
        <v>200</v>
      </c>
      <c r="F4" s="728" t="s">
        <v>649</v>
      </c>
      <c r="G4" s="728"/>
    </row>
    <row r="5" spans="1:8" ht="20" customHeight="1">
      <c r="A5" s="181" t="s">
        <v>88</v>
      </c>
      <c r="B5" s="107" t="s">
        <v>85</v>
      </c>
      <c r="C5" s="11"/>
      <c r="D5" s="11"/>
      <c r="E5" s="11"/>
      <c r="F5" s="728"/>
      <c r="G5" s="728"/>
    </row>
    <row r="6" spans="1:8" ht="20" customHeight="1">
      <c r="A6" s="181" t="s">
        <v>89</v>
      </c>
      <c r="B6" s="107" t="s">
        <v>648</v>
      </c>
      <c r="C6" s="11"/>
      <c r="D6" s="11"/>
      <c r="E6" s="11"/>
      <c r="F6" s="11"/>
      <c r="G6" s="11"/>
    </row>
    <row r="7" spans="1:8" ht="20" customHeight="1"/>
    <row r="8" spans="1:8" ht="20" customHeight="1">
      <c r="A8" s="656" t="s">
        <v>645</v>
      </c>
      <c r="B8" s="656"/>
      <c r="C8" s="656"/>
      <c r="D8" s="656"/>
      <c r="E8" s="656"/>
      <c r="F8" s="656"/>
      <c r="G8" s="656"/>
      <c r="H8" s="27"/>
    </row>
    <row r="9" spans="1:8" ht="20" customHeight="1">
      <c r="A9" s="317"/>
      <c r="B9" s="317"/>
      <c r="C9" s="317"/>
      <c r="D9" s="317"/>
      <c r="E9" s="317"/>
      <c r="F9" s="317"/>
      <c r="G9" s="317"/>
      <c r="H9" s="27"/>
    </row>
    <row r="10" spans="1:8" ht="20" customHeight="1">
      <c r="A10" s="123" t="s">
        <v>75</v>
      </c>
      <c r="B10" s="26"/>
      <c r="C10" s="317">
        <v>2023</v>
      </c>
      <c r="D10" s="317" t="s">
        <v>378</v>
      </c>
      <c r="E10" s="123" t="s">
        <v>379</v>
      </c>
      <c r="F10" s="123" t="s">
        <v>650</v>
      </c>
      <c r="G10" s="26"/>
      <c r="H10" s="27"/>
    </row>
    <row r="11" spans="1:8" ht="20" customHeight="1">
      <c r="A11" s="181" t="s">
        <v>134</v>
      </c>
      <c r="B11" s="26"/>
      <c r="C11" s="318">
        <f>'Revenue Growth'!C20</f>
        <v>0.22973515272238387</v>
      </c>
      <c r="D11" s="318">
        <f>'Revenue Growth'!D20</f>
        <v>9.1363297736570925E-2</v>
      </c>
      <c r="E11" s="319">
        <f>'Revenue Growth'!E20</f>
        <v>4.1528147123543824E-3</v>
      </c>
      <c r="F11" s="320">
        <v>0.7</v>
      </c>
      <c r="G11" s="26"/>
      <c r="H11" s="27"/>
    </row>
    <row r="12" spans="1:8" ht="20" customHeight="1">
      <c r="A12" s="181" t="s">
        <v>173</v>
      </c>
      <c r="B12" s="26"/>
      <c r="C12" s="318">
        <f>'Revenue Growth'!C21</f>
        <v>0.30675290302434066</v>
      </c>
      <c r="D12" s="318">
        <f>'Revenue Growth'!D21</f>
        <v>4.9083316512498865E-2</v>
      </c>
      <c r="E12" s="319">
        <f>'Revenue Growth'!E21</f>
        <v>7.5992771546960457E-3</v>
      </c>
      <c r="F12" s="320">
        <v>0.3</v>
      </c>
      <c r="G12" s="26"/>
      <c r="H12" s="27"/>
    </row>
    <row r="13" spans="1:8" ht="20" customHeight="1" thickBot="1">
      <c r="A13" s="321" t="s">
        <v>564</v>
      </c>
      <c r="B13" s="321"/>
      <c r="C13" s="322">
        <f>'Revenue Growth'!C23</f>
        <v>3.7699202065036852E-2</v>
      </c>
      <c r="D13" s="318"/>
      <c r="E13" s="319"/>
      <c r="F13" s="320"/>
      <c r="G13" s="26"/>
      <c r="H13" s="27"/>
    </row>
    <row r="14" spans="1:8" ht="20" customHeight="1" thickTop="1">
      <c r="A14" s="119"/>
      <c r="B14" s="119"/>
      <c r="C14" s="314"/>
      <c r="D14" s="311"/>
      <c r="E14" s="312"/>
      <c r="F14" s="313"/>
      <c r="G14" s="27"/>
      <c r="H14" s="27"/>
    </row>
    <row r="15" spans="1:8" ht="20" customHeight="1">
      <c r="A15" s="20" t="s">
        <v>647</v>
      </c>
      <c r="B15" s="11"/>
      <c r="C15" s="323">
        <f>'FULL Proforma_Revised &amp; DCF'!F121</f>
        <v>3282.5211666666664</v>
      </c>
      <c r="D15" s="11"/>
      <c r="E15" s="107"/>
      <c r="F15" s="107"/>
      <c r="G15" s="107"/>
      <c r="H15" s="27"/>
    </row>
    <row r="16" spans="1:8" ht="20" customHeight="1">
      <c r="A16" s="20" t="s">
        <v>646</v>
      </c>
      <c r="B16" s="11"/>
      <c r="C16" s="324">
        <f>D11*F11+D12*F12</f>
        <v>7.8679303369349293E-2</v>
      </c>
      <c r="D16" s="11"/>
      <c r="E16" s="107"/>
      <c r="F16" s="107"/>
      <c r="G16" s="107"/>
      <c r="H16" s="27"/>
    </row>
    <row r="17" spans="1:20" ht="20" customHeight="1">
      <c r="A17" s="20" t="s">
        <v>575</v>
      </c>
      <c r="B17" s="11"/>
      <c r="C17" s="324">
        <f>C13</f>
        <v>3.7699202065036852E-2</v>
      </c>
      <c r="D17" s="11"/>
      <c r="E17" s="107"/>
      <c r="F17" s="107"/>
      <c r="G17" s="107"/>
      <c r="H17" s="27"/>
    </row>
    <row r="18" spans="1:20" ht="20" customHeight="1">
      <c r="A18" s="20" t="s">
        <v>576</v>
      </c>
      <c r="B18" s="11"/>
      <c r="C18" s="324">
        <f ca="1">WACC!F14</f>
        <v>0.10249854928626491</v>
      </c>
      <c r="D18" s="11"/>
      <c r="E18" s="107"/>
      <c r="F18" s="107"/>
      <c r="G18" s="107"/>
      <c r="H18" s="27"/>
    </row>
    <row r="19" spans="1:20" ht="20" customHeight="1">
      <c r="A19" s="18"/>
      <c r="B19" s="316"/>
      <c r="C19" s="108"/>
      <c r="D19" s="108"/>
      <c r="E19" s="108"/>
      <c r="F19" s="108"/>
      <c r="G19" s="108"/>
      <c r="H19" s="27"/>
    </row>
    <row r="20" spans="1:20" ht="20" customHeight="1">
      <c r="A20" s="325" t="s">
        <v>565</v>
      </c>
      <c r="B20" s="325"/>
      <c r="C20" s="325">
        <v>2023</v>
      </c>
      <c r="D20" s="325">
        <v>2024</v>
      </c>
      <c r="E20" s="325">
        <v>2025</v>
      </c>
      <c r="F20" s="325">
        <v>2026</v>
      </c>
      <c r="G20" s="325">
        <v>2027</v>
      </c>
      <c r="H20" s="27"/>
    </row>
    <row r="21" spans="1:20" ht="20" customHeight="1">
      <c r="A21" s="20" t="s">
        <v>566</v>
      </c>
      <c r="B21" s="323"/>
      <c r="C21" s="323">
        <f>C15*(1+C16)</f>
        <v>3540.7876453551435</v>
      </c>
      <c r="D21" s="323">
        <f>C21*(1+$C$16)</f>
        <v>3819.374350670485</v>
      </c>
      <c r="E21" s="323">
        <f>D21*(1+$C$16)</f>
        <v>4119.8800638880002</v>
      </c>
      <c r="F21" s="323">
        <f>E21*(1+$C$16)</f>
        <v>4444.0293572799783</v>
      </c>
      <c r="G21" s="323">
        <f>F21*(1+$C$16)</f>
        <v>4793.6824912637039</v>
      </c>
      <c r="H21" s="27"/>
    </row>
    <row r="22" spans="1:20" ht="20" customHeight="1">
      <c r="A22" s="20" t="s">
        <v>567</v>
      </c>
      <c r="B22" s="323"/>
      <c r="C22" s="323"/>
      <c r="D22" s="323"/>
      <c r="E22" s="323"/>
      <c r="F22" s="323"/>
      <c r="G22" s="323">
        <f ca="1">G21*(1+C17)/(C18-C17)</f>
        <v>76766.213078576911</v>
      </c>
      <c r="H22" s="27"/>
    </row>
    <row r="23" spans="1:20" ht="20" customHeight="1" thickBot="1">
      <c r="A23" s="328" t="s">
        <v>568</v>
      </c>
      <c r="B23" s="326"/>
      <c r="C23" s="326">
        <f>C21+C22</f>
        <v>3540.7876453551435</v>
      </c>
      <c r="D23" s="326">
        <f>D21+D22</f>
        <v>3819.374350670485</v>
      </c>
      <c r="E23" s="326">
        <f>E21+E22</f>
        <v>4119.8800638880002</v>
      </c>
      <c r="F23" s="326">
        <f>F21+F22</f>
        <v>4444.0293572799783</v>
      </c>
      <c r="G23" s="326">
        <f ca="1">G21+G22</f>
        <v>81559.895569840621</v>
      </c>
      <c r="H23" s="27"/>
    </row>
    <row r="24" spans="1:20" ht="20" customHeight="1" thickTop="1">
      <c r="A24" s="18"/>
      <c r="B24" s="315"/>
      <c r="C24" s="315"/>
      <c r="D24" s="315"/>
      <c r="E24" s="315"/>
      <c r="F24" s="315"/>
      <c r="G24" s="315"/>
      <c r="H24" s="27"/>
    </row>
    <row r="25" spans="1:20" ht="20" customHeight="1">
      <c r="A25" s="725" t="s">
        <v>657</v>
      </c>
      <c r="B25" s="725"/>
      <c r="C25" s="725"/>
      <c r="D25" s="315"/>
      <c r="E25" s="315"/>
      <c r="F25" s="315"/>
      <c r="G25" s="108"/>
      <c r="H25" s="27"/>
      <c r="I25" s="35"/>
      <c r="J25" s="35"/>
      <c r="K25" s="35"/>
      <c r="L25" s="35"/>
      <c r="M25" s="35"/>
      <c r="N25" s="35"/>
      <c r="O25" s="35"/>
      <c r="P25" s="35"/>
      <c r="Q25" s="35"/>
      <c r="R25" s="35"/>
      <c r="S25" s="35"/>
      <c r="T25" s="35"/>
    </row>
    <row r="26" spans="1:20" ht="20" customHeight="1">
      <c r="A26" s="20" t="s">
        <v>651</v>
      </c>
      <c r="B26" s="323"/>
      <c r="C26" s="323">
        <f ca="1">XNPV(C18,C23:G23,C20:G20)</f>
        <v>97390.010862558076</v>
      </c>
      <c r="D26" s="315"/>
      <c r="E26" s="315"/>
      <c r="F26" s="315"/>
      <c r="G26" s="108"/>
      <c r="H26" s="27"/>
      <c r="I26" s="35"/>
      <c r="J26" s="35"/>
      <c r="K26" s="35"/>
      <c r="L26" s="35"/>
      <c r="M26" s="35"/>
      <c r="N26" s="35"/>
      <c r="O26" s="35"/>
      <c r="P26" s="35"/>
      <c r="Q26" s="35"/>
      <c r="R26" s="35"/>
      <c r="S26" s="35"/>
      <c r="T26" s="35"/>
    </row>
    <row r="27" spans="1:20" ht="36">
      <c r="A27" s="327" t="s">
        <v>577</v>
      </c>
      <c r="B27" s="323"/>
      <c r="C27" s="323">
        <f>'FULL Proforma_Revised &amp; DCF'!F50</f>
        <v>507</v>
      </c>
      <c r="D27" s="315"/>
      <c r="E27" s="315"/>
      <c r="F27" s="315"/>
      <c r="G27" s="108"/>
      <c r="H27" s="27"/>
      <c r="I27" s="35"/>
      <c r="J27" s="35"/>
      <c r="K27" s="35"/>
      <c r="L27" s="35"/>
      <c r="M27" s="35"/>
      <c r="N27" s="35"/>
      <c r="O27" s="35"/>
      <c r="P27" s="35"/>
      <c r="Q27" s="35"/>
      <c r="R27" s="35"/>
      <c r="S27" s="35"/>
      <c r="T27" s="35"/>
    </row>
    <row r="28" spans="1:20" ht="20" customHeight="1">
      <c r="A28" s="20" t="s">
        <v>579</v>
      </c>
      <c r="B28" s="323"/>
      <c r="C28" s="323">
        <f>'FULL Proforma_Revised &amp; DCF'!B139</f>
        <v>-11098</v>
      </c>
      <c r="D28" s="315"/>
      <c r="E28" s="315"/>
      <c r="F28" s="315"/>
      <c r="G28" s="108"/>
      <c r="H28" s="27"/>
      <c r="I28" s="35"/>
      <c r="J28" s="35"/>
      <c r="K28" s="35"/>
      <c r="L28" s="35"/>
      <c r="M28" s="35"/>
      <c r="N28" s="35"/>
      <c r="O28" s="35"/>
      <c r="P28" s="35"/>
      <c r="Q28" s="35"/>
      <c r="R28" s="35"/>
      <c r="S28" s="35"/>
      <c r="T28" s="35"/>
    </row>
    <row r="29" spans="1:20" ht="20" customHeight="1">
      <c r="A29" s="20" t="s">
        <v>572</v>
      </c>
      <c r="B29" s="323"/>
      <c r="C29" s="323">
        <f ca="1">C26+C27+C28</f>
        <v>86799.010862558076</v>
      </c>
      <c r="D29" s="18"/>
      <c r="E29" s="18"/>
      <c r="F29" s="18"/>
      <c r="G29" s="108"/>
      <c r="H29" s="27"/>
      <c r="I29" s="35"/>
      <c r="J29" s="35"/>
      <c r="K29" s="35"/>
      <c r="L29" s="35"/>
      <c r="M29" s="35"/>
      <c r="N29" s="35"/>
      <c r="O29" s="35"/>
      <c r="P29" s="35"/>
      <c r="Q29" s="35"/>
      <c r="R29" s="35"/>
      <c r="S29" s="35"/>
      <c r="T29" s="35"/>
    </row>
    <row r="30" spans="1:20" ht="20" customHeight="1" thickBot="1">
      <c r="A30" s="328" t="s">
        <v>578</v>
      </c>
      <c r="B30" s="329"/>
      <c r="C30" s="329">
        <f ca="1">C29/'Multiples Valuation'!C22</f>
        <v>274.24647981850893</v>
      </c>
      <c r="D30" s="18"/>
      <c r="E30" s="18"/>
      <c r="F30" s="18"/>
      <c r="G30" s="108"/>
      <c r="H30" s="27"/>
      <c r="I30" s="35"/>
      <c r="J30" s="35"/>
      <c r="K30" s="35"/>
      <c r="L30" s="35"/>
      <c r="M30" s="35"/>
      <c r="N30" s="35"/>
      <c r="O30" s="35"/>
      <c r="P30" s="35"/>
      <c r="Q30" s="35"/>
      <c r="R30" s="35"/>
      <c r="S30" s="35"/>
      <c r="T30" s="35"/>
    </row>
    <row r="31" spans="1:20" ht="20" customHeight="1" thickTop="1">
      <c r="A31" s="445" t="s">
        <v>682</v>
      </c>
      <c r="B31" s="446"/>
      <c r="C31" s="446">
        <f>AVERAGEIF(B36:L52,"&lt;271.29")</f>
        <v>230.65101034806432</v>
      </c>
      <c r="D31" s="18"/>
      <c r="E31" s="18"/>
      <c r="F31" s="18"/>
      <c r="G31" s="108"/>
      <c r="H31" s="27"/>
      <c r="I31" s="35"/>
      <c r="J31" s="35"/>
      <c r="K31" s="35"/>
      <c r="L31" s="35"/>
      <c r="M31" s="35"/>
      <c r="N31" s="35"/>
      <c r="O31" s="35"/>
      <c r="P31" s="35"/>
      <c r="Q31" s="35"/>
      <c r="R31" s="35"/>
      <c r="S31" s="35"/>
      <c r="T31" s="35"/>
    </row>
    <row r="32" spans="1:20" ht="20" customHeight="1">
      <c r="A32" s="441" t="s">
        <v>683</v>
      </c>
      <c r="B32" s="444"/>
      <c r="C32" s="444">
        <f>AVERAGEIF(B36:L52,"&gt;271.29")</f>
        <v>321.32429991956087</v>
      </c>
      <c r="D32" s="18"/>
      <c r="E32" s="18"/>
      <c r="F32" s="18"/>
      <c r="G32" s="108"/>
      <c r="H32" s="27"/>
      <c r="I32" s="35"/>
      <c r="J32" s="35"/>
      <c r="K32" s="35"/>
      <c r="L32" s="35"/>
      <c r="M32" s="35"/>
      <c r="N32" s="35"/>
      <c r="O32" s="35"/>
      <c r="P32" s="35"/>
      <c r="Q32" s="35"/>
      <c r="R32" s="35"/>
      <c r="S32" s="35"/>
      <c r="T32" s="35"/>
    </row>
    <row r="33" spans="1:20" ht="17">
      <c r="A33" s="108"/>
      <c r="B33" s="108"/>
      <c r="C33" s="108"/>
      <c r="D33" s="108"/>
      <c r="E33" s="108"/>
      <c r="F33" s="108"/>
      <c r="G33" s="108"/>
      <c r="H33" s="27"/>
      <c r="I33" s="35"/>
      <c r="J33" s="35"/>
      <c r="K33" s="35"/>
      <c r="L33" s="35"/>
      <c r="M33" s="35"/>
      <c r="N33" s="35"/>
      <c r="O33" s="35"/>
      <c r="P33" s="35"/>
      <c r="Q33" s="35"/>
      <c r="R33" s="35"/>
      <c r="S33" s="35"/>
      <c r="T33" s="35"/>
    </row>
    <row r="34" spans="1:20" ht="17">
      <c r="A34" s="713" t="s">
        <v>681</v>
      </c>
      <c r="B34" s="713"/>
      <c r="C34" s="713"/>
      <c r="D34" s="713"/>
      <c r="E34" s="713"/>
      <c r="F34" s="713"/>
      <c r="G34" s="713"/>
      <c r="H34" s="713"/>
      <c r="I34" s="713"/>
      <c r="J34" s="713"/>
      <c r="K34" s="713"/>
      <c r="L34" s="713"/>
      <c r="M34" s="35"/>
      <c r="N34" s="35"/>
      <c r="O34" s="35"/>
      <c r="P34" s="35"/>
      <c r="Q34" s="35"/>
      <c r="R34" s="35"/>
      <c r="S34" s="35"/>
      <c r="T34" s="35"/>
    </row>
    <row r="35" spans="1:20">
      <c r="A35" s="428">
        <f ca="1">C30</f>
        <v>274.24647981850893</v>
      </c>
      <c r="B35" s="422">
        <v>1.7500000000000002E-2</v>
      </c>
      <c r="C35" s="422">
        <v>0.02</v>
      </c>
      <c r="D35" s="422">
        <v>2.2499999999999999E-2</v>
      </c>
      <c r="E35" s="422">
        <v>2.5000000000000001E-2</v>
      </c>
      <c r="F35" s="422">
        <v>2.75E-2</v>
      </c>
      <c r="G35" s="422">
        <v>0.03</v>
      </c>
      <c r="H35" s="422">
        <v>3.2500000000000001E-2</v>
      </c>
      <c r="I35" s="422">
        <v>3.5000000000000003E-2</v>
      </c>
      <c r="J35" s="422">
        <v>3.7499999999999999E-2</v>
      </c>
      <c r="K35" s="422">
        <v>0.04</v>
      </c>
      <c r="L35" s="422">
        <v>4.2500000000000003E-2</v>
      </c>
      <c r="M35" s="35"/>
      <c r="N35" s="35"/>
      <c r="O35" s="35"/>
      <c r="P35" s="35"/>
      <c r="Q35" s="35"/>
      <c r="R35" s="35"/>
      <c r="S35" s="35"/>
      <c r="T35" s="35"/>
    </row>
    <row r="36" spans="1:20">
      <c r="A36" s="427">
        <v>0.08</v>
      </c>
      <c r="B36" s="423">
        <f t="dataTable" ref="B36:L52" dt2D="1" dtr="1" r1="C17" r2="C18"/>
        <v>278.33402290299216</v>
      </c>
      <c r="C36" s="423">
        <v>289.22988905436625</v>
      </c>
      <c r="D36" s="423">
        <v>301.07322182759907</v>
      </c>
      <c r="E36" s="424">
        <v>313.99322121658031</v>
      </c>
      <c r="F36" s="424">
        <v>328.14369673784552</v>
      </c>
      <c r="G36" s="424">
        <v>343.70921981123706</v>
      </c>
      <c r="H36" s="424">
        <v>360.91321899761738</v>
      </c>
      <c r="I36" s="424">
        <v>380.02877364915099</v>
      </c>
      <c r="J36" s="424">
        <v>401.39321708321785</v>
      </c>
      <c r="K36" s="425">
        <v>425.42821594654333</v>
      </c>
      <c r="L36" s="425">
        <v>452.66788132497868</v>
      </c>
      <c r="M36" s="35"/>
      <c r="N36" s="35"/>
      <c r="O36" s="35"/>
      <c r="P36" s="35"/>
      <c r="Q36" s="35"/>
      <c r="R36" s="35"/>
      <c r="S36" s="35"/>
      <c r="T36" s="35"/>
    </row>
    <row r="37" spans="1:20">
      <c r="A37" s="427">
        <v>8.2500000000000004E-2</v>
      </c>
      <c r="B37" s="423">
        <v>268.85145063425904</v>
      </c>
      <c r="C37" s="423">
        <v>278.93219956633482</v>
      </c>
      <c r="D37" s="423">
        <v>289.85301090941687</v>
      </c>
      <c r="E37" s="424">
        <v>301.72345802146253</v>
      </c>
      <c r="F37" s="424">
        <v>314.67303668914883</v>
      </c>
      <c r="G37" s="424">
        <v>328.85590856328139</v>
      </c>
      <c r="H37" s="424">
        <v>344.45706762482723</v>
      </c>
      <c r="I37" s="424">
        <v>361.70045395600943</v>
      </c>
      <c r="J37" s="424">
        <v>380.85977210176742</v>
      </c>
      <c r="K37" s="425">
        <v>402.27312767643815</v>
      </c>
      <c r="L37" s="425">
        <v>426.36315269794272</v>
      </c>
      <c r="M37" s="35"/>
      <c r="N37" s="35"/>
      <c r="O37" s="35"/>
      <c r="P37" s="35"/>
      <c r="Q37" s="35"/>
      <c r="R37" s="35"/>
      <c r="S37" s="35"/>
      <c r="T37" s="35"/>
    </row>
    <row r="38" spans="1:20" ht="16" customHeight="1">
      <c r="A38" s="427">
        <v>8.5000000000000006E-2</v>
      </c>
      <c r="B38" s="423">
        <v>260.07124065078779</v>
      </c>
      <c r="C38" s="423">
        <v>269.42658757681625</v>
      </c>
      <c r="D38" s="423">
        <v>279.53036225692711</v>
      </c>
      <c r="E38" s="424">
        <v>290.47611816038039</v>
      </c>
      <c r="F38" s="424">
        <v>302.37367892500367</v>
      </c>
      <c r="G38" s="424">
        <v>315.35283612277448</v>
      </c>
      <c r="H38" s="424">
        <v>329.56810352985678</v>
      </c>
      <c r="I38" s="424">
        <v>345.2048976776473</v>
      </c>
      <c r="J38" s="424">
        <v>362.48767015678425</v>
      </c>
      <c r="K38" s="425">
        <v>381.69075068915856</v>
      </c>
      <c r="L38" s="425">
        <v>403.15301716651811</v>
      </c>
      <c r="M38" s="35"/>
      <c r="N38" s="35"/>
      <c r="O38" s="35"/>
      <c r="P38" s="35"/>
      <c r="Q38" s="35"/>
      <c r="R38" s="35"/>
      <c r="S38" s="35"/>
      <c r="T38" s="35"/>
    </row>
    <row r="39" spans="1:20">
      <c r="A39" s="427">
        <v>8.7499999999999994E-2</v>
      </c>
      <c r="B39" s="423">
        <v>251.91814000300963</v>
      </c>
      <c r="C39" s="423">
        <v>260.62504463313553</v>
      </c>
      <c r="D39" s="423">
        <v>270.00171115788652</v>
      </c>
      <c r="E39" s="424">
        <v>280.12851100461762</v>
      </c>
      <c r="F39" s="424">
        <v>291.09921083857637</v>
      </c>
      <c r="G39" s="424">
        <v>303.02388457114017</v>
      </c>
      <c r="H39" s="424">
        <v>316.03261955211889</v>
      </c>
      <c r="I39" s="424">
        <v>330.28028167414317</v>
      </c>
      <c r="J39" s="424">
        <v>345.95271000836988</v>
      </c>
      <c r="K39" s="425">
        <v>363.27486764093629</v>
      </c>
      <c r="L39" s="425">
        <v>382.52170945489894</v>
      </c>
      <c r="M39" s="35"/>
      <c r="N39" s="35"/>
      <c r="O39" s="35"/>
      <c r="P39" s="35"/>
      <c r="Q39" s="35"/>
      <c r="R39" s="35"/>
      <c r="S39" s="35"/>
      <c r="T39" s="35"/>
    </row>
    <row r="40" spans="1:20">
      <c r="A40" s="427">
        <v>0.09</v>
      </c>
      <c r="B40" s="423">
        <v>244.32727545768356</v>
      </c>
      <c r="C40" s="423">
        <v>252.45213491782781</v>
      </c>
      <c r="D40" s="423">
        <v>261.17883581946415</v>
      </c>
      <c r="E40" s="424">
        <v>270.57682140584171</v>
      </c>
      <c r="F40" s="424">
        <v>280.72664583912967</v>
      </c>
      <c r="G40" s="424">
        <v>291.72228897519153</v>
      </c>
      <c r="H40" s="424">
        <v>303.67407499265011</v>
      </c>
      <c r="I40" s="424">
        <v>316.71238701169574</v>
      </c>
      <c r="J40" s="424">
        <v>330.99244303255529</v>
      </c>
      <c r="K40" s="425">
        <v>346.70050465550088</v>
      </c>
      <c r="L40" s="425">
        <v>364.06204644928272</v>
      </c>
      <c r="M40" s="35"/>
      <c r="N40" s="35"/>
      <c r="O40" s="35"/>
      <c r="P40" s="35"/>
      <c r="Q40" s="35"/>
      <c r="R40" s="35"/>
      <c r="S40" s="35"/>
      <c r="T40" s="35"/>
    </row>
    <row r="41" spans="1:20">
      <c r="A41" s="427">
        <v>9.2499999999999999E-2</v>
      </c>
      <c r="B41" s="424">
        <v>237.24242354518196</v>
      </c>
      <c r="C41" s="424">
        <v>244.84282755291983</v>
      </c>
      <c r="D41" s="424">
        <v>252.98611756121039</v>
      </c>
      <c r="E41" s="424">
        <v>261.73261423678173</v>
      </c>
      <c r="F41" s="424">
        <v>271.15191834893557</v>
      </c>
      <c r="G41" s="424">
        <v>281.32476679006163</v>
      </c>
      <c r="H41" s="424">
        <v>292.3453526012816</v>
      </c>
      <c r="I41" s="424">
        <v>304.32425022217279</v>
      </c>
      <c r="J41" s="424">
        <v>317.39213853587228</v>
      </c>
      <c r="K41" s="425">
        <v>331.70458764135276</v>
      </c>
      <c r="L41" s="425">
        <v>347.44828165738113</v>
      </c>
      <c r="M41" s="35"/>
      <c r="N41" s="35"/>
      <c r="O41" s="35"/>
      <c r="P41" s="35"/>
      <c r="Q41" s="35"/>
      <c r="R41" s="35"/>
      <c r="S41" s="35"/>
      <c r="T41" s="35"/>
    </row>
    <row r="42" spans="1:20">
      <c r="A42" s="427">
        <v>9.5000000000000001E-2</v>
      </c>
      <c r="B42" s="424">
        <v>230.61461543633348</v>
      </c>
      <c r="C42" s="424">
        <v>237.74076244335495</v>
      </c>
      <c r="D42" s="424">
        <v>245.35836786465376</v>
      </c>
      <c r="E42" s="424">
        <v>253.52008795890239</v>
      </c>
      <c r="F42" s="424">
        <v>262.2863799119844</v>
      </c>
      <c r="G42" s="424">
        <v>271.72700201530341</v>
      </c>
      <c r="H42" s="424">
        <v>281.922873886888</v>
      </c>
      <c r="I42" s="424">
        <v>292.96840174777122</v>
      </c>
      <c r="J42" s="424">
        <v>304.97441029220954</v>
      </c>
      <c r="K42" s="425">
        <v>318.07187415886955</v>
      </c>
      <c r="L42" s="425">
        <v>332.41671553663997</v>
      </c>
      <c r="M42" s="35"/>
      <c r="N42" s="35"/>
      <c r="O42" s="35"/>
      <c r="P42" s="35"/>
      <c r="Q42" s="35"/>
      <c r="R42" s="35"/>
      <c r="S42" s="35"/>
      <c r="T42" s="35"/>
    </row>
    <row r="43" spans="1:20">
      <c r="A43" s="427">
        <v>9.7500000000000003E-2</v>
      </c>
      <c r="B43" s="424">
        <v>224.40100340485816</v>
      </c>
      <c r="C43" s="424">
        <v>231.09685176362561</v>
      </c>
      <c r="D43" s="424">
        <v>238.23909001297753</v>
      </c>
      <c r="E43" s="424">
        <v>245.87389641745722</v>
      </c>
      <c r="F43" s="424">
        <v>254.05404613654267</v>
      </c>
      <c r="G43" s="424">
        <v>262.84013287185661</v>
      </c>
      <c r="H43" s="424">
        <v>272.30207243296388</v>
      </c>
      <c r="I43" s="424">
        <v>282.52096715895976</v>
      </c>
      <c r="J43" s="424">
        <v>293.59143644545532</v>
      </c>
      <c r="K43" s="425">
        <v>305.62455523512449</v>
      </c>
      <c r="L43" s="425">
        <v>318.75159391476342</v>
      </c>
      <c r="M43" s="35"/>
      <c r="N43" s="35"/>
      <c r="O43" s="35"/>
      <c r="P43" s="35"/>
      <c r="Q43" s="35"/>
      <c r="R43" s="35"/>
      <c r="S43" s="35"/>
      <c r="T43" s="35"/>
    </row>
    <row r="44" spans="1:20">
      <c r="A44" s="427">
        <v>0.1</v>
      </c>
      <c r="B44" s="424">
        <v>218.56393338754125</v>
      </c>
      <c r="C44" s="423">
        <v>224.86814366566279</v>
      </c>
      <c r="D44" s="426">
        <v>231.57907718753404</v>
      </c>
      <c r="E44" s="426">
        <v>238.73740627753014</v>
      </c>
      <c r="F44" s="426">
        <v>246.38941323580187</v>
      </c>
      <c r="G44" s="426">
        <v>254.58799211966436</v>
      </c>
      <c r="H44" s="426">
        <v>263.3938731430722</v>
      </c>
      <c r="I44" s="426">
        <v>272.87712962981914</v>
      </c>
      <c r="J44" s="424">
        <v>283.11904663550592</v>
      </c>
      <c r="K44" s="425">
        <v>294.21445672499982</v>
      </c>
      <c r="L44" s="425">
        <v>306.27468508314536</v>
      </c>
      <c r="M44" s="35"/>
      <c r="N44" s="35"/>
      <c r="O44" s="35"/>
      <c r="P44" s="35"/>
      <c r="Q44" s="35"/>
      <c r="R44" s="35"/>
      <c r="S44" s="35"/>
      <c r="T44" s="35"/>
    </row>
    <row r="45" spans="1:20">
      <c r="A45" s="427">
        <f ca="1">C18</f>
        <v>0.10249854928626491</v>
      </c>
      <c r="B45" s="424">
        <v>218.56393338754125</v>
      </c>
      <c r="C45" s="424">
        <v>224.86814366566279</v>
      </c>
      <c r="D45" s="424">
        <v>231.57907718753404</v>
      </c>
      <c r="E45" s="424">
        <v>238.73740627753014</v>
      </c>
      <c r="F45" s="424">
        <v>246.38941323580187</v>
      </c>
      <c r="G45" s="424">
        <v>254.58799211966436</v>
      </c>
      <c r="H45" s="424">
        <v>263.3938731430722</v>
      </c>
      <c r="I45" s="424">
        <v>272.87712962981914</v>
      </c>
      <c r="J45" s="424">
        <v>283.11904663550592</v>
      </c>
      <c r="K45" s="425">
        <v>294.21445672499982</v>
      </c>
      <c r="L45" s="425">
        <v>306.27468508314536</v>
      </c>
      <c r="M45" s="35"/>
      <c r="N45" s="35"/>
      <c r="O45" s="35"/>
      <c r="P45" s="35"/>
      <c r="Q45" s="35"/>
      <c r="R45" s="35"/>
      <c r="S45" s="35"/>
      <c r="T45" s="35"/>
    </row>
    <row r="46" spans="1:20">
      <c r="A46" s="427">
        <v>0.105</v>
      </c>
      <c r="B46" s="424">
        <v>207.89031974668572</v>
      </c>
      <c r="C46" s="424">
        <v>213.50979361224762</v>
      </c>
      <c r="D46" s="424">
        <v>219.46984165147995</v>
      </c>
      <c r="E46" s="424">
        <v>225.80239269316428</v>
      </c>
      <c r="F46" s="424">
        <v>232.54349541495731</v>
      </c>
      <c r="G46" s="424">
        <v>239.73400498486984</v>
      </c>
      <c r="H46" s="424">
        <v>247.42041176650054</v>
      </c>
      <c r="I46" s="424">
        <v>255.65584760396192</v>
      </c>
      <c r="J46" s="424">
        <v>264.50131572567966</v>
      </c>
      <c r="K46" s="425">
        <v>274.027204472145</v>
      </c>
      <c r="L46" s="425">
        <v>284.31516431832762</v>
      </c>
    </row>
    <row r="47" spans="1:20">
      <c r="A47" s="427">
        <v>0.1075</v>
      </c>
      <c r="B47" s="424">
        <v>202.99819155054902</v>
      </c>
      <c r="C47" s="423">
        <v>208.31734811106239</v>
      </c>
      <c r="D47" s="426">
        <v>213.94939623395894</v>
      </c>
      <c r="E47" s="426">
        <v>219.92278060672797</v>
      </c>
      <c r="F47" s="426">
        <v>226.26950150279507</v>
      </c>
      <c r="G47" s="426">
        <v>233.02568826312452</v>
      </c>
      <c r="H47" s="426">
        <v>240.23228747414268</v>
      </c>
      <c r="I47" s="426">
        <v>247.93589352729992</v>
      </c>
      <c r="J47" s="424">
        <v>256.18975715568274</v>
      </c>
      <c r="K47" s="425">
        <v>265.05501808987174</v>
      </c>
      <c r="L47" s="425">
        <v>274.60222217284445</v>
      </c>
    </row>
    <row r="48" spans="1:20">
      <c r="A48" s="427">
        <v>0.11</v>
      </c>
      <c r="B48" s="424">
        <v>198.37046700697925</v>
      </c>
      <c r="C48" s="424">
        <v>203.41333507178146</v>
      </c>
      <c r="D48" s="424">
        <v>208.74436702600096</v>
      </c>
      <c r="E48" s="424">
        <v>214.38898909517454</v>
      </c>
      <c r="F48" s="424">
        <v>220.37570947157079</v>
      </c>
      <c r="G48" s="424">
        <v>226.73659987149179</v>
      </c>
      <c r="H48" s="424">
        <v>233.50787029721411</v>
      </c>
      <c r="I48" s="424">
        <v>240.73055875131791</v>
      </c>
      <c r="J48" s="424">
        <v>248.45136365053236</v>
      </c>
      <c r="K48" s="425">
        <v>256.72365461397646</v>
      </c>
      <c r="L48" s="425">
        <v>265.6087078710089</v>
      </c>
    </row>
    <row r="49" spans="1:12">
      <c r="A49" s="427">
        <v>0.1125</v>
      </c>
      <c r="B49" s="424">
        <v>193.98627224943533</v>
      </c>
      <c r="C49" s="423">
        <v>198.77436818760788</v>
      </c>
      <c r="D49" s="426">
        <v>203.82846945567888</v>
      </c>
      <c r="E49" s="426">
        <v>209.17137651049683</v>
      </c>
      <c r="F49" s="426">
        <v>214.8285722155982</v>
      </c>
      <c r="G49" s="426">
        <v>220.82862826646323</v>
      </c>
      <c r="H49" s="426">
        <v>227.20368782050738</v>
      </c>
      <c r="I49" s="426">
        <v>233.99004153932859</v>
      </c>
      <c r="J49" s="424">
        <v>241.22881883940451</v>
      </c>
      <c r="K49" s="425">
        <v>248.9668221601753</v>
      </c>
      <c r="L49" s="425">
        <v>257.25754000385831</v>
      </c>
    </row>
    <row r="50" spans="1:12">
      <c r="A50" s="427">
        <v>0.115</v>
      </c>
      <c r="B50" s="424">
        <v>189.82687432017994</v>
      </c>
      <c r="C50" s="424">
        <v>194.37952286764823</v>
      </c>
      <c r="D50" s="424">
        <v>199.17826052579051</v>
      </c>
      <c r="E50" s="424">
        <v>204.24359472049622</v>
      </c>
      <c r="F50" s="424">
        <v>209.59837658347084</v>
      </c>
      <c r="G50" s="424">
        <v>215.26814561485565</v>
      </c>
      <c r="H50" s="424">
        <v>221.28153701177905</v>
      </c>
      <c r="I50" s="424">
        <v>227.67076537101008</v>
      </c>
      <c r="J50" s="424">
        <v>234.47220201148181</v>
      </c>
      <c r="K50" s="425">
        <v>241.72706776131841</v>
      </c>
      <c r="L50" s="425">
        <v>249.48226908010923</v>
      </c>
    </row>
    <row r="51" spans="1:12">
      <c r="A51" s="427">
        <v>0.11749999999999999</v>
      </c>
      <c r="B51" s="424">
        <v>185.87541355668401</v>
      </c>
      <c r="C51" s="424">
        <v>190.21002063231475</v>
      </c>
      <c r="D51" s="424">
        <v>194.77276492245238</v>
      </c>
      <c r="E51" s="424">
        <v>199.58214403908391</v>
      </c>
      <c r="F51" s="424">
        <v>204.65871088441727</v>
      </c>
      <c r="G51" s="424">
        <v>210.0253672637696</v>
      </c>
      <c r="H51" s="424">
        <v>215.70770931249567</v>
      </c>
      <c r="I51" s="424">
        <v>221.7344357278111</v>
      </c>
      <c r="J51" s="424">
        <v>228.13783254408384</v>
      </c>
      <c r="K51" s="425">
        <v>234.95435173559994</v>
      </c>
      <c r="L51" s="425">
        <v>242.22530553988375</v>
      </c>
    </row>
    <row r="52" spans="1:12">
      <c r="A52" s="427">
        <v>0.12</v>
      </c>
      <c r="B52" s="424">
        <v>182.11667514099585</v>
      </c>
      <c r="C52" s="423">
        <v>186.24896084941651</v>
      </c>
      <c r="D52" s="426">
        <v>190.59315864544851</v>
      </c>
      <c r="E52" s="426">
        <v>195.16599843074542</v>
      </c>
      <c r="F52" s="426">
        <v>199.98601874497729</v>
      </c>
      <c r="G52" s="426">
        <v>205.07381796555535</v>
      </c>
      <c r="H52" s="426">
        <v>210.45234857016641</v>
      </c>
      <c r="I52" s="426">
        <v>216.14726332798995</v>
      </c>
      <c r="J52" s="424">
        <v>222.18732443477242</v>
      </c>
      <c r="K52" s="425">
        <v>228.60488936072886</v>
      </c>
      <c r="L52" s="425">
        <v>235.4364907335212</v>
      </c>
    </row>
    <row r="56" spans="1:12" ht="17">
      <c r="A56" s="656" t="s">
        <v>96</v>
      </c>
      <c r="B56" s="656"/>
      <c r="C56" s="656"/>
      <c r="D56" s="656"/>
      <c r="E56" s="656"/>
      <c r="F56" s="656"/>
      <c r="G56" s="656"/>
    </row>
    <row r="57" spans="1:12">
      <c r="A57" s="178">
        <v>1</v>
      </c>
      <c r="B57" s="724" t="s">
        <v>652</v>
      </c>
      <c r="C57" s="724"/>
      <c r="D57" s="724"/>
      <c r="E57" s="724"/>
      <c r="F57" s="724"/>
      <c r="G57" s="724"/>
    </row>
  </sheetData>
  <mergeCells count="8">
    <mergeCell ref="B57:G57"/>
    <mergeCell ref="A25:C25"/>
    <mergeCell ref="A34:L34"/>
    <mergeCell ref="A1:G1"/>
    <mergeCell ref="A3:G3"/>
    <mergeCell ref="A8:G8"/>
    <mergeCell ref="F4:G5"/>
    <mergeCell ref="A56:G56"/>
  </mergeCells>
  <conditionalFormatting sqref="B36:L52">
    <cfRule type="cellIs" dxfId="1" priority="1" operator="greaterThan">
      <formula>$C$30</formula>
    </cfRule>
  </conditionalFormatting>
  <pageMargins left="0.7" right="0.7" top="0.75" bottom="0.75" header="0.3" footer="0.3"/>
  <pageSetup paperSize="9"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9E986-0F7E-4305-9E2D-748C532672BD}">
  <sheetPr>
    <tabColor rgb="FFFF0000"/>
  </sheetPr>
  <dimension ref="A1:T58"/>
  <sheetViews>
    <sheetView workbookViewId="0">
      <selection activeCell="H11" sqref="H11"/>
    </sheetView>
  </sheetViews>
  <sheetFormatPr baseColWidth="10" defaultColWidth="10.83203125" defaultRowHeight="16"/>
  <cols>
    <col min="1" max="1" width="44.1640625" style="3" customWidth="1"/>
    <col min="2" max="4" width="17.5" style="3" customWidth="1"/>
    <col min="5" max="5" width="18" style="3" bestFit="1" customWidth="1"/>
    <col min="6" max="7" width="17.5" style="3" customWidth="1"/>
    <col min="8" max="16384" width="10.83203125" style="3"/>
  </cols>
  <sheetData>
    <row r="1" spans="1:8" s="73" customFormat="1" ht="25">
      <c r="A1" s="726" t="s">
        <v>644</v>
      </c>
      <c r="B1" s="726"/>
      <c r="C1" s="726"/>
      <c r="D1" s="726"/>
      <c r="E1" s="726"/>
      <c r="F1" s="726"/>
      <c r="G1" s="726"/>
    </row>
    <row r="2" spans="1:8" s="73" customFormat="1"/>
    <row r="3" spans="1:8" s="73" customFormat="1" ht="20" customHeight="1">
      <c r="A3" s="727" t="s">
        <v>95</v>
      </c>
      <c r="B3" s="727"/>
      <c r="C3" s="727"/>
      <c r="D3" s="727"/>
      <c r="E3" s="727"/>
      <c r="F3" s="727"/>
      <c r="G3" s="727"/>
    </row>
    <row r="4" spans="1:8" s="73" customFormat="1" ht="20" customHeight="1">
      <c r="A4" s="181" t="s">
        <v>86</v>
      </c>
      <c r="B4" s="107" t="s">
        <v>87</v>
      </c>
      <c r="C4" s="76"/>
      <c r="D4" s="76"/>
      <c r="E4" s="181" t="s">
        <v>200</v>
      </c>
      <c r="F4" s="728" t="s">
        <v>649</v>
      </c>
      <c r="G4" s="728"/>
    </row>
    <row r="5" spans="1:8" ht="20" customHeight="1">
      <c r="A5" s="181" t="s">
        <v>88</v>
      </c>
      <c r="B5" s="107" t="s">
        <v>85</v>
      </c>
      <c r="C5" s="11"/>
      <c r="D5" s="11"/>
      <c r="E5" s="11"/>
      <c r="F5" s="728"/>
      <c r="G5" s="728"/>
    </row>
    <row r="6" spans="1:8" ht="20" customHeight="1">
      <c r="A6" s="181" t="s">
        <v>89</v>
      </c>
      <c r="B6" s="107" t="s">
        <v>648</v>
      </c>
      <c r="C6" s="11"/>
      <c r="D6" s="11"/>
      <c r="E6" s="11"/>
      <c r="F6" s="11"/>
      <c r="G6" s="11"/>
    </row>
    <row r="7" spans="1:8" s="2" customFormat="1" ht="17">
      <c r="A7" s="20" t="s">
        <v>265</v>
      </c>
      <c r="B7" s="536" t="s">
        <v>1303</v>
      </c>
      <c r="C7" s="537" t="s">
        <v>1304</v>
      </c>
      <c r="D7" s="22"/>
      <c r="E7" s="23"/>
      <c r="F7" s="23"/>
      <c r="G7" s="23"/>
      <c r="H7" s="24"/>
    </row>
    <row r="8" spans="1:8" ht="20" customHeight="1"/>
    <row r="9" spans="1:8" ht="20" customHeight="1">
      <c r="A9" s="656" t="s">
        <v>645</v>
      </c>
      <c r="B9" s="656"/>
      <c r="C9" s="656"/>
      <c r="D9" s="656"/>
      <c r="E9" s="656"/>
      <c r="F9" s="656"/>
      <c r="G9" s="656"/>
      <c r="H9" s="27"/>
    </row>
    <row r="10" spans="1:8" ht="20" customHeight="1">
      <c r="A10" s="317"/>
      <c r="B10" s="317"/>
      <c r="C10" s="317"/>
      <c r="D10" s="317"/>
      <c r="E10" s="317"/>
      <c r="F10" s="317"/>
      <c r="G10" s="317"/>
      <c r="H10" s="27"/>
    </row>
    <row r="11" spans="1:8" ht="20" customHeight="1">
      <c r="A11" s="123" t="s">
        <v>75</v>
      </c>
      <c r="B11" s="26"/>
      <c r="C11" s="317">
        <v>2023</v>
      </c>
      <c r="D11" s="317" t="s">
        <v>378</v>
      </c>
      <c r="E11" s="123" t="s">
        <v>379</v>
      </c>
      <c r="F11" s="123" t="s">
        <v>650</v>
      </c>
      <c r="G11" s="26"/>
      <c r="H11" s="27"/>
    </row>
    <row r="12" spans="1:8" ht="20" customHeight="1">
      <c r="A12" s="181" t="s">
        <v>134</v>
      </c>
      <c r="B12" s="26"/>
      <c r="C12" s="526">
        <v>0.22973515272238387</v>
      </c>
      <c r="D12" s="526">
        <v>9.1363297736570925E-2</v>
      </c>
      <c r="E12" s="525">
        <v>4.1528147123543824E-3</v>
      </c>
      <c r="F12" s="320">
        <v>0.7</v>
      </c>
      <c r="G12" s="26"/>
      <c r="H12" s="27"/>
    </row>
    <row r="13" spans="1:8" ht="20" customHeight="1">
      <c r="A13" s="181" t="s">
        <v>173</v>
      </c>
      <c r="B13" s="26"/>
      <c r="C13" s="526">
        <v>0.30675290302434066</v>
      </c>
      <c r="D13" s="526">
        <v>4.9083316512498865E-2</v>
      </c>
      <c r="E13" s="525">
        <v>7.5992771546960457E-3</v>
      </c>
      <c r="F13" s="320">
        <v>0.3</v>
      </c>
      <c r="G13" s="26"/>
      <c r="H13" s="27"/>
    </row>
    <row r="14" spans="1:8" ht="20" customHeight="1" thickBot="1">
      <c r="A14" s="321" t="s">
        <v>564</v>
      </c>
      <c r="B14" s="321"/>
      <c r="C14" s="322">
        <f>'Revenue Growth'!C23</f>
        <v>3.7699202065036852E-2</v>
      </c>
      <c r="D14" s="318"/>
      <c r="E14" s="319"/>
      <c r="F14" s="320"/>
      <c r="G14" s="26"/>
      <c r="H14" s="27"/>
    </row>
    <row r="15" spans="1:8" ht="20" customHeight="1" thickTop="1">
      <c r="A15" s="119"/>
      <c r="B15" s="119"/>
      <c r="C15" s="314"/>
      <c r="D15" s="311"/>
      <c r="E15" s="312"/>
      <c r="F15" s="313"/>
      <c r="G15" s="27"/>
      <c r="H15" s="27"/>
    </row>
    <row r="16" spans="1:8" ht="20" customHeight="1">
      <c r="A16" s="20" t="s">
        <v>647</v>
      </c>
      <c r="B16" s="11"/>
      <c r="C16" s="323">
        <f>'FULL Proforma_Revised &amp; DCF'!F121</f>
        <v>3282.5211666666664</v>
      </c>
      <c r="D16" s="11"/>
      <c r="E16" s="107"/>
      <c r="F16" s="107"/>
      <c r="G16" s="107"/>
      <c r="H16" s="27"/>
    </row>
    <row r="17" spans="1:20" ht="20" customHeight="1">
      <c r="A17" s="20" t="s">
        <v>646</v>
      </c>
      <c r="B17" s="11"/>
      <c r="C17" s="324">
        <f>D12*F12+D13*F13</f>
        <v>7.8679303369349293E-2</v>
      </c>
      <c r="D17" s="11"/>
      <c r="E17" s="107"/>
      <c r="F17" s="107"/>
      <c r="G17" s="107"/>
      <c r="H17" s="27"/>
    </row>
    <row r="18" spans="1:20" ht="20" customHeight="1">
      <c r="A18" s="20" t="s">
        <v>575</v>
      </c>
      <c r="B18" s="11"/>
      <c r="C18" s="324">
        <f>C14</f>
        <v>3.7699202065036852E-2</v>
      </c>
      <c r="D18" s="11"/>
      <c r="E18" s="107"/>
      <c r="F18" s="107"/>
      <c r="G18" s="107"/>
      <c r="H18" s="27"/>
    </row>
    <row r="19" spans="1:20" ht="20" customHeight="1">
      <c r="A19" s="20" t="s">
        <v>576</v>
      </c>
      <c r="B19" s="11"/>
      <c r="C19" s="529">
        <v>0.10249854928626491</v>
      </c>
      <c r="D19" s="11"/>
      <c r="E19" s="107"/>
      <c r="F19" s="107"/>
      <c r="G19" s="107"/>
      <c r="H19" s="27"/>
    </row>
    <row r="20" spans="1:20" ht="20" customHeight="1">
      <c r="A20" s="18"/>
      <c r="B20" s="316"/>
      <c r="C20" s="108"/>
      <c r="D20" s="108"/>
      <c r="E20" s="108"/>
      <c r="F20" s="108"/>
      <c r="G20" s="108"/>
      <c r="H20" s="27"/>
    </row>
    <row r="21" spans="1:20" ht="20" customHeight="1">
      <c r="A21" s="325" t="s">
        <v>565</v>
      </c>
      <c r="B21" s="325"/>
      <c r="C21" s="325">
        <v>2023</v>
      </c>
      <c r="D21" s="325">
        <v>2024</v>
      </c>
      <c r="E21" s="325">
        <v>2025</v>
      </c>
      <c r="F21" s="325">
        <v>2026</v>
      </c>
      <c r="G21" s="325">
        <v>2027</v>
      </c>
      <c r="H21" s="27"/>
    </row>
    <row r="22" spans="1:20" ht="20" customHeight="1">
      <c r="A22" s="20" t="s">
        <v>566</v>
      </c>
      <c r="B22" s="323"/>
      <c r="C22" s="323">
        <f>C16*(1+C17)</f>
        <v>3540.7876453551435</v>
      </c>
      <c r="D22" s="323">
        <f>C22*(1+$C$17)</f>
        <v>3819.374350670485</v>
      </c>
      <c r="E22" s="323">
        <f>D22*(1+$C$17)</f>
        <v>4119.8800638880002</v>
      </c>
      <c r="F22" s="323">
        <f>E22*(1+$C$17)</f>
        <v>4444.0293572799783</v>
      </c>
      <c r="G22" s="323">
        <f>F22*(1+$C$17)</f>
        <v>4793.6824912637039</v>
      </c>
      <c r="H22" s="27"/>
    </row>
    <row r="23" spans="1:20" ht="20" customHeight="1">
      <c r="A23" s="20" t="s">
        <v>567</v>
      </c>
      <c r="B23" s="323"/>
      <c r="C23" s="323"/>
      <c r="D23" s="323"/>
      <c r="E23" s="323"/>
      <c r="F23" s="323"/>
      <c r="G23" s="323">
        <f>G22*(1+C18)/(C19-C18)</f>
        <v>76766.213078576911</v>
      </c>
      <c r="H23" s="27"/>
    </row>
    <row r="24" spans="1:20" ht="20" customHeight="1" thickBot="1">
      <c r="A24" s="328" t="s">
        <v>568</v>
      </c>
      <c r="B24" s="326"/>
      <c r="C24" s="326">
        <f>C22+C23</f>
        <v>3540.7876453551435</v>
      </c>
      <c r="D24" s="326">
        <f>D22+D23</f>
        <v>3819.374350670485</v>
      </c>
      <c r="E24" s="326">
        <f>E22+E23</f>
        <v>4119.8800638880002</v>
      </c>
      <c r="F24" s="326">
        <f>F22+F23</f>
        <v>4444.0293572799783</v>
      </c>
      <c r="G24" s="326">
        <f>G22+G23</f>
        <v>81559.895569840621</v>
      </c>
      <c r="H24" s="27"/>
    </row>
    <row r="25" spans="1:20" ht="20" customHeight="1" thickTop="1">
      <c r="A25" s="18"/>
      <c r="B25" s="315"/>
      <c r="C25" s="315"/>
      <c r="D25" s="315"/>
      <c r="E25" s="315"/>
      <c r="F25" s="315"/>
      <c r="G25" s="315"/>
      <c r="H25" s="27"/>
    </row>
    <row r="26" spans="1:20" ht="20" customHeight="1">
      <c r="A26" s="725" t="s">
        <v>657</v>
      </c>
      <c r="B26" s="725"/>
      <c r="C26" s="725"/>
      <c r="D26" s="315"/>
      <c r="E26" s="315"/>
      <c r="F26" s="315"/>
      <c r="G26" s="108"/>
      <c r="H26" s="27"/>
      <c r="I26" s="35"/>
      <c r="J26" s="35"/>
      <c r="K26" s="35"/>
      <c r="L26" s="35"/>
      <c r="M26" s="35"/>
      <c r="N26" s="35"/>
      <c r="O26" s="35"/>
      <c r="P26" s="35"/>
      <c r="Q26" s="35"/>
      <c r="R26" s="35"/>
      <c r="S26" s="35"/>
      <c r="T26" s="35"/>
    </row>
    <row r="27" spans="1:20" ht="20" customHeight="1">
      <c r="A27" s="20" t="s">
        <v>651</v>
      </c>
      <c r="B27" s="323"/>
      <c r="C27" s="323">
        <f>XNPV(C19,C24:G24,C21:G21)</f>
        <v>97390.010862558076</v>
      </c>
      <c r="D27" s="315"/>
      <c r="E27" s="315"/>
      <c r="F27" s="315"/>
      <c r="G27" s="108"/>
      <c r="H27" s="27"/>
      <c r="I27" s="35"/>
      <c r="J27" s="35"/>
      <c r="K27" s="35"/>
      <c r="L27" s="35"/>
      <c r="M27" s="35"/>
      <c r="N27" s="35"/>
      <c r="O27" s="35"/>
      <c r="P27" s="35"/>
      <c r="Q27" s="35"/>
      <c r="R27" s="35"/>
      <c r="S27" s="35"/>
      <c r="T27" s="35"/>
    </row>
    <row r="28" spans="1:20" ht="20" customHeight="1">
      <c r="A28" s="327" t="s">
        <v>577</v>
      </c>
      <c r="B28" s="323"/>
      <c r="C28" s="323">
        <f>'FULL Proforma_Revised &amp; DCF'!F50</f>
        <v>507</v>
      </c>
      <c r="D28" s="315"/>
      <c r="E28" s="315"/>
      <c r="F28" s="315"/>
      <c r="G28" s="108"/>
      <c r="H28" s="27"/>
      <c r="I28" s="35"/>
      <c r="J28" s="35"/>
      <c r="K28" s="35"/>
      <c r="L28" s="35"/>
      <c r="M28" s="35"/>
      <c r="N28" s="35"/>
      <c r="O28" s="35"/>
      <c r="P28" s="35"/>
      <c r="Q28" s="35"/>
      <c r="R28" s="35"/>
      <c r="S28" s="35"/>
      <c r="T28" s="35"/>
    </row>
    <row r="29" spans="1:20" ht="20" customHeight="1">
      <c r="A29" s="20" t="s">
        <v>579</v>
      </c>
      <c r="B29" s="323"/>
      <c r="C29" s="323">
        <f>'FULL Proforma_Revised &amp; DCF'!B139</f>
        <v>-11098</v>
      </c>
      <c r="D29" s="315"/>
      <c r="E29" s="315"/>
      <c r="F29" s="315"/>
      <c r="G29" s="108"/>
      <c r="H29" s="27"/>
      <c r="I29" s="35"/>
      <c r="J29" s="35"/>
      <c r="K29" s="35"/>
      <c r="L29" s="35"/>
      <c r="M29" s="35"/>
      <c r="N29" s="35"/>
      <c r="O29" s="35"/>
      <c r="P29" s="35"/>
      <c r="Q29" s="35"/>
      <c r="R29" s="35"/>
      <c r="S29" s="35"/>
      <c r="T29" s="35"/>
    </row>
    <row r="30" spans="1:20" ht="20" customHeight="1">
      <c r="A30" s="20" t="s">
        <v>572</v>
      </c>
      <c r="B30" s="323"/>
      <c r="C30" s="323">
        <f>C27+C28+C29</f>
        <v>86799.010862558076</v>
      </c>
      <c r="D30" s="18"/>
      <c r="E30" s="18"/>
      <c r="F30" s="18"/>
      <c r="G30" s="108"/>
      <c r="H30" s="27"/>
      <c r="I30" s="35"/>
      <c r="J30" s="35"/>
      <c r="K30" s="35"/>
      <c r="L30" s="35"/>
      <c r="M30" s="35"/>
      <c r="N30" s="35"/>
      <c r="O30" s="35"/>
      <c r="P30" s="35"/>
      <c r="Q30" s="35"/>
      <c r="R30" s="35"/>
      <c r="S30" s="35"/>
      <c r="T30" s="35"/>
    </row>
    <row r="31" spans="1:20" ht="20" customHeight="1" thickBot="1">
      <c r="A31" s="328" t="s">
        <v>786</v>
      </c>
      <c r="B31" s="329"/>
      <c r="C31" s="528">
        <f>C30/'Multiples Valuation'!C22</f>
        <v>274.24647981850893</v>
      </c>
      <c r="D31" s="18"/>
      <c r="E31" s="18"/>
      <c r="F31" s="18"/>
      <c r="G31" s="108"/>
      <c r="H31" s="27"/>
      <c r="I31" s="35"/>
      <c r="J31" s="35"/>
      <c r="K31" s="35"/>
      <c r="L31" s="35"/>
      <c r="M31" s="35"/>
      <c r="N31" s="35"/>
      <c r="O31" s="35"/>
      <c r="P31" s="35"/>
      <c r="Q31" s="35"/>
      <c r="R31" s="35"/>
      <c r="S31" s="35"/>
      <c r="T31" s="35"/>
    </row>
    <row r="32" spans="1:20" ht="20" customHeight="1" thickTop="1">
      <c r="A32" s="445" t="s">
        <v>682</v>
      </c>
      <c r="B32" s="446"/>
      <c r="C32" s="446">
        <f>AVERAGEIF(B37:L53,"&lt;271.29")</f>
        <v>230.65101034806432</v>
      </c>
      <c r="D32" s="18"/>
      <c r="E32" s="18"/>
      <c r="F32" s="18"/>
      <c r="G32" s="108"/>
      <c r="H32" s="27"/>
      <c r="I32" s="35"/>
      <c r="J32" s="35"/>
      <c r="K32" s="35"/>
      <c r="L32" s="35"/>
      <c r="M32" s="35"/>
      <c r="N32" s="35"/>
      <c r="O32" s="35"/>
      <c r="P32" s="35"/>
      <c r="Q32" s="35"/>
      <c r="R32" s="35"/>
      <c r="S32" s="35"/>
      <c r="T32" s="35"/>
    </row>
    <row r="33" spans="1:20" ht="20" customHeight="1">
      <c r="A33" s="441" t="s">
        <v>683</v>
      </c>
      <c r="B33" s="444"/>
      <c r="C33" s="444">
        <f>AVERAGEIF(B37:L53,"&gt;271.29")</f>
        <v>321.32429991956087</v>
      </c>
      <c r="D33" s="18"/>
      <c r="E33" s="18"/>
      <c r="F33" s="18"/>
      <c r="G33" s="108"/>
      <c r="H33" s="27"/>
      <c r="I33" s="35"/>
      <c r="J33" s="35"/>
      <c r="K33" s="35"/>
      <c r="L33" s="35"/>
      <c r="M33" s="35"/>
      <c r="N33" s="35"/>
      <c r="O33" s="35"/>
      <c r="P33" s="35"/>
      <c r="Q33" s="35"/>
      <c r="R33" s="35"/>
      <c r="S33" s="35"/>
      <c r="T33" s="35"/>
    </row>
    <row r="34" spans="1:20" ht="17">
      <c r="A34" s="108"/>
      <c r="B34" s="108"/>
      <c r="C34" s="108"/>
      <c r="D34" s="108"/>
      <c r="E34" s="108"/>
      <c r="F34" s="108"/>
      <c r="G34" s="108"/>
      <c r="H34" s="27"/>
      <c r="I34" s="35"/>
      <c r="J34" s="35"/>
      <c r="K34" s="35"/>
      <c r="L34" s="35"/>
      <c r="M34" s="35"/>
      <c r="N34" s="35"/>
      <c r="O34" s="35"/>
      <c r="P34" s="35"/>
      <c r="Q34" s="35"/>
      <c r="R34" s="35"/>
      <c r="S34" s="35"/>
      <c r="T34" s="35"/>
    </row>
    <row r="35" spans="1:20" ht="17">
      <c r="A35" s="713" t="s">
        <v>681</v>
      </c>
      <c r="B35" s="713"/>
      <c r="C35" s="713"/>
      <c r="D35" s="713"/>
      <c r="E35" s="713"/>
      <c r="F35" s="713"/>
      <c r="G35" s="713"/>
      <c r="H35" s="713"/>
      <c r="I35" s="713"/>
      <c r="J35" s="713"/>
      <c r="K35" s="713"/>
      <c r="L35" s="713"/>
      <c r="M35" s="35"/>
      <c r="N35" s="35"/>
      <c r="O35" s="35"/>
      <c r="P35" s="35"/>
      <c r="Q35" s="35"/>
      <c r="R35" s="35"/>
      <c r="S35" s="35"/>
      <c r="T35" s="35"/>
    </row>
    <row r="36" spans="1:20">
      <c r="A36" s="428">
        <f>C31</f>
        <v>274.24647981850893</v>
      </c>
      <c r="B36" s="422">
        <v>1.7500000000000002E-2</v>
      </c>
      <c r="C36" s="422">
        <v>0.02</v>
      </c>
      <c r="D36" s="422">
        <v>2.2499999999999999E-2</v>
      </c>
      <c r="E36" s="422">
        <v>2.5000000000000001E-2</v>
      </c>
      <c r="F36" s="422">
        <v>2.75E-2</v>
      </c>
      <c r="G36" s="422">
        <v>0.03</v>
      </c>
      <c r="H36" s="422">
        <v>3.2500000000000001E-2</v>
      </c>
      <c r="I36" s="422">
        <v>3.5000000000000003E-2</v>
      </c>
      <c r="J36" s="422">
        <v>3.7499999999999999E-2</v>
      </c>
      <c r="K36" s="422">
        <v>0.04</v>
      </c>
      <c r="L36" s="422">
        <v>4.2500000000000003E-2</v>
      </c>
      <c r="M36" s="35"/>
      <c r="N36" s="35"/>
      <c r="O36" s="35"/>
      <c r="P36" s="35"/>
      <c r="Q36" s="35"/>
      <c r="R36" s="35"/>
      <c r="S36" s="35"/>
      <c r="T36" s="35"/>
    </row>
    <row r="37" spans="1:20">
      <c r="A37" s="427">
        <v>0.08</v>
      </c>
      <c r="B37" s="423">
        <f t="dataTable" ref="B37:L53" dt2D="1" dtr="1" r1="C18" r2="C19"/>
        <v>278.33402290299216</v>
      </c>
      <c r="C37" s="423">
        <v>289.22988905436625</v>
      </c>
      <c r="D37" s="423">
        <v>301.07322182759907</v>
      </c>
      <c r="E37" s="424">
        <v>313.99322121658031</v>
      </c>
      <c r="F37" s="424">
        <v>328.14369673784552</v>
      </c>
      <c r="G37" s="424">
        <v>343.70921981123706</v>
      </c>
      <c r="H37" s="424">
        <v>360.91321899761738</v>
      </c>
      <c r="I37" s="424">
        <v>380.02877364915099</v>
      </c>
      <c r="J37" s="424">
        <v>401.39321708321785</v>
      </c>
      <c r="K37" s="425">
        <v>425.42821594654333</v>
      </c>
      <c r="L37" s="425">
        <v>452.66788132497868</v>
      </c>
      <c r="M37" s="35"/>
      <c r="N37" s="35"/>
      <c r="O37" s="35"/>
      <c r="P37" s="35"/>
      <c r="Q37" s="35"/>
      <c r="R37" s="35"/>
      <c r="S37" s="35"/>
      <c r="T37" s="35"/>
    </row>
    <row r="38" spans="1:20">
      <c r="A38" s="427">
        <v>8.2500000000000004E-2</v>
      </c>
      <c r="B38" s="423">
        <v>268.85145063425904</v>
      </c>
      <c r="C38" s="423">
        <v>278.93219956633482</v>
      </c>
      <c r="D38" s="423">
        <v>289.85301090941687</v>
      </c>
      <c r="E38" s="424">
        <v>301.72345802146253</v>
      </c>
      <c r="F38" s="424">
        <v>314.67303668914883</v>
      </c>
      <c r="G38" s="424">
        <v>328.85590856328139</v>
      </c>
      <c r="H38" s="424">
        <v>344.45706762482723</v>
      </c>
      <c r="I38" s="424">
        <v>361.70045395600943</v>
      </c>
      <c r="J38" s="424">
        <v>380.85977210176742</v>
      </c>
      <c r="K38" s="425">
        <v>402.27312767643815</v>
      </c>
      <c r="L38" s="425">
        <v>426.36315269794272</v>
      </c>
      <c r="M38" s="35"/>
      <c r="N38" s="35"/>
      <c r="O38" s="35"/>
      <c r="P38" s="35"/>
      <c r="Q38" s="35"/>
      <c r="R38" s="35"/>
      <c r="S38" s="35"/>
      <c r="T38" s="35"/>
    </row>
    <row r="39" spans="1:20" ht="16" customHeight="1">
      <c r="A39" s="427">
        <v>8.5000000000000006E-2</v>
      </c>
      <c r="B39" s="423">
        <v>260.07124065078779</v>
      </c>
      <c r="C39" s="423">
        <v>269.42658757681625</v>
      </c>
      <c r="D39" s="423">
        <v>279.53036225692711</v>
      </c>
      <c r="E39" s="424">
        <v>290.47611816038039</v>
      </c>
      <c r="F39" s="424">
        <v>302.37367892500367</v>
      </c>
      <c r="G39" s="424">
        <v>315.35283612277448</v>
      </c>
      <c r="H39" s="424">
        <v>329.56810352985678</v>
      </c>
      <c r="I39" s="424">
        <v>345.2048976776473</v>
      </c>
      <c r="J39" s="424">
        <v>362.48767015678425</v>
      </c>
      <c r="K39" s="425">
        <v>381.69075068915856</v>
      </c>
      <c r="L39" s="425">
        <v>403.15301716651811</v>
      </c>
      <c r="M39" s="35"/>
      <c r="N39" s="35"/>
      <c r="O39" s="35"/>
      <c r="P39" s="35"/>
      <c r="Q39" s="35"/>
      <c r="R39" s="35"/>
      <c r="S39" s="35"/>
      <c r="T39" s="35"/>
    </row>
    <row r="40" spans="1:20">
      <c r="A40" s="427">
        <v>8.7499999999999994E-2</v>
      </c>
      <c r="B40" s="423">
        <v>251.91814000300963</v>
      </c>
      <c r="C40" s="423">
        <v>260.62504463313553</v>
      </c>
      <c r="D40" s="423">
        <v>270.00171115788652</v>
      </c>
      <c r="E40" s="424">
        <v>280.12851100461762</v>
      </c>
      <c r="F40" s="424">
        <v>291.09921083857637</v>
      </c>
      <c r="G40" s="424">
        <v>303.02388457114017</v>
      </c>
      <c r="H40" s="424">
        <v>316.03261955211889</v>
      </c>
      <c r="I40" s="424">
        <v>330.28028167414317</v>
      </c>
      <c r="J40" s="424">
        <v>345.95271000836988</v>
      </c>
      <c r="K40" s="425">
        <v>363.27486764093629</v>
      </c>
      <c r="L40" s="425">
        <v>382.52170945489894</v>
      </c>
      <c r="M40" s="35"/>
      <c r="N40" s="35"/>
      <c r="O40" s="35"/>
      <c r="P40" s="35"/>
      <c r="Q40" s="35"/>
      <c r="R40" s="35"/>
      <c r="S40" s="35"/>
      <c r="T40" s="35"/>
    </row>
    <row r="41" spans="1:20">
      <c r="A41" s="427">
        <v>0.09</v>
      </c>
      <c r="B41" s="423">
        <v>244.32727545768356</v>
      </c>
      <c r="C41" s="423">
        <v>252.45213491782781</v>
      </c>
      <c r="D41" s="423">
        <v>261.17883581946415</v>
      </c>
      <c r="E41" s="424">
        <v>270.57682140584171</v>
      </c>
      <c r="F41" s="424">
        <v>280.72664583912967</v>
      </c>
      <c r="G41" s="424">
        <v>291.72228897519153</v>
      </c>
      <c r="H41" s="424">
        <v>303.67407499265011</v>
      </c>
      <c r="I41" s="424">
        <v>316.71238701169574</v>
      </c>
      <c r="J41" s="424">
        <v>330.99244303255529</v>
      </c>
      <c r="K41" s="425">
        <v>346.70050465550088</v>
      </c>
      <c r="L41" s="425">
        <v>364.06204644928272</v>
      </c>
      <c r="M41" s="35"/>
      <c r="N41" s="35"/>
      <c r="O41" s="35"/>
      <c r="P41" s="35"/>
      <c r="Q41" s="35"/>
      <c r="R41" s="35"/>
      <c r="S41" s="35"/>
      <c r="T41" s="35"/>
    </row>
    <row r="42" spans="1:20">
      <c r="A42" s="427">
        <v>9.2499999999999999E-2</v>
      </c>
      <c r="B42" s="424">
        <v>237.24242354518196</v>
      </c>
      <c r="C42" s="424">
        <v>244.84282755291983</v>
      </c>
      <c r="D42" s="424">
        <v>252.98611756121039</v>
      </c>
      <c r="E42" s="424">
        <v>261.73261423678173</v>
      </c>
      <c r="F42" s="424">
        <v>271.15191834893557</v>
      </c>
      <c r="G42" s="424">
        <v>281.32476679006163</v>
      </c>
      <c r="H42" s="424">
        <v>292.3453526012816</v>
      </c>
      <c r="I42" s="424">
        <v>304.32425022217279</v>
      </c>
      <c r="J42" s="424">
        <v>317.39213853587228</v>
      </c>
      <c r="K42" s="425">
        <v>331.70458764135276</v>
      </c>
      <c r="L42" s="425">
        <v>347.44828165738113</v>
      </c>
      <c r="M42" s="35"/>
      <c r="N42" s="35"/>
      <c r="O42" s="35"/>
      <c r="P42" s="35"/>
      <c r="Q42" s="35"/>
      <c r="R42" s="35"/>
      <c r="S42" s="35"/>
      <c r="T42" s="35"/>
    </row>
    <row r="43" spans="1:20">
      <c r="A43" s="427">
        <v>9.5000000000000001E-2</v>
      </c>
      <c r="B43" s="424">
        <v>230.61461543633348</v>
      </c>
      <c r="C43" s="424">
        <v>237.74076244335495</v>
      </c>
      <c r="D43" s="424">
        <v>245.35836786465376</v>
      </c>
      <c r="E43" s="424">
        <v>253.52008795890239</v>
      </c>
      <c r="F43" s="424">
        <v>262.2863799119844</v>
      </c>
      <c r="G43" s="424">
        <v>271.72700201530341</v>
      </c>
      <c r="H43" s="424">
        <v>281.922873886888</v>
      </c>
      <c r="I43" s="424">
        <v>292.96840174777122</v>
      </c>
      <c r="J43" s="424">
        <v>304.97441029220954</v>
      </c>
      <c r="K43" s="425">
        <v>318.07187415886955</v>
      </c>
      <c r="L43" s="425">
        <v>332.41671553663997</v>
      </c>
      <c r="M43" s="35"/>
      <c r="N43" s="35"/>
      <c r="O43" s="35"/>
      <c r="P43" s="35"/>
      <c r="Q43" s="35"/>
      <c r="R43" s="35"/>
      <c r="S43" s="35"/>
      <c r="T43" s="35"/>
    </row>
    <row r="44" spans="1:20">
      <c r="A44" s="427">
        <v>9.7500000000000003E-2</v>
      </c>
      <c r="B44" s="424">
        <v>224.40100340485816</v>
      </c>
      <c r="C44" s="424">
        <v>231.09685176362561</v>
      </c>
      <c r="D44" s="424">
        <v>238.23909001297753</v>
      </c>
      <c r="E44" s="424">
        <v>245.87389641745722</v>
      </c>
      <c r="F44" s="424">
        <v>254.05404613654267</v>
      </c>
      <c r="G44" s="424">
        <v>262.84013287185661</v>
      </c>
      <c r="H44" s="424">
        <v>272.30207243296388</v>
      </c>
      <c r="I44" s="424">
        <v>282.52096715895976</v>
      </c>
      <c r="J44" s="424">
        <v>293.59143644545532</v>
      </c>
      <c r="K44" s="425">
        <v>305.62455523512449</v>
      </c>
      <c r="L44" s="425">
        <v>318.75159391476342</v>
      </c>
      <c r="M44" s="35"/>
      <c r="N44" s="35"/>
      <c r="O44" s="35"/>
      <c r="P44" s="35"/>
      <c r="Q44" s="35"/>
      <c r="R44" s="35"/>
      <c r="S44" s="35"/>
      <c r="T44" s="35"/>
    </row>
    <row r="45" spans="1:20">
      <c r="A45" s="427">
        <v>0.1</v>
      </c>
      <c r="B45" s="424">
        <v>218.56393338754125</v>
      </c>
      <c r="C45" s="423">
        <v>224.86814366566279</v>
      </c>
      <c r="D45" s="426">
        <v>231.57907718753404</v>
      </c>
      <c r="E45" s="426">
        <v>238.73740627753014</v>
      </c>
      <c r="F45" s="426">
        <v>246.38941323580187</v>
      </c>
      <c r="G45" s="426">
        <v>254.58799211966436</v>
      </c>
      <c r="H45" s="426">
        <v>263.3938731430722</v>
      </c>
      <c r="I45" s="426">
        <v>272.87712962981914</v>
      </c>
      <c r="J45" s="424">
        <v>283.11904663550592</v>
      </c>
      <c r="K45" s="425">
        <v>294.21445672499982</v>
      </c>
      <c r="L45" s="425">
        <v>306.27468508314536</v>
      </c>
      <c r="M45" s="35"/>
      <c r="N45" s="35"/>
      <c r="O45" s="35"/>
      <c r="P45" s="35"/>
      <c r="Q45" s="35"/>
      <c r="R45" s="35"/>
      <c r="S45" s="35"/>
      <c r="T45" s="35"/>
    </row>
    <row r="46" spans="1:20">
      <c r="A46" s="427">
        <f>C19</f>
        <v>0.10249854928626491</v>
      </c>
      <c r="B46" s="424">
        <v>218.56393338754125</v>
      </c>
      <c r="C46" s="424">
        <v>224.86814366566279</v>
      </c>
      <c r="D46" s="424">
        <v>231.57907718753404</v>
      </c>
      <c r="E46" s="424">
        <v>238.73740627753014</v>
      </c>
      <c r="F46" s="424">
        <v>246.38941323580187</v>
      </c>
      <c r="G46" s="424">
        <v>254.58799211966436</v>
      </c>
      <c r="H46" s="424">
        <v>263.3938731430722</v>
      </c>
      <c r="I46" s="424">
        <v>272.87712962981914</v>
      </c>
      <c r="J46" s="424">
        <v>283.11904663550592</v>
      </c>
      <c r="K46" s="425">
        <v>294.21445672499982</v>
      </c>
      <c r="L46" s="425">
        <v>306.27468508314536</v>
      </c>
      <c r="M46" s="35"/>
      <c r="N46" s="35"/>
      <c r="O46" s="35"/>
      <c r="P46" s="35"/>
      <c r="Q46" s="35"/>
      <c r="R46" s="35"/>
      <c r="S46" s="35"/>
      <c r="T46" s="35"/>
    </row>
    <row r="47" spans="1:20">
      <c r="A47" s="427">
        <v>0.105</v>
      </c>
      <c r="B47" s="424">
        <v>207.89031974668572</v>
      </c>
      <c r="C47" s="424">
        <v>213.50979361224762</v>
      </c>
      <c r="D47" s="424">
        <v>219.46984165147995</v>
      </c>
      <c r="E47" s="424">
        <v>225.80239269316428</v>
      </c>
      <c r="F47" s="424">
        <v>232.54349541495731</v>
      </c>
      <c r="G47" s="424">
        <v>239.73400498486984</v>
      </c>
      <c r="H47" s="424">
        <v>247.42041176650054</v>
      </c>
      <c r="I47" s="424">
        <v>255.65584760396192</v>
      </c>
      <c r="J47" s="424">
        <v>264.50131572567966</v>
      </c>
      <c r="K47" s="425">
        <v>274.027204472145</v>
      </c>
      <c r="L47" s="425">
        <v>284.31516431832762</v>
      </c>
    </row>
    <row r="48" spans="1:20">
      <c r="A48" s="427">
        <v>0.1075</v>
      </c>
      <c r="B48" s="424">
        <v>202.99819155054902</v>
      </c>
      <c r="C48" s="423">
        <v>208.31734811106239</v>
      </c>
      <c r="D48" s="426">
        <v>213.94939623395894</v>
      </c>
      <c r="E48" s="426">
        <v>219.92278060672797</v>
      </c>
      <c r="F48" s="426">
        <v>226.26950150279507</v>
      </c>
      <c r="G48" s="426">
        <v>233.02568826312452</v>
      </c>
      <c r="H48" s="426">
        <v>240.23228747414268</v>
      </c>
      <c r="I48" s="426">
        <v>247.93589352729992</v>
      </c>
      <c r="J48" s="424">
        <v>256.18975715568274</v>
      </c>
      <c r="K48" s="425">
        <v>265.05501808987174</v>
      </c>
      <c r="L48" s="425">
        <v>274.60222217284445</v>
      </c>
    </row>
    <row r="49" spans="1:12">
      <c r="A49" s="427">
        <v>0.11</v>
      </c>
      <c r="B49" s="424">
        <v>198.37046700697925</v>
      </c>
      <c r="C49" s="424">
        <v>203.41333507178146</v>
      </c>
      <c r="D49" s="424">
        <v>208.74436702600096</v>
      </c>
      <c r="E49" s="424">
        <v>214.38898909517454</v>
      </c>
      <c r="F49" s="424">
        <v>220.37570947157079</v>
      </c>
      <c r="G49" s="424">
        <v>226.73659987149179</v>
      </c>
      <c r="H49" s="424">
        <v>233.50787029721411</v>
      </c>
      <c r="I49" s="424">
        <v>240.73055875131791</v>
      </c>
      <c r="J49" s="424">
        <v>248.45136365053236</v>
      </c>
      <c r="K49" s="425">
        <v>256.72365461397646</v>
      </c>
      <c r="L49" s="425">
        <v>265.6087078710089</v>
      </c>
    </row>
    <row r="50" spans="1:12">
      <c r="A50" s="427">
        <v>0.1125</v>
      </c>
      <c r="B50" s="424">
        <v>193.98627224943533</v>
      </c>
      <c r="C50" s="423">
        <v>198.77436818760788</v>
      </c>
      <c r="D50" s="426">
        <v>203.82846945567888</v>
      </c>
      <c r="E50" s="426">
        <v>209.17137651049683</v>
      </c>
      <c r="F50" s="426">
        <v>214.8285722155982</v>
      </c>
      <c r="G50" s="426">
        <v>220.82862826646323</v>
      </c>
      <c r="H50" s="426">
        <v>227.20368782050738</v>
      </c>
      <c r="I50" s="426">
        <v>233.99004153932859</v>
      </c>
      <c r="J50" s="424">
        <v>241.22881883940451</v>
      </c>
      <c r="K50" s="425">
        <v>248.9668221601753</v>
      </c>
      <c r="L50" s="425">
        <v>257.25754000385831</v>
      </c>
    </row>
    <row r="51" spans="1:12">
      <c r="A51" s="427">
        <v>0.115</v>
      </c>
      <c r="B51" s="424">
        <v>189.82687432017994</v>
      </c>
      <c r="C51" s="424">
        <v>194.37952286764823</v>
      </c>
      <c r="D51" s="424">
        <v>199.17826052579051</v>
      </c>
      <c r="E51" s="424">
        <v>204.24359472049622</v>
      </c>
      <c r="F51" s="424">
        <v>209.59837658347084</v>
      </c>
      <c r="G51" s="424">
        <v>215.26814561485565</v>
      </c>
      <c r="H51" s="424">
        <v>221.28153701177905</v>
      </c>
      <c r="I51" s="424">
        <v>227.67076537101008</v>
      </c>
      <c r="J51" s="424">
        <v>234.47220201148181</v>
      </c>
      <c r="K51" s="425">
        <v>241.72706776131841</v>
      </c>
      <c r="L51" s="425">
        <v>249.48226908010923</v>
      </c>
    </row>
    <row r="52" spans="1:12">
      <c r="A52" s="427">
        <v>0.11749999999999999</v>
      </c>
      <c r="B52" s="424">
        <v>185.87541355668401</v>
      </c>
      <c r="C52" s="424">
        <v>190.21002063231475</v>
      </c>
      <c r="D52" s="424">
        <v>194.77276492245238</v>
      </c>
      <c r="E52" s="424">
        <v>199.58214403908391</v>
      </c>
      <c r="F52" s="424">
        <v>204.65871088441727</v>
      </c>
      <c r="G52" s="424">
        <v>210.0253672637696</v>
      </c>
      <c r="H52" s="424">
        <v>215.70770931249567</v>
      </c>
      <c r="I52" s="424">
        <v>221.7344357278111</v>
      </c>
      <c r="J52" s="424">
        <v>228.13783254408384</v>
      </c>
      <c r="K52" s="425">
        <v>234.95435173559994</v>
      </c>
      <c r="L52" s="425">
        <v>242.22530553988375</v>
      </c>
    </row>
    <row r="53" spans="1:12">
      <c r="A53" s="427">
        <v>0.12</v>
      </c>
      <c r="B53" s="424">
        <v>182.11667514099585</v>
      </c>
      <c r="C53" s="423">
        <v>186.24896084941651</v>
      </c>
      <c r="D53" s="426">
        <v>190.59315864544851</v>
      </c>
      <c r="E53" s="426">
        <v>195.16599843074542</v>
      </c>
      <c r="F53" s="426">
        <v>199.98601874497729</v>
      </c>
      <c r="G53" s="426">
        <v>205.07381796555535</v>
      </c>
      <c r="H53" s="426">
        <v>210.45234857016641</v>
      </c>
      <c r="I53" s="426">
        <v>216.14726332798995</v>
      </c>
      <c r="J53" s="424">
        <v>222.18732443477242</v>
      </c>
      <c r="K53" s="425">
        <v>228.60488936072886</v>
      </c>
      <c r="L53" s="425">
        <v>235.4364907335212</v>
      </c>
    </row>
    <row r="57" spans="1:12" ht="17">
      <c r="A57" s="656" t="s">
        <v>96</v>
      </c>
      <c r="B57" s="656"/>
      <c r="C57" s="656"/>
      <c r="D57" s="656"/>
      <c r="E57" s="656"/>
      <c r="F57" s="656"/>
      <c r="G57" s="656"/>
    </row>
    <row r="58" spans="1:12">
      <c r="A58" s="178">
        <v>1</v>
      </c>
      <c r="B58" s="724" t="s">
        <v>652</v>
      </c>
      <c r="C58" s="724"/>
      <c r="D58" s="724"/>
      <c r="E58" s="724"/>
      <c r="F58" s="724"/>
      <c r="G58" s="724"/>
    </row>
  </sheetData>
  <mergeCells count="8">
    <mergeCell ref="A57:G57"/>
    <mergeCell ref="B58:G58"/>
    <mergeCell ref="A1:G1"/>
    <mergeCell ref="A3:G3"/>
    <mergeCell ref="F4:G5"/>
    <mergeCell ref="A9:G9"/>
    <mergeCell ref="A26:C26"/>
    <mergeCell ref="A35:L35"/>
  </mergeCells>
  <conditionalFormatting sqref="B37:L53">
    <cfRule type="cellIs" dxfId="0" priority="1" operator="greaterThan">
      <formula>$C$31</formula>
    </cfRule>
  </conditionalFormatting>
  <pageMargins left="0.7" right="0.7" top="0.75" bottom="0.75" header="0.3" footer="0.3"/>
  <pageSetup paperSize="9" orientation="portrait" horizontalDpi="0" verticalDpi="0"/>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F882-EB4A-4C10-8E2F-CD2D46571887}">
  <sheetPr>
    <tabColor rgb="FFFF0000"/>
  </sheetPr>
  <dimension ref="A1:M891"/>
  <sheetViews>
    <sheetView showGridLines="0" showRowColHeaders="0" topLeftCell="F256" workbookViewId="0">
      <selection activeCell="R273" sqref="R273"/>
    </sheetView>
  </sheetViews>
  <sheetFormatPr baseColWidth="10" defaultColWidth="8.83203125" defaultRowHeight="13"/>
  <cols>
    <col min="1" max="1" width="1.83203125" style="453" customWidth="1"/>
    <col min="2" max="2" width="1.6640625" style="453" customWidth="1"/>
    <col min="3" max="3" width="10.83203125" style="453" customWidth="1"/>
    <col min="4" max="4" width="11.1640625" style="453" customWidth="1"/>
    <col min="5" max="5" width="16.5" style="453" customWidth="1"/>
    <col min="6" max="6" width="1.5" style="455" customWidth="1"/>
    <col min="7" max="7" width="4.83203125" style="453" customWidth="1"/>
    <col min="8" max="8" width="14.1640625" style="453" customWidth="1"/>
    <col min="9" max="9" width="10" style="453" customWidth="1"/>
    <col min="10" max="10" width="2.33203125" style="454" customWidth="1"/>
    <col min="11" max="11" width="72.6640625" style="453" customWidth="1"/>
    <col min="12" max="16384" width="8.83203125" style="453"/>
  </cols>
  <sheetData>
    <row r="1" spans="2:6">
      <c r="E1" s="471"/>
      <c r="F1" s="456" t="s">
        <v>1003</v>
      </c>
    </row>
    <row r="2" spans="2:6">
      <c r="F2" s="455" t="s">
        <v>1002</v>
      </c>
    </row>
    <row r="3" spans="2:6">
      <c r="F3" s="455" t="s">
        <v>1001</v>
      </c>
    </row>
    <row r="5" spans="2:6">
      <c r="B5" s="453" t="s">
        <v>1000</v>
      </c>
    </row>
    <row r="6" spans="2:6">
      <c r="C6" s="453" t="s">
        <v>999</v>
      </c>
      <c r="E6" s="467">
        <v>2000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297.64662820000001</v>
      </c>
    </row>
    <row r="14" spans="2:6">
      <c r="C14" s="453" t="s">
        <v>992</v>
      </c>
      <c r="E14" s="467">
        <v>6.7193773102516872</v>
      </c>
    </row>
    <row r="15" spans="2:6">
      <c r="C15" s="453" t="s">
        <v>991</v>
      </c>
      <c r="E15" s="467">
        <v>450.19827978686305</v>
      </c>
    </row>
    <row r="17" spans="1:10">
      <c r="B17" s="453" t="s">
        <v>990</v>
      </c>
    </row>
    <row r="18" spans="1:10">
      <c r="C18" s="453" t="s">
        <v>787</v>
      </c>
      <c r="E18" s="453">
        <v>67</v>
      </c>
    </row>
    <row r="19" spans="1:10">
      <c r="C19" s="453" t="s">
        <v>989</v>
      </c>
      <c r="E19" s="453">
        <v>0</v>
      </c>
    </row>
    <row r="20" spans="1:10">
      <c r="C20" s="453" t="s">
        <v>988</v>
      </c>
      <c r="E20" s="453">
        <v>0</v>
      </c>
    </row>
    <row r="21" spans="1:10">
      <c r="C21" s="453" t="s">
        <v>987</v>
      </c>
      <c r="E21" s="453">
        <v>0</v>
      </c>
    </row>
    <row r="22" spans="1:10">
      <c r="C22" s="453" t="s">
        <v>986</v>
      </c>
      <c r="E22" s="453">
        <v>2</v>
      </c>
    </row>
    <row r="24" spans="1:10">
      <c r="F24" s="456" t="s">
        <v>986</v>
      </c>
    </row>
    <row r="27" spans="1:10">
      <c r="A27" s="460" t="s">
        <v>952</v>
      </c>
    </row>
    <row r="29" spans="1:10">
      <c r="A29" s="460" t="s">
        <v>985</v>
      </c>
      <c r="B29" s="460"/>
      <c r="C29" s="460"/>
      <c r="D29" s="460"/>
      <c r="E29" s="460"/>
      <c r="F29" s="456"/>
      <c r="G29" s="460"/>
      <c r="H29" s="460"/>
      <c r="I29" s="460"/>
      <c r="J29" s="459" t="s">
        <v>978</v>
      </c>
    </row>
    <row r="31" spans="1:10">
      <c r="B31" s="453" t="s">
        <v>976</v>
      </c>
    </row>
    <row r="32" spans="1:10">
      <c r="C32" s="453" t="s">
        <v>984</v>
      </c>
    </row>
    <row r="33" spans="3:3">
      <c r="C33" s="453" t="s">
        <v>983</v>
      </c>
    </row>
    <row r="34" spans="3:3">
      <c r="C34" s="453" t="s">
        <v>982</v>
      </c>
    </row>
    <row r="35" spans="3:3">
      <c r="C35" s="453" t="s">
        <v>981</v>
      </c>
    </row>
    <row r="36" spans="3:3">
      <c r="C36" s="453" t="s">
        <v>980</v>
      </c>
    </row>
    <row r="56" spans="2:5">
      <c r="B56" s="453" t="s">
        <v>968</v>
      </c>
      <c r="E56" s="457" t="s">
        <v>770</v>
      </c>
    </row>
    <row r="57" spans="2:5">
      <c r="C57" s="453" t="s">
        <v>772</v>
      </c>
      <c r="E57" s="467">
        <v>2000</v>
      </c>
    </row>
    <row r="58" spans="2:5">
      <c r="C58" s="453" t="s">
        <v>773</v>
      </c>
      <c r="E58" s="468">
        <v>172.14019781188591</v>
      </c>
    </row>
    <row r="59" spans="2:5">
      <c r="C59" s="453" t="s">
        <v>429</v>
      </c>
      <c r="E59" s="468">
        <v>211.33753431241468</v>
      </c>
    </row>
    <row r="60" spans="2:5">
      <c r="C60" s="453" t="s">
        <v>428</v>
      </c>
      <c r="E60" s="468">
        <v>210.18680664910519</v>
      </c>
    </row>
    <row r="61" spans="2:5">
      <c r="C61" s="453" t="s">
        <v>774</v>
      </c>
      <c r="E61" s="469" t="s">
        <v>967</v>
      </c>
    </row>
    <row r="62" spans="2:5">
      <c r="C62" s="453" t="s">
        <v>776</v>
      </c>
      <c r="E62" s="468">
        <v>121.45894007195623</v>
      </c>
    </row>
    <row r="63" spans="2:5">
      <c r="C63" s="453" t="s">
        <v>777</v>
      </c>
      <c r="E63" s="468">
        <v>14752.274123403055</v>
      </c>
    </row>
    <row r="64" spans="2:5">
      <c r="C64" s="453" t="s">
        <v>778</v>
      </c>
      <c r="E64" s="464">
        <v>0.13791220862856829</v>
      </c>
    </row>
    <row r="65" spans="1:10">
      <c r="C65" s="453" t="s">
        <v>779</v>
      </c>
      <c r="E65" s="465">
        <v>3.4263036228498622</v>
      </c>
    </row>
    <row r="66" spans="1:10">
      <c r="C66" s="453" t="s">
        <v>780</v>
      </c>
      <c r="E66" s="464">
        <v>0.57471542131463837</v>
      </c>
    </row>
    <row r="67" spans="1:10">
      <c r="C67" s="453" t="s">
        <v>781</v>
      </c>
      <c r="E67" s="468">
        <v>-246.07050550477379</v>
      </c>
    </row>
    <row r="68" spans="1:10">
      <c r="C68" s="453" t="s">
        <v>782</v>
      </c>
      <c r="E68" s="468">
        <v>719.22006149557171</v>
      </c>
    </row>
    <row r="69" spans="1:10">
      <c r="C69" s="453" t="s">
        <v>966</v>
      </c>
      <c r="E69" s="468">
        <v>965.2905670003455</v>
      </c>
    </row>
    <row r="70" spans="1:10">
      <c r="C70" s="453" t="s">
        <v>783</v>
      </c>
      <c r="E70" s="468">
        <v>2.7159044647596735</v>
      </c>
    </row>
    <row r="72" spans="1:10">
      <c r="A72" s="460" t="s">
        <v>979</v>
      </c>
      <c r="B72" s="460"/>
      <c r="C72" s="460"/>
      <c r="D72" s="460"/>
      <c r="E72" s="460"/>
      <c r="F72" s="456"/>
      <c r="G72" s="460"/>
      <c r="H72" s="460"/>
      <c r="I72" s="460"/>
      <c r="J72" s="459" t="s">
        <v>978</v>
      </c>
    </row>
    <row r="74" spans="1:10">
      <c r="B74" s="453" t="s">
        <v>965</v>
      </c>
      <c r="E74" s="457" t="s">
        <v>770</v>
      </c>
    </row>
    <row r="75" spans="1:10">
      <c r="C75" s="453" t="s">
        <v>964</v>
      </c>
      <c r="E75" s="468">
        <v>-246.07050550477379</v>
      </c>
    </row>
    <row r="76" spans="1:10">
      <c r="C76" s="453" t="s">
        <v>963</v>
      </c>
      <c r="E76" s="468">
        <v>59.122387788373963</v>
      </c>
    </row>
    <row r="77" spans="1:10">
      <c r="C77" s="453" t="s">
        <v>962</v>
      </c>
      <c r="E77" s="468">
        <v>112.81213819132641</v>
      </c>
    </row>
    <row r="78" spans="1:10">
      <c r="C78" s="453" t="s">
        <v>961</v>
      </c>
      <c r="E78" s="468">
        <v>148.08742843764642</v>
      </c>
    </row>
    <row r="79" spans="1:10">
      <c r="C79" s="453" t="s">
        <v>960</v>
      </c>
      <c r="E79" s="468">
        <v>179.10624461323161</v>
      </c>
    </row>
    <row r="80" spans="1:10">
      <c r="C80" s="453" t="s">
        <v>959</v>
      </c>
      <c r="E80" s="468">
        <v>210.00831879083481</v>
      </c>
    </row>
    <row r="81" spans="1:10">
      <c r="C81" s="453" t="s">
        <v>958</v>
      </c>
      <c r="E81" s="468">
        <v>238.97111419135859</v>
      </c>
    </row>
    <row r="82" spans="1:10">
      <c r="C82" s="453" t="s">
        <v>957</v>
      </c>
      <c r="E82" s="468">
        <v>269.40052900811372</v>
      </c>
    </row>
    <row r="83" spans="1:10">
      <c r="C83" s="453" t="s">
        <v>956</v>
      </c>
      <c r="E83" s="468">
        <v>309.7962041604257</v>
      </c>
    </row>
    <row r="84" spans="1:10">
      <c r="C84" s="453" t="s">
        <v>955</v>
      </c>
      <c r="E84" s="468">
        <v>362.49422791757422</v>
      </c>
    </row>
    <row r="85" spans="1:10">
      <c r="C85" s="453" t="s">
        <v>954</v>
      </c>
      <c r="E85" s="468">
        <v>719.22006149557171</v>
      </c>
    </row>
    <row r="87" spans="1:10">
      <c r="A87" s="460" t="s">
        <v>831</v>
      </c>
    </row>
    <row r="89" spans="1:10">
      <c r="A89" s="460" t="s">
        <v>977</v>
      </c>
      <c r="B89" s="460"/>
      <c r="C89" s="460"/>
      <c r="D89" s="460"/>
      <c r="E89" s="460"/>
      <c r="F89" s="456"/>
      <c r="G89" s="460"/>
      <c r="H89" s="460"/>
      <c r="I89" s="460"/>
      <c r="J89" s="459" t="s">
        <v>969</v>
      </c>
    </row>
    <row r="91" spans="1:10">
      <c r="B91" s="453" t="s">
        <v>976</v>
      </c>
    </row>
    <row r="92" spans="1:10">
      <c r="C92" s="453" t="s">
        <v>975</v>
      </c>
    </row>
    <row r="93" spans="1:10">
      <c r="C93" s="453" t="s">
        <v>974</v>
      </c>
    </row>
    <row r="94" spans="1:10">
      <c r="C94" s="453" t="s">
        <v>973</v>
      </c>
    </row>
    <row r="95" spans="1:10">
      <c r="C95" s="453" t="s">
        <v>972</v>
      </c>
    </row>
    <row r="96" spans="1:10">
      <c r="C96" s="453" t="s">
        <v>971</v>
      </c>
    </row>
    <row r="120" spans="1:10">
      <c r="A120" s="460" t="s">
        <v>970</v>
      </c>
      <c r="B120" s="460"/>
      <c r="C120" s="460"/>
      <c r="D120" s="460"/>
      <c r="E120" s="460"/>
      <c r="F120" s="456"/>
      <c r="G120" s="460"/>
      <c r="H120" s="460"/>
      <c r="I120" s="460"/>
      <c r="J120" s="459" t="s">
        <v>969</v>
      </c>
    </row>
    <row r="122" spans="1:10">
      <c r="B122" s="453" t="s">
        <v>968</v>
      </c>
      <c r="E122" s="457" t="s">
        <v>770</v>
      </c>
    </row>
    <row r="123" spans="1:10">
      <c r="C123" s="453" t="s">
        <v>772</v>
      </c>
      <c r="E123" s="467">
        <v>2000</v>
      </c>
    </row>
    <row r="124" spans="1:10">
      <c r="C124" s="453" t="s">
        <v>773</v>
      </c>
      <c r="E124" s="463">
        <v>271.28781514621591</v>
      </c>
    </row>
    <row r="125" spans="1:10">
      <c r="C125" s="453" t="s">
        <v>429</v>
      </c>
      <c r="E125" s="463">
        <v>287.41380517744972</v>
      </c>
    </row>
    <row r="126" spans="1:10">
      <c r="C126" s="453" t="s">
        <v>428</v>
      </c>
      <c r="E126" s="463">
        <v>271.4464184395822</v>
      </c>
    </row>
    <row r="127" spans="1:10">
      <c r="C127" s="453" t="s">
        <v>774</v>
      </c>
      <c r="E127" s="466" t="s">
        <v>967</v>
      </c>
    </row>
    <row r="128" spans="1:10">
      <c r="C128" s="453" t="s">
        <v>776</v>
      </c>
      <c r="E128" s="463">
        <v>79.919686070636018</v>
      </c>
    </row>
    <row r="129" spans="2:5">
      <c r="C129" s="453" t="s">
        <v>777</v>
      </c>
      <c r="E129" s="463">
        <v>6387.1562216290122</v>
      </c>
    </row>
    <row r="130" spans="2:5">
      <c r="C130" s="453" t="s">
        <v>778</v>
      </c>
      <c r="E130" s="465">
        <v>3.4641606800409281</v>
      </c>
    </row>
    <row r="131" spans="2:5">
      <c r="C131" s="453" t="s">
        <v>779</v>
      </c>
      <c r="E131" s="465">
        <v>34.381194075527091</v>
      </c>
    </row>
    <row r="132" spans="2:5">
      <c r="C132" s="453" t="s">
        <v>780</v>
      </c>
      <c r="E132" s="464">
        <v>0.27806488286564207</v>
      </c>
    </row>
    <row r="133" spans="2:5">
      <c r="C133" s="453" t="s">
        <v>781</v>
      </c>
      <c r="E133" s="463">
        <v>154.08460472953286</v>
      </c>
    </row>
    <row r="134" spans="2:5">
      <c r="C134" s="453" t="s">
        <v>782</v>
      </c>
      <c r="E134" s="463">
        <v>1440.7376463365033</v>
      </c>
    </row>
    <row r="135" spans="2:5">
      <c r="C135" s="453" t="s">
        <v>966</v>
      </c>
      <c r="E135" s="463">
        <v>1286.6530416069704</v>
      </c>
    </row>
    <row r="136" spans="2:5">
      <c r="C136" s="453" t="s">
        <v>783</v>
      </c>
      <c r="E136" s="463">
        <v>1.7870585079438519</v>
      </c>
    </row>
    <row r="138" spans="2:5">
      <c r="B138" s="453" t="s">
        <v>965</v>
      </c>
      <c r="E138" s="457" t="s">
        <v>770</v>
      </c>
    </row>
    <row r="139" spans="2:5">
      <c r="C139" s="453" t="s">
        <v>964</v>
      </c>
      <c r="E139" s="463">
        <v>154.08460472953286</v>
      </c>
    </row>
    <row r="140" spans="2:5">
      <c r="C140" s="453" t="s">
        <v>963</v>
      </c>
      <c r="E140" s="463">
        <v>212.75714186809699</v>
      </c>
    </row>
    <row r="141" spans="2:5">
      <c r="C141" s="453" t="s">
        <v>962</v>
      </c>
      <c r="E141" s="463">
        <v>229.29303962737953</v>
      </c>
    </row>
    <row r="142" spans="2:5">
      <c r="C142" s="453" t="s">
        <v>961</v>
      </c>
      <c r="E142" s="463">
        <v>243.9236401585577</v>
      </c>
    </row>
    <row r="143" spans="2:5">
      <c r="C143" s="453" t="s">
        <v>960</v>
      </c>
      <c r="E143" s="463">
        <v>257.69641643032827</v>
      </c>
    </row>
    <row r="144" spans="2:5">
      <c r="C144" s="453" t="s">
        <v>959</v>
      </c>
      <c r="E144" s="463">
        <v>271.44259965536418</v>
      </c>
    </row>
    <row r="145" spans="1:10">
      <c r="C145" s="453" t="s">
        <v>958</v>
      </c>
      <c r="E145" s="463">
        <v>288.24629394086094</v>
      </c>
    </row>
    <row r="146" spans="1:10">
      <c r="C146" s="453" t="s">
        <v>957</v>
      </c>
      <c r="E146" s="463">
        <v>308.10558288626351</v>
      </c>
    </row>
    <row r="147" spans="1:10">
      <c r="C147" s="453" t="s">
        <v>956</v>
      </c>
      <c r="E147" s="463">
        <v>332.63555185432352</v>
      </c>
    </row>
    <row r="148" spans="1:10">
      <c r="C148" s="453" t="s">
        <v>955</v>
      </c>
      <c r="E148" s="463">
        <v>373.60391166733916</v>
      </c>
    </row>
    <row r="149" spans="1:10">
      <c r="C149" s="453" t="s">
        <v>954</v>
      </c>
      <c r="E149" s="463">
        <v>1440.7376463365033</v>
      </c>
    </row>
    <row r="151" spans="1:10">
      <c r="A151" s="453" t="s">
        <v>953</v>
      </c>
    </row>
    <row r="152" spans="1:10">
      <c r="F152" s="456" t="s">
        <v>787</v>
      </c>
    </row>
    <row r="155" spans="1:10">
      <c r="A155" s="460" t="s">
        <v>952</v>
      </c>
    </row>
    <row r="157" spans="1:10">
      <c r="A157" s="460" t="s">
        <v>951</v>
      </c>
      <c r="B157" s="460"/>
      <c r="C157" s="460"/>
      <c r="D157" s="460"/>
      <c r="E157" s="460"/>
      <c r="F157" s="456"/>
      <c r="G157" s="460"/>
      <c r="H157" s="460"/>
      <c r="I157" s="460"/>
      <c r="J157" s="459" t="s">
        <v>950</v>
      </c>
    </row>
    <row r="159" spans="1:10">
      <c r="B159" s="453" t="s">
        <v>816</v>
      </c>
    </row>
    <row r="160" spans="1:10">
      <c r="C160" s="453" t="s">
        <v>429</v>
      </c>
      <c r="E160" s="462">
        <v>-0.1585730392347055</v>
      </c>
    </row>
    <row r="161" spans="1:10">
      <c r="C161" s="453" t="s">
        <v>815</v>
      </c>
      <c r="E161" s="462">
        <v>1.585730392347055E-2</v>
      </c>
    </row>
    <row r="162" spans="1:10">
      <c r="E162" s="457"/>
    </row>
    <row r="163" spans="1:10">
      <c r="E163" s="457"/>
    </row>
    <row r="167" spans="1:10">
      <c r="A167" s="460" t="s">
        <v>949</v>
      </c>
      <c r="B167" s="460"/>
      <c r="C167" s="460"/>
      <c r="D167" s="460"/>
      <c r="E167" s="460"/>
      <c r="F167" s="456"/>
      <c r="G167" s="460"/>
      <c r="H167" s="460"/>
      <c r="I167" s="460"/>
      <c r="J167" s="459" t="s">
        <v>948</v>
      </c>
    </row>
    <row r="169" spans="1:10">
      <c r="B169" s="453" t="s">
        <v>816</v>
      </c>
    </row>
    <row r="170" spans="1:10">
      <c r="C170" s="453" t="s">
        <v>429</v>
      </c>
      <c r="E170" s="462">
        <v>-0.36070986380520015</v>
      </c>
    </row>
    <row r="171" spans="1:10">
      <c r="C171" s="453" t="s">
        <v>815</v>
      </c>
      <c r="E171" s="462">
        <v>3.6070986380520018E-2</v>
      </c>
    </row>
    <row r="172" spans="1:10">
      <c r="E172" s="457"/>
    </row>
    <row r="173" spans="1:10">
      <c r="E173" s="457"/>
    </row>
    <row r="177" spans="1:10">
      <c r="A177" s="460" t="s">
        <v>947</v>
      </c>
      <c r="B177" s="460"/>
      <c r="C177" s="460"/>
      <c r="D177" s="460"/>
      <c r="E177" s="460"/>
      <c r="F177" s="456"/>
      <c r="G177" s="460"/>
      <c r="H177" s="460"/>
      <c r="I177" s="460"/>
      <c r="J177" s="459" t="s">
        <v>946</v>
      </c>
    </row>
    <row r="179" spans="1:10">
      <c r="B179" s="453" t="s">
        <v>843</v>
      </c>
    </row>
    <row r="180" spans="1:10">
      <c r="C180" s="453" t="s">
        <v>781</v>
      </c>
      <c r="E180" s="462">
        <v>5.2417649941293276E-2</v>
      </c>
    </row>
    <row r="181" spans="1:10">
      <c r="C181" s="453" t="s">
        <v>782</v>
      </c>
      <c r="E181" s="462">
        <v>0.14000000000000001</v>
      </c>
    </row>
    <row r="182" spans="1:10">
      <c r="E182" s="457"/>
    </row>
    <row r="183" spans="1:10">
      <c r="E183" s="457"/>
    </row>
    <row r="187" spans="1:10">
      <c r="A187" s="460" t="s">
        <v>945</v>
      </c>
      <c r="B187" s="460"/>
      <c r="C187" s="460"/>
      <c r="D187" s="460"/>
      <c r="E187" s="460"/>
      <c r="F187" s="456"/>
      <c r="G187" s="460"/>
      <c r="H187" s="460"/>
      <c r="I187" s="460"/>
      <c r="J187" s="459" t="s">
        <v>944</v>
      </c>
    </row>
    <row r="189" spans="1:10">
      <c r="B189" s="453" t="s">
        <v>816</v>
      </c>
    </row>
    <row r="190" spans="1:10">
      <c r="C190" s="453" t="s">
        <v>429</v>
      </c>
      <c r="E190" s="462">
        <v>0</v>
      </c>
    </row>
    <row r="191" spans="1:10">
      <c r="C191" s="453" t="s">
        <v>815</v>
      </c>
      <c r="E191" s="462">
        <v>0.01</v>
      </c>
    </row>
    <row r="192" spans="1:10">
      <c r="E192" s="457"/>
    </row>
    <row r="193" spans="1:10">
      <c r="E193" s="457"/>
    </row>
    <row r="197" spans="1:10">
      <c r="A197" s="460" t="s">
        <v>943</v>
      </c>
      <c r="B197" s="460"/>
      <c r="C197" s="460"/>
      <c r="D197" s="460"/>
      <c r="E197" s="460"/>
      <c r="F197" s="456"/>
      <c r="G197" s="460"/>
      <c r="H197" s="460"/>
      <c r="I197" s="460"/>
      <c r="J197" s="459" t="s">
        <v>942</v>
      </c>
    </row>
    <row r="199" spans="1:10">
      <c r="B199" s="453" t="s">
        <v>816</v>
      </c>
    </row>
    <row r="200" spans="1:10">
      <c r="C200" s="453" t="s">
        <v>429</v>
      </c>
      <c r="E200" s="462">
        <v>4.1887753137519371E-2</v>
      </c>
    </row>
    <row r="201" spans="1:10">
      <c r="C201" s="453" t="s">
        <v>815</v>
      </c>
      <c r="E201" s="462">
        <v>4.1887753137519372E-3</v>
      </c>
    </row>
    <row r="202" spans="1:10">
      <c r="E202" s="457"/>
    </row>
    <row r="203" spans="1:10">
      <c r="E203" s="457"/>
    </row>
    <row r="207" spans="1:10">
      <c r="A207" s="460" t="s">
        <v>941</v>
      </c>
      <c r="B207" s="460"/>
      <c r="C207" s="460"/>
      <c r="D207" s="460"/>
      <c r="E207" s="460"/>
      <c r="F207" s="456"/>
      <c r="G207" s="460"/>
      <c r="H207" s="460"/>
      <c r="I207" s="460"/>
      <c r="J207" s="459" t="s">
        <v>940</v>
      </c>
    </row>
    <row r="209" spans="1:10">
      <c r="B209" s="453" t="s">
        <v>816</v>
      </c>
    </row>
    <row r="210" spans="1:10">
      <c r="C210" s="453" t="s">
        <v>429</v>
      </c>
      <c r="E210" s="462">
        <v>6.3724808720432194E-2</v>
      </c>
    </row>
    <row r="211" spans="1:10">
      <c r="C211" s="453" t="s">
        <v>815</v>
      </c>
      <c r="E211" s="462">
        <v>6.3724808720432196E-3</v>
      </c>
    </row>
    <row r="212" spans="1:10">
      <c r="E212" s="457"/>
    </row>
    <row r="213" spans="1:10">
      <c r="E213" s="457"/>
    </row>
    <row r="217" spans="1:10">
      <c r="A217" s="460" t="s">
        <v>939</v>
      </c>
      <c r="B217" s="460"/>
      <c r="C217" s="460"/>
      <c r="D217" s="460"/>
      <c r="E217" s="460"/>
      <c r="F217" s="456"/>
      <c r="G217" s="460"/>
      <c r="H217" s="460"/>
      <c r="I217" s="460"/>
      <c r="J217" s="459" t="s">
        <v>938</v>
      </c>
    </row>
    <row r="219" spans="1:10">
      <c r="B219" s="453" t="s">
        <v>816</v>
      </c>
    </row>
    <row r="220" spans="1:10">
      <c r="C220" s="453" t="s">
        <v>429</v>
      </c>
      <c r="E220" s="462">
        <v>0.11357395908527125</v>
      </c>
    </row>
    <row r="221" spans="1:10">
      <c r="C221" s="453" t="s">
        <v>815</v>
      </c>
      <c r="E221" s="462">
        <v>1.1357395908527124E-2</v>
      </c>
    </row>
    <row r="222" spans="1:10">
      <c r="E222" s="457"/>
    </row>
    <row r="223" spans="1:10">
      <c r="E223" s="457"/>
    </row>
    <row r="227" spans="1:10">
      <c r="A227" s="460" t="s">
        <v>937</v>
      </c>
      <c r="B227" s="460"/>
      <c r="C227" s="460"/>
      <c r="D227" s="460"/>
      <c r="E227" s="460"/>
      <c r="F227" s="456"/>
      <c r="G227" s="460"/>
      <c r="H227" s="460"/>
      <c r="I227" s="460"/>
      <c r="J227" s="459" t="s">
        <v>936</v>
      </c>
    </row>
    <row r="229" spans="1:10">
      <c r="B229" s="453" t="s">
        <v>816</v>
      </c>
    </row>
    <row r="230" spans="1:10">
      <c r="C230" s="453" t="s">
        <v>429</v>
      </c>
      <c r="E230" s="462">
        <v>0</v>
      </c>
    </row>
    <row r="231" spans="1:10">
      <c r="C231" s="453" t="s">
        <v>815</v>
      </c>
      <c r="E231" s="462">
        <v>0.01</v>
      </c>
    </row>
    <row r="232" spans="1:10">
      <c r="E232" s="457"/>
    </row>
    <row r="233" spans="1:10">
      <c r="E233" s="457"/>
    </row>
    <row r="237" spans="1:10">
      <c r="A237" s="460" t="s">
        <v>935</v>
      </c>
      <c r="B237" s="460"/>
      <c r="C237" s="460"/>
      <c r="D237" s="460"/>
      <c r="E237" s="460"/>
      <c r="F237" s="456"/>
      <c r="G237" s="460"/>
      <c r="H237" s="460"/>
      <c r="I237" s="460"/>
      <c r="J237" s="459" t="s">
        <v>934</v>
      </c>
    </row>
    <row r="239" spans="1:10">
      <c r="B239" s="453" t="s">
        <v>816</v>
      </c>
    </row>
    <row r="240" spans="1:10">
      <c r="C240" s="453" t="s">
        <v>429</v>
      </c>
      <c r="E240" s="462">
        <v>1.659758263966713</v>
      </c>
    </row>
    <row r="241" spans="1:10">
      <c r="C241" s="453" t="s">
        <v>815</v>
      </c>
      <c r="E241" s="462">
        <v>0.1659758263966713</v>
      </c>
    </row>
    <row r="242" spans="1:10">
      <c r="E242" s="457"/>
    </row>
    <row r="243" spans="1:10">
      <c r="E243" s="457"/>
    </row>
    <row r="247" spans="1:10">
      <c r="A247" s="460" t="s">
        <v>933</v>
      </c>
      <c r="B247" s="460"/>
      <c r="C247" s="460"/>
      <c r="D247" s="460"/>
      <c r="E247" s="460"/>
      <c r="F247" s="456"/>
      <c r="G247" s="460"/>
      <c r="H247" s="460"/>
      <c r="I247" s="460"/>
      <c r="J247" s="459" t="s">
        <v>932</v>
      </c>
    </row>
    <row r="249" spans="1:10">
      <c r="B249" s="453" t="s">
        <v>816</v>
      </c>
    </row>
    <row r="250" spans="1:10">
      <c r="C250" s="453" t="s">
        <v>429</v>
      </c>
      <c r="E250" s="462">
        <v>9.8055503852247483E-2</v>
      </c>
    </row>
    <row r="251" spans="1:10">
      <c r="C251" s="453" t="s">
        <v>815</v>
      </c>
      <c r="E251" s="462">
        <v>9.8055503852247476E-3</v>
      </c>
    </row>
    <row r="252" spans="1:10">
      <c r="E252" s="457"/>
    </row>
    <row r="253" spans="1:10">
      <c r="E253" s="457"/>
    </row>
    <row r="257" spans="1:13">
      <c r="A257" s="460" t="s">
        <v>931</v>
      </c>
      <c r="B257" s="460"/>
      <c r="C257" s="460"/>
      <c r="D257" s="460"/>
      <c r="E257" s="460"/>
      <c r="F257" s="456"/>
      <c r="G257" s="460"/>
      <c r="H257" s="460"/>
      <c r="I257" s="460"/>
      <c r="J257" s="459" t="s">
        <v>930</v>
      </c>
    </row>
    <row r="259" spans="1:13">
      <c r="B259" s="453" t="s">
        <v>816</v>
      </c>
    </row>
    <row r="260" spans="1:13">
      <c r="C260" s="453" t="s">
        <v>429</v>
      </c>
      <c r="E260" s="462">
        <v>1.6786106262748464E-2</v>
      </c>
    </row>
    <row r="261" spans="1:13">
      <c r="C261" s="453" t="s">
        <v>815</v>
      </c>
      <c r="E261" s="462">
        <v>1.6786106262748463E-3</v>
      </c>
    </row>
    <row r="262" spans="1:13">
      <c r="E262" s="457"/>
    </row>
    <row r="263" spans="1:13">
      <c r="E263" s="457"/>
    </row>
    <row r="265" spans="1:13" ht="16">
      <c r="K265" t="s">
        <v>797</v>
      </c>
      <c r="L265"/>
      <c r="M265"/>
    </row>
    <row r="266" spans="1:13" ht="16">
      <c r="K266" t="s">
        <v>787</v>
      </c>
      <c r="L266" t="s">
        <v>788</v>
      </c>
      <c r="M266" t="s">
        <v>789</v>
      </c>
    </row>
    <row r="267" spans="1:13" ht="16">
      <c r="A267" s="460" t="s">
        <v>929</v>
      </c>
      <c r="B267" s="460"/>
      <c r="C267" s="460"/>
      <c r="D267" s="460"/>
      <c r="E267" s="460"/>
      <c r="F267" s="456"/>
      <c r="G267" s="460"/>
      <c r="H267" s="460"/>
      <c r="I267" s="460"/>
      <c r="J267" s="459" t="s">
        <v>928</v>
      </c>
      <c r="K267" t="s">
        <v>573</v>
      </c>
      <c r="L267">
        <v>0.86865823466895098</v>
      </c>
      <c r="M267">
        <v>-0.94318191929548001</v>
      </c>
    </row>
    <row r="268" spans="1:13" ht="16">
      <c r="K268" t="s">
        <v>798</v>
      </c>
      <c r="L268">
        <v>8.3317677993574299E-2</v>
      </c>
      <c r="M268">
        <v>0.29210539302634803</v>
      </c>
    </row>
    <row r="269" spans="1:13" ht="16">
      <c r="B269" s="453" t="s">
        <v>816</v>
      </c>
      <c r="K269" t="s">
        <v>799</v>
      </c>
      <c r="L269">
        <v>1.34455009741571E-2</v>
      </c>
      <c r="M269">
        <v>0.11734362233590601</v>
      </c>
    </row>
    <row r="270" spans="1:13" ht="16">
      <c r="C270" s="453" t="s">
        <v>429</v>
      </c>
      <c r="E270" s="462">
        <v>1.733018822509989E-3</v>
      </c>
      <c r="K270" t="s">
        <v>737</v>
      </c>
      <c r="L270">
        <v>3.29446929564903E-3</v>
      </c>
      <c r="M270">
        <v>5.8084964521241102E-2</v>
      </c>
    </row>
    <row r="271" spans="1:13" ht="16">
      <c r="C271" s="453" t="s">
        <v>815</v>
      </c>
      <c r="E271" s="462">
        <v>1.733018822509989E-4</v>
      </c>
      <c r="K271" t="s">
        <v>806</v>
      </c>
      <c r="L271">
        <v>2.2503485080185999E-3</v>
      </c>
      <c r="M271">
        <v>4.8006040501510097E-2</v>
      </c>
    </row>
    <row r="272" spans="1:13" ht="16">
      <c r="E272" s="457"/>
      <c r="K272" t="s">
        <v>726</v>
      </c>
      <c r="L272">
        <v>1.9973117409522899E-3</v>
      </c>
      <c r="M272">
        <v>-4.5226598306649601E-2</v>
      </c>
    </row>
    <row r="273" spans="1:13" ht="16">
      <c r="E273" s="457"/>
      <c r="K273" t="s">
        <v>723</v>
      </c>
      <c r="L273">
        <v>1.9916709877109899E-3</v>
      </c>
      <c r="M273">
        <v>4.5162689290672298E-2</v>
      </c>
    </row>
    <row r="274" spans="1:13" ht="16">
      <c r="K274" t="s">
        <v>727</v>
      </c>
      <c r="L274">
        <v>1.8743100700696199E-3</v>
      </c>
      <c r="M274">
        <v>4.3811862452965603E-2</v>
      </c>
    </row>
    <row r="275" spans="1:13" ht="16">
      <c r="K275" t="s">
        <v>731</v>
      </c>
      <c r="L275">
        <v>1.51269425652065E-3</v>
      </c>
      <c r="M275">
        <v>3.9359228339807102E-2</v>
      </c>
    </row>
    <row r="276" spans="1:13" ht="16">
      <c r="K276" t="s">
        <v>808</v>
      </c>
      <c r="L276">
        <v>1.39172448903593E-3</v>
      </c>
      <c r="M276">
        <v>3.7752666438166597E-2</v>
      </c>
    </row>
    <row r="277" spans="1:13" ht="16">
      <c r="A277" s="460" t="s">
        <v>927</v>
      </c>
      <c r="B277" s="460"/>
      <c r="C277" s="460"/>
      <c r="D277" s="460"/>
      <c r="E277" s="460"/>
      <c r="F277" s="456"/>
      <c r="G277" s="460"/>
      <c r="H277" s="460"/>
      <c r="I277" s="460"/>
      <c r="J277" s="459" t="s">
        <v>926</v>
      </c>
      <c r="K277" t="s">
        <v>724</v>
      </c>
      <c r="L277">
        <v>1.35352857487403E-3</v>
      </c>
      <c r="M277">
        <v>3.72310008077502E-2</v>
      </c>
    </row>
    <row r="278" spans="1:13" ht="16">
      <c r="K278" t="s">
        <v>794</v>
      </c>
      <c r="L278">
        <v>1.2728274688645199E-3</v>
      </c>
      <c r="M278">
        <v>3.6104037026009297E-2</v>
      </c>
    </row>
    <row r="279" spans="1:13" ht="16">
      <c r="B279" s="453" t="s">
        <v>816</v>
      </c>
      <c r="K279" t="s">
        <v>790</v>
      </c>
      <c r="L279">
        <v>1.1862425458498301E-3</v>
      </c>
      <c r="M279">
        <v>3.48544107136027E-2</v>
      </c>
    </row>
    <row r="280" spans="1:13" ht="16">
      <c r="C280" s="453" t="s">
        <v>429</v>
      </c>
      <c r="E280" s="462">
        <v>7.8882926204694337E-2</v>
      </c>
      <c r="K280" t="s">
        <v>801</v>
      </c>
      <c r="L280">
        <v>1.1213521694117799E-3</v>
      </c>
      <c r="M280">
        <v>-3.38876934719234E-2</v>
      </c>
    </row>
    <row r="281" spans="1:13" ht="16">
      <c r="C281" s="453" t="s">
        <v>815</v>
      </c>
      <c r="E281" s="462">
        <v>7.8882926204694344E-3</v>
      </c>
      <c r="K281" t="s">
        <v>745</v>
      </c>
      <c r="L281">
        <v>1.0646208036004801E-3</v>
      </c>
      <c r="M281">
        <v>-3.3019346254836601E-2</v>
      </c>
    </row>
    <row r="282" spans="1:13" ht="16">
      <c r="E282" s="457"/>
      <c r="K282" t="s">
        <v>742</v>
      </c>
      <c r="L282">
        <v>9.3384362508810396E-4</v>
      </c>
      <c r="M282">
        <v>3.09248837312209E-2</v>
      </c>
    </row>
    <row r="283" spans="1:13" ht="16">
      <c r="E283" s="457"/>
      <c r="K283" t="s">
        <v>729</v>
      </c>
      <c r="L283">
        <v>9.1339615056368003E-4</v>
      </c>
      <c r="M283">
        <v>3.05844436461109E-2</v>
      </c>
    </row>
    <row r="284" spans="1:13" ht="16">
      <c r="K284" t="s">
        <v>809</v>
      </c>
      <c r="L284">
        <v>8.0596986569157997E-4</v>
      </c>
      <c r="M284">
        <v>2.8729654182413501E-2</v>
      </c>
    </row>
    <row r="285" spans="1:13" ht="16">
      <c r="K285" t="s">
        <v>800</v>
      </c>
      <c r="L285">
        <v>7.5779581028781505E-4</v>
      </c>
      <c r="M285">
        <v>-2.7857817964454499E-2</v>
      </c>
    </row>
    <row r="286" spans="1:13" ht="16">
      <c r="K286" t="s">
        <v>739</v>
      </c>
      <c r="L286">
        <v>6.9865594222329403E-4</v>
      </c>
      <c r="M286">
        <v>-2.6748699687174901E-2</v>
      </c>
    </row>
    <row r="287" spans="1:13" ht="16">
      <c r="A287" s="460" t="s">
        <v>925</v>
      </c>
      <c r="B287" s="460"/>
      <c r="C287" s="460"/>
      <c r="D287" s="460"/>
      <c r="E287" s="460"/>
      <c r="F287" s="456"/>
      <c r="G287" s="460"/>
      <c r="H287" s="460"/>
      <c r="I287" s="460"/>
      <c r="J287" s="459" t="s">
        <v>924</v>
      </c>
      <c r="K287" t="s">
        <v>810</v>
      </c>
      <c r="L287">
        <v>6.7570408920825001E-4</v>
      </c>
      <c r="M287">
        <v>2.6305664076416001E-2</v>
      </c>
    </row>
    <row r="288" spans="1:13" ht="16">
      <c r="K288" t="s">
        <v>811</v>
      </c>
      <c r="L288">
        <v>5.4174565789603404E-4</v>
      </c>
      <c r="M288">
        <v>2.3554219388554801E-2</v>
      </c>
    </row>
    <row r="289" spans="1:13" ht="16">
      <c r="B289" s="453" t="s">
        <v>816</v>
      </c>
      <c r="K289" t="s">
        <v>807</v>
      </c>
      <c r="L289">
        <v>5.3807523947336795E-4</v>
      </c>
      <c r="M289">
        <v>-2.3474291868573E-2</v>
      </c>
    </row>
    <row r="290" spans="1:13" ht="16">
      <c r="C290" s="453" t="s">
        <v>429</v>
      </c>
      <c r="E290" s="462">
        <v>9.6506862561638262E-2</v>
      </c>
      <c r="K290" t="s">
        <v>740</v>
      </c>
      <c r="L290">
        <v>5.1963872840857001E-4</v>
      </c>
      <c r="M290">
        <v>2.3068627267156801E-2</v>
      </c>
    </row>
    <row r="291" spans="1:13" ht="16">
      <c r="C291" s="453" t="s">
        <v>815</v>
      </c>
      <c r="E291" s="462">
        <v>9.6506862561638266E-3</v>
      </c>
      <c r="K291" t="s">
        <v>733</v>
      </c>
      <c r="L291">
        <v>5.0601713423370498E-4</v>
      </c>
      <c r="M291">
        <v>2.2764263691065899E-2</v>
      </c>
    </row>
    <row r="292" spans="1:13" ht="16">
      <c r="E292" s="457"/>
      <c r="K292" t="s">
        <v>796</v>
      </c>
      <c r="L292">
        <v>7.3766432096857397E-3</v>
      </c>
      <c r="M292"/>
    </row>
    <row r="293" spans="1:13">
      <c r="E293" s="457"/>
    </row>
    <row r="296" spans="1:13" ht="16">
      <c r="K296" t="s">
        <v>797</v>
      </c>
      <c r="L296"/>
      <c r="M296"/>
    </row>
    <row r="297" spans="1:13" ht="16">
      <c r="A297" s="460" t="s">
        <v>923</v>
      </c>
      <c r="B297" s="460"/>
      <c r="C297" s="460"/>
      <c r="D297" s="460"/>
      <c r="E297" s="460"/>
      <c r="F297" s="456"/>
      <c r="G297" s="460"/>
      <c r="H297" s="460"/>
      <c r="I297" s="460"/>
      <c r="J297" s="459" t="s">
        <v>922</v>
      </c>
      <c r="K297" t="s">
        <v>787</v>
      </c>
      <c r="L297" t="s">
        <v>788</v>
      </c>
      <c r="M297" t="s">
        <v>789</v>
      </c>
    </row>
    <row r="298" spans="1:13" ht="16">
      <c r="K298" t="s">
        <v>573</v>
      </c>
      <c r="L298">
        <v>0.88355846955601003</v>
      </c>
      <c r="M298">
        <v>-0.93715992562759898</v>
      </c>
    </row>
    <row r="299" spans="1:13" ht="16">
      <c r="B299" s="453" t="s">
        <v>843</v>
      </c>
      <c r="K299" t="s">
        <v>798</v>
      </c>
      <c r="L299">
        <v>9.7597444349166104E-2</v>
      </c>
      <c r="M299">
        <v>0.311469327282693</v>
      </c>
    </row>
    <row r="300" spans="1:13" ht="16">
      <c r="C300" s="453" t="s">
        <v>781</v>
      </c>
      <c r="E300" s="462">
        <v>-0.48</v>
      </c>
      <c r="K300" t="s">
        <v>799</v>
      </c>
      <c r="L300">
        <v>9.3286525474137409E-3</v>
      </c>
      <c r="M300">
        <v>9.6295395446953994E-2</v>
      </c>
    </row>
    <row r="301" spans="1:13" ht="16">
      <c r="C301" s="453" t="s">
        <v>782</v>
      </c>
      <c r="E301" s="462">
        <v>-0.14000000000000001</v>
      </c>
      <c r="K301" t="s">
        <v>800</v>
      </c>
      <c r="L301">
        <v>9.06735927867399E-4</v>
      </c>
      <c r="M301">
        <v>3.00217824962178E-2</v>
      </c>
    </row>
    <row r="302" spans="1:13" ht="16">
      <c r="E302" s="457"/>
      <c r="K302" t="s">
        <v>801</v>
      </c>
      <c r="L302">
        <v>4.7466074678073497E-4</v>
      </c>
      <c r="M302">
        <v>2.1721395397213999E-2</v>
      </c>
    </row>
    <row r="303" spans="1:13" ht="16">
      <c r="E303" s="457"/>
      <c r="K303" t="s">
        <v>745</v>
      </c>
      <c r="L303">
        <v>4.6693863294354498E-4</v>
      </c>
      <c r="M303">
        <v>-2.1543981419439799E-2</v>
      </c>
    </row>
    <row r="304" spans="1:13" ht="16">
      <c r="K304" t="s">
        <v>739</v>
      </c>
      <c r="L304">
        <v>4.4758321713310299E-4</v>
      </c>
      <c r="M304">
        <v>2.1092738034927401E-2</v>
      </c>
    </row>
    <row r="305" spans="1:13" ht="16">
      <c r="K305" t="s">
        <v>802</v>
      </c>
      <c r="L305">
        <v>4.4308742232556302E-4</v>
      </c>
      <c r="M305">
        <v>-2.09865366058654E-2</v>
      </c>
    </row>
    <row r="306" spans="1:13" ht="16">
      <c r="K306" t="s">
        <v>744</v>
      </c>
      <c r="L306">
        <v>4.3809798813143603E-4</v>
      </c>
      <c r="M306">
        <v>2.0868041488680399E-2</v>
      </c>
    </row>
    <row r="307" spans="1:13" ht="16">
      <c r="A307" s="460" t="s">
        <v>921</v>
      </c>
      <c r="B307" s="460"/>
      <c r="C307" s="460"/>
      <c r="D307" s="460"/>
      <c r="E307" s="460"/>
      <c r="F307" s="456"/>
      <c r="G307" s="460"/>
      <c r="H307" s="460"/>
      <c r="I307" s="460"/>
      <c r="J307" s="459" t="s">
        <v>920</v>
      </c>
      <c r="K307" t="s">
        <v>803</v>
      </c>
      <c r="L307">
        <v>4.1812358674204997E-4</v>
      </c>
      <c r="M307">
        <v>-2.03867687038677E-2</v>
      </c>
    </row>
    <row r="308" spans="1:13" ht="16">
      <c r="K308" t="s">
        <v>794</v>
      </c>
      <c r="L308">
        <v>4.00486278337549E-4</v>
      </c>
      <c r="M308">
        <v>-1.9952158327521601E-2</v>
      </c>
    </row>
    <row r="309" spans="1:13" ht="16">
      <c r="B309" s="453" t="s">
        <v>816</v>
      </c>
      <c r="K309" t="s">
        <v>728</v>
      </c>
      <c r="L309">
        <v>3.5383752143044398E-4</v>
      </c>
      <c r="M309">
        <v>-1.8754176727541799E-2</v>
      </c>
    </row>
    <row r="310" spans="1:13" ht="16">
      <c r="C310" s="453" t="s">
        <v>429</v>
      </c>
      <c r="E310" s="462">
        <v>-0.12</v>
      </c>
      <c r="K310" t="s">
        <v>747</v>
      </c>
      <c r="L310">
        <v>3.0063986075822002E-4</v>
      </c>
      <c r="M310">
        <v>-1.7286988492869901E-2</v>
      </c>
    </row>
    <row r="311" spans="1:13" ht="16">
      <c r="C311" s="453" t="s">
        <v>815</v>
      </c>
      <c r="E311" s="462">
        <v>1.2E-2</v>
      </c>
      <c r="K311" t="s">
        <v>804</v>
      </c>
      <c r="L311">
        <v>2.7679634770735601E-4</v>
      </c>
      <c r="M311">
        <v>-1.6587320637873201E-2</v>
      </c>
    </row>
    <row r="312" spans="1:13" ht="16">
      <c r="E312" s="457"/>
      <c r="K312" t="s">
        <v>723</v>
      </c>
      <c r="L312">
        <v>2.47004957199012E-4</v>
      </c>
      <c r="M312">
        <v>-1.5669274788692698E-2</v>
      </c>
    </row>
    <row r="313" spans="1:13" ht="16">
      <c r="E313" s="457"/>
      <c r="K313" t="s">
        <v>805</v>
      </c>
      <c r="L313">
        <v>2.22279636515732E-4</v>
      </c>
      <c r="M313">
        <v>-1.4864349256643501E-2</v>
      </c>
    </row>
    <row r="314" spans="1:13" ht="16">
      <c r="K314" t="s">
        <v>792</v>
      </c>
      <c r="L314">
        <v>2.1620633841082601E-4</v>
      </c>
      <c r="M314">
        <v>1.46598751945988E-2</v>
      </c>
    </row>
    <row r="315" spans="1:13" ht="16">
      <c r="K315" t="s">
        <v>791</v>
      </c>
      <c r="L315">
        <v>2.15484379680138E-4</v>
      </c>
      <c r="M315">
        <v>1.46353785143538E-2</v>
      </c>
    </row>
    <row r="316" spans="1:13" ht="16">
      <c r="K316" t="s">
        <v>806</v>
      </c>
      <c r="L316">
        <v>2.08672709037766E-4</v>
      </c>
      <c r="M316">
        <v>1.4402201712022E-2</v>
      </c>
    </row>
    <row r="317" spans="1:13" ht="16">
      <c r="A317" s="460" t="s">
        <v>919</v>
      </c>
      <c r="B317" s="460"/>
      <c r="C317" s="460"/>
      <c r="D317" s="460"/>
      <c r="E317" s="460"/>
      <c r="F317" s="456"/>
      <c r="G317" s="460"/>
      <c r="H317" s="460"/>
      <c r="I317" s="460"/>
      <c r="J317" s="459" t="s">
        <v>918</v>
      </c>
      <c r="K317" t="s">
        <v>729</v>
      </c>
      <c r="L317">
        <v>2.0238133382843599E-4</v>
      </c>
      <c r="M317">
        <v>-1.41834306338343E-2</v>
      </c>
    </row>
    <row r="318" spans="1:13" ht="16">
      <c r="K318" t="s">
        <v>737</v>
      </c>
      <c r="L318">
        <v>1.94372972840218E-4</v>
      </c>
      <c r="M318">
        <v>-1.38999744069997E-2</v>
      </c>
    </row>
    <row r="319" spans="1:13" ht="16">
      <c r="B319" s="453" t="s">
        <v>816</v>
      </c>
      <c r="K319" t="s">
        <v>807</v>
      </c>
      <c r="L319">
        <v>1.9108393393701099E-4</v>
      </c>
      <c r="M319">
        <v>-1.37818699978187E-2</v>
      </c>
    </row>
    <row r="320" spans="1:13" ht="16">
      <c r="C320" s="453" t="s">
        <v>429</v>
      </c>
      <c r="E320" s="462">
        <v>-0.12</v>
      </c>
      <c r="K320" t="s">
        <v>738</v>
      </c>
      <c r="L320">
        <v>1.825882148249E-4</v>
      </c>
      <c r="M320">
        <v>1.34720111427201E-2</v>
      </c>
    </row>
    <row r="321" spans="1:13" ht="16">
      <c r="C321" s="453" t="s">
        <v>815</v>
      </c>
      <c r="E321" s="462">
        <v>1.2E-2</v>
      </c>
      <c r="K321" t="s">
        <v>793</v>
      </c>
      <c r="L321">
        <v>1.8013326704391399E-4</v>
      </c>
      <c r="M321">
        <v>1.33811372418114E-2</v>
      </c>
    </row>
    <row r="322" spans="1:13" ht="16">
      <c r="E322" s="457"/>
      <c r="K322" t="s">
        <v>740</v>
      </c>
      <c r="L322">
        <v>1.7072703579941399E-4</v>
      </c>
      <c r="M322">
        <v>-1.30270839582708E-2</v>
      </c>
    </row>
    <row r="323" spans="1:13" ht="16">
      <c r="E323" s="457"/>
      <c r="K323" t="s">
        <v>796</v>
      </c>
      <c r="L323">
        <v>2.35751123813572E-3</v>
      </c>
      <c r="M323"/>
    </row>
    <row r="327" spans="1:13">
      <c r="A327" s="460" t="s">
        <v>917</v>
      </c>
      <c r="B327" s="460"/>
      <c r="C327" s="460"/>
      <c r="D327" s="460"/>
      <c r="E327" s="460"/>
      <c r="F327" s="456"/>
      <c r="G327" s="460"/>
      <c r="H327" s="460"/>
      <c r="I327" s="460"/>
      <c r="J327" s="459" t="s">
        <v>916</v>
      </c>
    </row>
    <row r="329" spans="1:13">
      <c r="B329" s="453" t="s">
        <v>816</v>
      </c>
    </row>
    <row r="330" spans="1:13">
      <c r="C330" s="453" t="s">
        <v>429</v>
      </c>
      <c r="E330" s="462">
        <v>4.2082793410944196E-2</v>
      </c>
    </row>
    <row r="331" spans="1:13">
      <c r="C331" s="453" t="s">
        <v>815</v>
      </c>
      <c r="E331" s="462">
        <v>4.2082793410944197E-3</v>
      </c>
    </row>
    <row r="332" spans="1:13">
      <c r="E332" s="457"/>
    </row>
    <row r="333" spans="1:13">
      <c r="E333" s="457"/>
    </row>
    <row r="337" spans="1:10">
      <c r="A337" s="460" t="s">
        <v>915</v>
      </c>
      <c r="B337" s="460"/>
      <c r="C337" s="460"/>
      <c r="D337" s="460"/>
      <c r="E337" s="460"/>
      <c r="F337" s="456"/>
      <c r="G337" s="460"/>
      <c r="H337" s="460"/>
      <c r="I337" s="460"/>
      <c r="J337" s="459" t="s">
        <v>914</v>
      </c>
    </row>
    <row r="339" spans="1:10">
      <c r="B339" s="453" t="s">
        <v>816</v>
      </c>
    </row>
    <row r="340" spans="1:10">
      <c r="C340" s="453" t="s">
        <v>429</v>
      </c>
      <c r="E340" s="462">
        <v>9.0447902743732607E-3</v>
      </c>
    </row>
    <row r="341" spans="1:10">
      <c r="C341" s="453" t="s">
        <v>815</v>
      </c>
      <c r="E341" s="462">
        <v>9.0447902743732609E-4</v>
      </c>
    </row>
    <row r="342" spans="1:10">
      <c r="E342" s="457"/>
    </row>
    <row r="343" spans="1:10">
      <c r="E343" s="457"/>
    </row>
    <row r="347" spans="1:10">
      <c r="A347" s="460" t="s">
        <v>913</v>
      </c>
      <c r="B347" s="460"/>
      <c r="C347" s="460"/>
      <c r="D347" s="460"/>
      <c r="E347" s="460"/>
      <c r="F347" s="456"/>
      <c r="G347" s="460"/>
      <c r="H347" s="460"/>
      <c r="I347" s="460"/>
      <c r="J347" s="459" t="s">
        <v>912</v>
      </c>
    </row>
    <row r="349" spans="1:10">
      <c r="B349" s="453" t="s">
        <v>843</v>
      </c>
    </row>
    <row r="350" spans="1:10">
      <c r="C350" s="453" t="s">
        <v>781</v>
      </c>
      <c r="E350" s="462">
        <v>-2.09</v>
      </c>
    </row>
    <row r="351" spans="1:10">
      <c r="C351" s="453" t="s">
        <v>782</v>
      </c>
      <c r="E351" s="462">
        <v>0.42</v>
      </c>
    </row>
    <row r="352" spans="1:10">
      <c r="E352" s="457"/>
    </row>
    <row r="353" spans="1:10">
      <c r="E353" s="457"/>
    </row>
    <row r="357" spans="1:10">
      <c r="A357" s="460" t="s">
        <v>911</v>
      </c>
      <c r="B357" s="460"/>
      <c r="C357" s="460"/>
      <c r="D357" s="460"/>
      <c r="E357" s="460"/>
      <c r="F357" s="456"/>
      <c r="G357" s="460"/>
      <c r="H357" s="460"/>
      <c r="I357" s="460"/>
      <c r="J357" s="459" t="s">
        <v>910</v>
      </c>
    </row>
    <row r="359" spans="1:10">
      <c r="B359" s="453" t="s">
        <v>843</v>
      </c>
    </row>
    <row r="360" spans="1:10">
      <c r="C360" s="453" t="s">
        <v>781</v>
      </c>
      <c r="E360" s="462">
        <v>-0.06</v>
      </c>
    </row>
    <row r="361" spans="1:10">
      <c r="C361" s="453" t="s">
        <v>782</v>
      </c>
      <c r="E361" s="462">
        <v>0.14000000000000001</v>
      </c>
    </row>
    <row r="362" spans="1:10">
      <c r="E362" s="457"/>
    </row>
    <row r="363" spans="1:10">
      <c r="E363" s="457"/>
    </row>
    <row r="367" spans="1:10">
      <c r="A367" s="460" t="s">
        <v>909</v>
      </c>
      <c r="B367" s="460"/>
      <c r="C367" s="460"/>
      <c r="D367" s="460"/>
      <c r="E367" s="460"/>
      <c r="F367" s="456"/>
      <c r="G367" s="460"/>
      <c r="H367" s="460"/>
      <c r="I367" s="460"/>
      <c r="J367" s="459" t="s">
        <v>908</v>
      </c>
    </row>
    <row r="369" spans="1:10">
      <c r="B369" s="453" t="s">
        <v>843</v>
      </c>
    </row>
    <row r="370" spans="1:10">
      <c r="C370" s="453" t="s">
        <v>781</v>
      </c>
      <c r="E370" s="462">
        <v>-0.06</v>
      </c>
    </row>
    <row r="371" spans="1:10">
      <c r="C371" s="453" t="s">
        <v>782</v>
      </c>
      <c r="E371" s="462">
        <v>0.14000000000000001</v>
      </c>
    </row>
    <row r="372" spans="1:10">
      <c r="E372" s="457"/>
    </row>
    <row r="373" spans="1:10">
      <c r="E373" s="457"/>
    </row>
    <row r="377" spans="1:10">
      <c r="A377" s="460" t="s">
        <v>907</v>
      </c>
      <c r="B377" s="460"/>
      <c r="C377" s="460"/>
      <c r="D377" s="460"/>
      <c r="E377" s="460"/>
      <c r="F377" s="456"/>
      <c r="G377" s="460"/>
      <c r="H377" s="460"/>
      <c r="I377" s="460"/>
      <c r="J377" s="459" t="s">
        <v>906</v>
      </c>
    </row>
    <row r="379" spans="1:10">
      <c r="B379" s="453" t="s">
        <v>816</v>
      </c>
    </row>
    <row r="380" spans="1:10">
      <c r="C380" s="453" t="s">
        <v>429</v>
      </c>
      <c r="E380" s="462">
        <v>2.6301030034267651E-2</v>
      </c>
    </row>
    <row r="381" spans="1:10">
      <c r="C381" s="453" t="s">
        <v>815</v>
      </c>
      <c r="E381" s="462">
        <v>2.6301030034267649E-3</v>
      </c>
    </row>
    <row r="382" spans="1:10">
      <c r="E382" s="457"/>
    </row>
    <row r="383" spans="1:10">
      <c r="E383" s="457"/>
    </row>
    <row r="387" spans="1:10">
      <c r="A387" s="460" t="s">
        <v>905</v>
      </c>
      <c r="B387" s="460"/>
      <c r="C387" s="460"/>
      <c r="D387" s="460"/>
      <c r="E387" s="460"/>
      <c r="F387" s="456"/>
      <c r="G387" s="460"/>
      <c r="H387" s="460"/>
      <c r="I387" s="460"/>
      <c r="J387" s="459" t="s">
        <v>904</v>
      </c>
    </row>
    <row r="389" spans="1:10">
      <c r="B389" s="453" t="s">
        <v>816</v>
      </c>
    </row>
    <row r="390" spans="1:10">
      <c r="C390" s="453" t="s">
        <v>429</v>
      </c>
      <c r="E390" s="462">
        <v>1.1211319073083779</v>
      </c>
    </row>
    <row r="391" spans="1:10">
      <c r="C391" s="453" t="s">
        <v>815</v>
      </c>
      <c r="E391" s="462">
        <v>0.11211319073083778</v>
      </c>
    </row>
    <row r="392" spans="1:10">
      <c r="E392" s="457"/>
    </row>
    <row r="393" spans="1:10">
      <c r="E393" s="457"/>
    </row>
    <row r="397" spans="1:10">
      <c r="A397" s="460" t="s">
        <v>903</v>
      </c>
      <c r="B397" s="460"/>
      <c r="C397" s="460"/>
      <c r="D397" s="460"/>
      <c r="E397" s="460"/>
      <c r="F397" s="456"/>
      <c r="G397" s="460"/>
      <c r="H397" s="460"/>
      <c r="I397" s="460"/>
      <c r="J397" s="459" t="s">
        <v>902</v>
      </c>
    </row>
    <row r="399" spans="1:10">
      <c r="B399" s="453" t="s">
        <v>816</v>
      </c>
    </row>
    <row r="400" spans="1:10">
      <c r="C400" s="453" t="s">
        <v>429</v>
      </c>
      <c r="E400" s="462">
        <v>-5.2750473464197603E-2</v>
      </c>
    </row>
    <row r="401" spans="1:10">
      <c r="C401" s="453" t="s">
        <v>815</v>
      </c>
      <c r="E401" s="462">
        <v>5.2750473464197607E-3</v>
      </c>
    </row>
    <row r="402" spans="1:10">
      <c r="E402" s="457"/>
    </row>
    <row r="403" spans="1:10">
      <c r="E403" s="457"/>
    </row>
    <row r="407" spans="1:10">
      <c r="A407" s="460" t="s">
        <v>901</v>
      </c>
      <c r="B407" s="460"/>
      <c r="C407" s="460"/>
      <c r="D407" s="460"/>
      <c r="E407" s="460"/>
      <c r="F407" s="456"/>
      <c r="G407" s="460"/>
      <c r="H407" s="460"/>
      <c r="I407" s="460"/>
      <c r="J407" s="459" t="s">
        <v>900</v>
      </c>
    </row>
    <row r="409" spans="1:10">
      <c r="B409" s="453" t="s">
        <v>816</v>
      </c>
    </row>
    <row r="410" spans="1:10">
      <c r="C410" s="453" t="s">
        <v>429</v>
      </c>
      <c r="E410" s="462">
        <v>-5.2750473464197589E-2</v>
      </c>
    </row>
    <row r="411" spans="1:10">
      <c r="C411" s="453" t="s">
        <v>815</v>
      </c>
      <c r="E411" s="462">
        <v>5.2750473464197589E-3</v>
      </c>
    </row>
    <row r="412" spans="1:10">
      <c r="E412" s="457"/>
    </row>
    <row r="413" spans="1:10">
      <c r="E413" s="457"/>
    </row>
    <row r="417" spans="1:10">
      <c r="A417" s="460" t="s">
        <v>899</v>
      </c>
      <c r="B417" s="460"/>
      <c r="C417" s="460"/>
      <c r="D417" s="460"/>
      <c r="E417" s="460"/>
      <c r="F417" s="456"/>
      <c r="G417" s="460"/>
      <c r="H417" s="460"/>
      <c r="I417" s="460"/>
      <c r="J417" s="459" t="s">
        <v>898</v>
      </c>
    </row>
    <row r="419" spans="1:10">
      <c r="B419" s="453" t="s">
        <v>816</v>
      </c>
    </row>
    <row r="420" spans="1:10">
      <c r="C420" s="453" t="s">
        <v>429</v>
      </c>
      <c r="E420" s="462">
        <v>3.7582989756941008E-3</v>
      </c>
    </row>
    <row r="421" spans="1:10">
      <c r="C421" s="453" t="s">
        <v>815</v>
      </c>
      <c r="E421" s="462">
        <v>1E-3</v>
      </c>
    </row>
    <row r="422" spans="1:10">
      <c r="E422" s="457"/>
    </row>
    <row r="423" spans="1:10">
      <c r="E423" s="457"/>
    </row>
    <row r="427" spans="1:10">
      <c r="A427" s="460" t="s">
        <v>897</v>
      </c>
      <c r="B427" s="460"/>
      <c r="C427" s="460"/>
      <c r="D427" s="460"/>
      <c r="E427" s="460"/>
      <c r="F427" s="456"/>
      <c r="G427" s="460"/>
      <c r="H427" s="460"/>
      <c r="I427" s="460"/>
      <c r="J427" s="459" t="s">
        <v>896</v>
      </c>
    </row>
    <row r="429" spans="1:10">
      <c r="B429" s="453" t="s">
        <v>816</v>
      </c>
    </row>
    <row r="430" spans="1:10">
      <c r="C430" s="453" t="s">
        <v>429</v>
      </c>
      <c r="E430" s="462">
        <v>3.7582989756941012E-3</v>
      </c>
    </row>
    <row r="431" spans="1:10">
      <c r="C431" s="453" t="s">
        <v>815</v>
      </c>
      <c r="E431" s="462">
        <v>3.7582989756941012E-4</v>
      </c>
    </row>
    <row r="432" spans="1:10">
      <c r="E432" s="457"/>
    </row>
    <row r="433" spans="1:10">
      <c r="E433" s="457"/>
    </row>
    <row r="437" spans="1:10">
      <c r="A437" s="460" t="s">
        <v>895</v>
      </c>
      <c r="B437" s="460"/>
      <c r="C437" s="460"/>
      <c r="D437" s="460"/>
      <c r="E437" s="460"/>
      <c r="F437" s="456"/>
      <c r="G437" s="460"/>
      <c r="H437" s="460"/>
      <c r="I437" s="460"/>
      <c r="J437" s="459" t="s">
        <v>894</v>
      </c>
    </row>
    <row r="439" spans="1:10">
      <c r="B439" s="453" t="s">
        <v>816</v>
      </c>
    </row>
    <row r="440" spans="1:10">
      <c r="C440" s="453" t="s">
        <v>429</v>
      </c>
      <c r="E440" s="462">
        <v>-3.9349875028942952E-2</v>
      </c>
    </row>
    <row r="441" spans="1:10">
      <c r="C441" s="453" t="s">
        <v>815</v>
      </c>
      <c r="E441" s="462">
        <v>3.9349875028942948E-3</v>
      </c>
    </row>
    <row r="442" spans="1:10">
      <c r="E442" s="457"/>
    </row>
    <row r="443" spans="1:10">
      <c r="E443" s="457"/>
    </row>
    <row r="447" spans="1:10">
      <c r="A447" s="460" t="s">
        <v>893</v>
      </c>
      <c r="B447" s="460"/>
      <c r="C447" s="460"/>
      <c r="D447" s="460"/>
      <c r="E447" s="460"/>
      <c r="F447" s="456"/>
      <c r="G447" s="460"/>
      <c r="H447" s="460"/>
      <c r="I447" s="460"/>
      <c r="J447" s="459" t="s">
        <v>892</v>
      </c>
    </row>
    <row r="449" spans="1:10">
      <c r="B449" s="453" t="s">
        <v>816</v>
      </c>
    </row>
    <row r="450" spans="1:10">
      <c r="C450" s="453" t="s">
        <v>429</v>
      </c>
      <c r="E450" s="462">
        <v>-3.9349875028942952E-2</v>
      </c>
    </row>
    <row r="451" spans="1:10">
      <c r="C451" s="453" t="s">
        <v>815</v>
      </c>
      <c r="E451" s="462">
        <v>3.9349875028942948E-3</v>
      </c>
    </row>
    <row r="452" spans="1:10">
      <c r="E452" s="457"/>
    </row>
    <row r="453" spans="1:10">
      <c r="E453" s="457"/>
    </row>
    <row r="457" spans="1:10">
      <c r="A457" s="460" t="s">
        <v>891</v>
      </c>
      <c r="B457" s="460"/>
      <c r="C457" s="460"/>
      <c r="D457" s="460"/>
      <c r="E457" s="460"/>
      <c r="F457" s="456"/>
      <c r="G457" s="460"/>
      <c r="H457" s="460"/>
      <c r="I457" s="460"/>
      <c r="J457" s="459" t="s">
        <v>890</v>
      </c>
    </row>
    <row r="459" spans="1:10" ht="126" customHeight="1">
      <c r="C459" s="708" t="s">
        <v>889</v>
      </c>
      <c r="D459" s="708"/>
      <c r="E459" s="708"/>
      <c r="F459" s="708"/>
      <c r="G459" s="708"/>
      <c r="H459" s="708"/>
      <c r="I459" s="708"/>
    </row>
    <row r="461" spans="1:10">
      <c r="B461" s="453" t="s">
        <v>843</v>
      </c>
    </row>
    <row r="462" spans="1:10">
      <c r="C462" s="453" t="s">
        <v>781</v>
      </c>
      <c r="E462" s="462">
        <v>0.02</v>
      </c>
    </row>
    <row r="463" spans="1:10">
      <c r="C463" s="453" t="s">
        <v>782</v>
      </c>
      <c r="E463" s="462">
        <v>0.12</v>
      </c>
    </row>
    <row r="464" spans="1:10">
      <c r="E464" s="457"/>
    </row>
    <row r="465" spans="1:10">
      <c r="E465" s="457"/>
    </row>
    <row r="469" spans="1:10">
      <c r="A469" s="460" t="s">
        <v>888</v>
      </c>
      <c r="B469" s="460"/>
      <c r="C469" s="460"/>
      <c r="D469" s="460"/>
      <c r="E469" s="460"/>
      <c r="F469" s="456"/>
      <c r="G469" s="460"/>
      <c r="H469" s="460"/>
      <c r="I469" s="460"/>
      <c r="J469" s="459" t="s">
        <v>887</v>
      </c>
    </row>
    <row r="471" spans="1:10">
      <c r="B471" s="453" t="s">
        <v>843</v>
      </c>
    </row>
    <row r="472" spans="1:10">
      <c r="C472" s="453" t="s">
        <v>781</v>
      </c>
      <c r="E472" s="462">
        <v>0.02</v>
      </c>
    </row>
    <row r="473" spans="1:10">
      <c r="C473" s="453" t="s">
        <v>782</v>
      </c>
      <c r="E473" s="462">
        <v>0.12</v>
      </c>
    </row>
    <row r="474" spans="1:10">
      <c r="E474" s="457"/>
    </row>
    <row r="475" spans="1:10">
      <c r="E475" s="457"/>
    </row>
    <row r="479" spans="1:10">
      <c r="A479" s="460" t="s">
        <v>886</v>
      </c>
      <c r="B479" s="460"/>
      <c r="C479" s="460"/>
      <c r="D479" s="460"/>
      <c r="E479" s="460"/>
      <c r="F479" s="456"/>
      <c r="G479" s="460"/>
      <c r="H479" s="460"/>
      <c r="I479" s="460"/>
      <c r="J479" s="459" t="s">
        <v>885</v>
      </c>
    </row>
    <row r="481" spans="1:10">
      <c r="B481" s="453" t="s">
        <v>816</v>
      </c>
    </row>
    <row r="482" spans="1:10">
      <c r="C482" s="453" t="s">
        <v>429</v>
      </c>
      <c r="E482" s="461">
        <v>0.30675290302434066</v>
      </c>
    </row>
    <row r="483" spans="1:10">
      <c r="C483" s="453" t="s">
        <v>815</v>
      </c>
      <c r="E483" s="461">
        <v>3.0675290302434065E-2</v>
      </c>
    </row>
    <row r="484" spans="1:10">
      <c r="E484" s="457"/>
    </row>
    <row r="485" spans="1:10">
      <c r="E485" s="457"/>
    </row>
    <row r="489" spans="1:10">
      <c r="A489" s="460" t="s">
        <v>884</v>
      </c>
      <c r="B489" s="460"/>
      <c r="C489" s="460"/>
      <c r="D489" s="460"/>
      <c r="E489" s="460"/>
      <c r="F489" s="456"/>
      <c r="G489" s="460"/>
      <c r="H489" s="460"/>
      <c r="I489" s="460"/>
      <c r="J489" s="459" t="s">
        <v>883</v>
      </c>
    </row>
    <row r="491" spans="1:10">
      <c r="B491" s="453" t="s">
        <v>816</v>
      </c>
    </row>
    <row r="492" spans="1:10">
      <c r="C492" s="453" t="s">
        <v>429</v>
      </c>
      <c r="E492" s="461">
        <v>4.9083316512498865E-2</v>
      </c>
    </row>
    <row r="493" spans="1:10">
      <c r="C493" s="453" t="s">
        <v>815</v>
      </c>
      <c r="E493" s="461">
        <v>4.9083316512498866E-3</v>
      </c>
    </row>
    <row r="494" spans="1:10">
      <c r="E494" s="457"/>
    </row>
    <row r="495" spans="1:10">
      <c r="E495" s="457"/>
    </row>
    <row r="499" spans="1:10">
      <c r="A499" s="460" t="s">
        <v>882</v>
      </c>
      <c r="B499" s="460"/>
      <c r="C499" s="460"/>
      <c r="D499" s="460"/>
      <c r="E499" s="460"/>
      <c r="F499" s="456"/>
      <c r="G499" s="460"/>
      <c r="H499" s="460"/>
      <c r="I499" s="460"/>
      <c r="J499" s="459" t="s">
        <v>881</v>
      </c>
    </row>
    <row r="501" spans="1:10">
      <c r="B501" s="453" t="s">
        <v>816</v>
      </c>
    </row>
    <row r="502" spans="1:10">
      <c r="C502" s="453" t="s">
        <v>429</v>
      </c>
      <c r="E502" s="458">
        <v>7.5992771546960457E-3</v>
      </c>
    </row>
    <row r="503" spans="1:10">
      <c r="C503" s="453" t="s">
        <v>815</v>
      </c>
      <c r="E503" s="458">
        <v>7.5992771546960455E-4</v>
      </c>
    </row>
    <row r="504" spans="1:10">
      <c r="E504" s="457"/>
    </row>
    <row r="505" spans="1:10">
      <c r="E505" s="457"/>
    </row>
    <row r="509" spans="1:10">
      <c r="A509" s="460" t="s">
        <v>880</v>
      </c>
      <c r="B509" s="460"/>
      <c r="C509" s="460"/>
      <c r="D509" s="460"/>
      <c r="E509" s="460"/>
      <c r="F509" s="456"/>
      <c r="G509" s="460"/>
      <c r="H509" s="460"/>
      <c r="I509" s="460"/>
      <c r="J509" s="459" t="s">
        <v>879</v>
      </c>
    </row>
    <row r="511" spans="1:10">
      <c r="B511" s="453" t="s">
        <v>816</v>
      </c>
    </row>
    <row r="512" spans="1:10">
      <c r="C512" s="453" t="s">
        <v>429</v>
      </c>
      <c r="E512" s="462">
        <v>-2.3670347116980586E-3</v>
      </c>
    </row>
    <row r="513" spans="1:10">
      <c r="C513" s="453" t="s">
        <v>815</v>
      </c>
      <c r="E513" s="462">
        <v>1E-3</v>
      </c>
    </row>
    <row r="514" spans="1:10">
      <c r="E514" s="457"/>
    </row>
    <row r="515" spans="1:10">
      <c r="E515" s="457"/>
    </row>
    <row r="519" spans="1:10">
      <c r="A519" s="460" t="s">
        <v>878</v>
      </c>
      <c r="B519" s="460"/>
      <c r="C519" s="460"/>
      <c r="D519" s="460"/>
      <c r="E519" s="460"/>
      <c r="F519" s="456"/>
      <c r="G519" s="460"/>
      <c r="H519" s="460"/>
      <c r="I519" s="460"/>
      <c r="J519" s="459" t="s">
        <v>877</v>
      </c>
    </row>
    <row r="521" spans="1:10">
      <c r="B521" s="453" t="s">
        <v>816</v>
      </c>
    </row>
    <row r="522" spans="1:10">
      <c r="C522" s="453" t="s">
        <v>429</v>
      </c>
      <c r="E522" s="462">
        <v>-2.3670347116980586E-3</v>
      </c>
    </row>
    <row r="523" spans="1:10">
      <c r="C523" s="453" t="s">
        <v>815</v>
      </c>
      <c r="E523" s="462">
        <v>2.3670347116980586E-4</v>
      </c>
    </row>
    <row r="524" spans="1:10">
      <c r="E524" s="457"/>
    </row>
    <row r="525" spans="1:10">
      <c r="E525" s="457"/>
    </row>
    <row r="529" spans="1:10">
      <c r="A529" s="460" t="s">
        <v>876</v>
      </c>
      <c r="B529" s="460"/>
      <c r="C529" s="460"/>
      <c r="D529" s="460"/>
      <c r="E529" s="460"/>
      <c r="F529" s="456"/>
      <c r="G529" s="460"/>
      <c r="H529" s="460"/>
      <c r="I529" s="460"/>
      <c r="J529" s="459" t="s">
        <v>875</v>
      </c>
    </row>
    <row r="531" spans="1:10">
      <c r="B531" s="453" t="s">
        <v>843</v>
      </c>
    </row>
    <row r="532" spans="1:10">
      <c r="C532" s="453" t="s">
        <v>781</v>
      </c>
      <c r="E532" s="462">
        <v>0.11</v>
      </c>
    </row>
    <row r="533" spans="1:10">
      <c r="C533" s="453" t="s">
        <v>782</v>
      </c>
      <c r="E533" s="462">
        <v>0.18</v>
      </c>
    </row>
    <row r="534" spans="1:10">
      <c r="E534" s="457"/>
    </row>
    <row r="535" spans="1:10">
      <c r="E535" s="457"/>
    </row>
    <row r="539" spans="1:10">
      <c r="A539" s="460" t="s">
        <v>874</v>
      </c>
      <c r="B539" s="460"/>
      <c r="C539" s="460"/>
      <c r="D539" s="460"/>
      <c r="E539" s="460"/>
      <c r="F539" s="456"/>
      <c r="G539" s="460"/>
      <c r="H539" s="460"/>
      <c r="I539" s="460"/>
      <c r="J539" s="459" t="s">
        <v>873</v>
      </c>
    </row>
    <row r="541" spans="1:10">
      <c r="B541" s="453" t="s">
        <v>843</v>
      </c>
    </row>
    <row r="542" spans="1:10">
      <c r="C542" s="453" t="s">
        <v>781</v>
      </c>
      <c r="E542" s="462">
        <v>0.13923776980191141</v>
      </c>
    </row>
    <row r="543" spans="1:10">
      <c r="C543" s="453" t="s">
        <v>782</v>
      </c>
      <c r="E543" s="462">
        <v>0.43</v>
      </c>
    </row>
    <row r="544" spans="1:10">
      <c r="E544" s="457"/>
    </row>
    <row r="545" spans="1:10">
      <c r="E545" s="457"/>
    </row>
    <row r="549" spans="1:10">
      <c r="A549" s="460" t="s">
        <v>872</v>
      </c>
      <c r="B549" s="460"/>
      <c r="C549" s="460"/>
      <c r="D549" s="460"/>
      <c r="E549" s="460"/>
      <c r="F549" s="456"/>
      <c r="G549" s="460"/>
      <c r="H549" s="460"/>
      <c r="I549" s="460"/>
      <c r="J549" s="459" t="s">
        <v>871</v>
      </c>
    </row>
    <row r="551" spans="1:10">
      <c r="B551" s="453" t="s">
        <v>816</v>
      </c>
    </row>
    <row r="552" spans="1:10">
      <c r="C552" s="453" t="s">
        <v>429</v>
      </c>
      <c r="E552" s="462">
        <v>-8.0919964099763382E-3</v>
      </c>
    </row>
    <row r="553" spans="1:10">
      <c r="C553" s="453" t="s">
        <v>815</v>
      </c>
      <c r="E553" s="462">
        <v>1E-3</v>
      </c>
    </row>
    <row r="554" spans="1:10">
      <c r="E554" s="457"/>
    </row>
    <row r="555" spans="1:10">
      <c r="E555" s="457"/>
    </row>
    <row r="559" spans="1:10">
      <c r="A559" s="460" t="s">
        <v>870</v>
      </c>
      <c r="B559" s="460"/>
      <c r="C559" s="460"/>
      <c r="D559" s="460"/>
      <c r="E559" s="460"/>
      <c r="F559" s="456"/>
      <c r="G559" s="460"/>
      <c r="H559" s="460"/>
      <c r="I559" s="460"/>
      <c r="J559" s="459" t="s">
        <v>869</v>
      </c>
    </row>
    <row r="561" spans="1:10">
      <c r="B561" s="453" t="s">
        <v>816</v>
      </c>
    </row>
    <row r="562" spans="1:10">
      <c r="C562" s="453" t="s">
        <v>429</v>
      </c>
      <c r="E562" s="462">
        <v>-8.0919964099763382E-3</v>
      </c>
    </row>
    <row r="563" spans="1:10">
      <c r="C563" s="453" t="s">
        <v>815</v>
      </c>
      <c r="E563" s="462">
        <v>8.091996409976338E-4</v>
      </c>
    </row>
    <row r="564" spans="1:10">
      <c r="E564" s="457"/>
    </row>
    <row r="565" spans="1:10">
      <c r="E565" s="457"/>
    </row>
    <row r="569" spans="1:10">
      <c r="A569" s="460" t="s">
        <v>824</v>
      </c>
      <c r="B569" s="460"/>
      <c r="C569" s="460"/>
      <c r="D569" s="460"/>
      <c r="E569" s="460"/>
      <c r="F569" s="456"/>
      <c r="G569" s="460"/>
      <c r="H569" s="460"/>
      <c r="I569" s="460"/>
      <c r="J569" s="459" t="s">
        <v>868</v>
      </c>
    </row>
    <row r="571" spans="1:10">
      <c r="B571" s="453" t="s">
        <v>816</v>
      </c>
    </row>
    <row r="572" spans="1:10">
      <c r="C572" s="453" t="s">
        <v>429</v>
      </c>
      <c r="E572" s="461">
        <v>0.22973515272238387</v>
      </c>
    </row>
    <row r="573" spans="1:10">
      <c r="C573" s="453" t="s">
        <v>815</v>
      </c>
      <c r="E573" s="461">
        <v>2.2973515272238388E-2</v>
      </c>
    </row>
    <row r="574" spans="1:10">
      <c r="E574" s="457"/>
    </row>
    <row r="575" spans="1:10">
      <c r="E575" s="457"/>
    </row>
    <row r="579" spans="1:10">
      <c r="A579" s="460" t="s">
        <v>867</v>
      </c>
      <c r="B579" s="460"/>
      <c r="C579" s="460"/>
      <c r="D579" s="460"/>
      <c r="E579" s="460"/>
      <c r="F579" s="456"/>
      <c r="G579" s="460"/>
      <c r="H579" s="460"/>
      <c r="I579" s="460"/>
      <c r="J579" s="459" t="s">
        <v>866</v>
      </c>
    </row>
    <row r="581" spans="1:10">
      <c r="B581" s="453" t="s">
        <v>816</v>
      </c>
    </row>
    <row r="582" spans="1:10">
      <c r="C582" s="453" t="s">
        <v>429</v>
      </c>
      <c r="E582" s="461">
        <v>9.1363297736570925E-2</v>
      </c>
    </row>
    <row r="583" spans="1:10">
      <c r="C583" s="453" t="s">
        <v>815</v>
      </c>
      <c r="E583" s="461">
        <v>9.1363297736570918E-3</v>
      </c>
    </row>
    <row r="584" spans="1:10">
      <c r="E584" s="457"/>
    </row>
    <row r="585" spans="1:10">
      <c r="E585" s="457"/>
    </row>
    <row r="589" spans="1:10">
      <c r="A589" s="460" t="s">
        <v>865</v>
      </c>
      <c r="B589" s="460"/>
      <c r="C589" s="460"/>
      <c r="D589" s="460"/>
      <c r="E589" s="460"/>
      <c r="F589" s="456"/>
      <c r="G589" s="460"/>
      <c r="H589" s="460"/>
      <c r="I589" s="460"/>
      <c r="J589" s="459" t="s">
        <v>864</v>
      </c>
    </row>
    <row r="591" spans="1:10">
      <c r="B591" s="453" t="s">
        <v>816</v>
      </c>
    </row>
    <row r="592" spans="1:10">
      <c r="C592" s="453" t="s">
        <v>429</v>
      </c>
      <c r="E592" s="458">
        <v>4.1528147123543824E-3</v>
      </c>
    </row>
    <row r="593" spans="1:10">
      <c r="C593" s="453" t="s">
        <v>815</v>
      </c>
      <c r="E593" s="458">
        <v>4.1528147123543824E-4</v>
      </c>
    </row>
    <row r="594" spans="1:10">
      <c r="E594" s="457"/>
    </row>
    <row r="595" spans="1:10">
      <c r="E595" s="457"/>
    </row>
    <row r="599" spans="1:10">
      <c r="A599" s="460" t="s">
        <v>863</v>
      </c>
      <c r="B599" s="460"/>
      <c r="C599" s="460"/>
      <c r="D599" s="460"/>
      <c r="E599" s="460"/>
      <c r="F599" s="456"/>
      <c r="G599" s="460"/>
      <c r="H599" s="460"/>
      <c r="I599" s="460"/>
      <c r="J599" s="459" t="s">
        <v>862</v>
      </c>
    </row>
    <row r="601" spans="1:10">
      <c r="B601" s="453" t="s">
        <v>816</v>
      </c>
    </row>
    <row r="602" spans="1:10">
      <c r="C602" s="453" t="s">
        <v>429</v>
      </c>
      <c r="E602" s="462">
        <v>6.3059441274082376E-3</v>
      </c>
    </row>
    <row r="603" spans="1:10">
      <c r="C603" s="453" t="s">
        <v>815</v>
      </c>
      <c r="E603" s="462">
        <v>6.3059441274082378E-4</v>
      </c>
    </row>
    <row r="604" spans="1:10">
      <c r="E604" s="457"/>
    </row>
    <row r="605" spans="1:10">
      <c r="E605" s="457"/>
    </row>
    <row r="609" spans="1:10">
      <c r="A609" s="460" t="s">
        <v>861</v>
      </c>
      <c r="B609" s="460"/>
      <c r="C609" s="460"/>
      <c r="D609" s="460"/>
      <c r="E609" s="460"/>
      <c r="F609" s="456"/>
      <c r="G609" s="460"/>
      <c r="H609" s="460"/>
      <c r="I609" s="460"/>
      <c r="J609" s="459" t="s">
        <v>860</v>
      </c>
    </row>
    <row r="611" spans="1:10">
      <c r="B611" s="453" t="s">
        <v>816</v>
      </c>
    </row>
    <row r="612" spans="1:10">
      <c r="C612" s="453" t="s">
        <v>429</v>
      </c>
      <c r="E612" s="462">
        <v>-5.716596011945593E-3</v>
      </c>
    </row>
    <row r="613" spans="1:10">
      <c r="C613" s="453" t="s">
        <v>815</v>
      </c>
      <c r="E613" s="462">
        <v>5.7165960119455927E-4</v>
      </c>
    </row>
    <row r="614" spans="1:10">
      <c r="E614" s="457"/>
    </row>
    <row r="615" spans="1:10">
      <c r="E615" s="457"/>
    </row>
    <row r="619" spans="1:10">
      <c r="A619" s="460" t="s">
        <v>859</v>
      </c>
      <c r="B619" s="460"/>
      <c r="C619" s="460"/>
      <c r="D619" s="460"/>
      <c r="E619" s="460"/>
      <c r="F619" s="456"/>
      <c r="G619" s="460"/>
      <c r="H619" s="460"/>
      <c r="I619" s="460"/>
      <c r="J619" s="459" t="s">
        <v>858</v>
      </c>
    </row>
    <row r="621" spans="1:10">
      <c r="B621" s="453" t="s">
        <v>816</v>
      </c>
    </row>
    <row r="622" spans="1:10">
      <c r="C622" s="453" t="s">
        <v>429</v>
      </c>
      <c r="E622" s="462">
        <v>-5.8876063913510281E-2</v>
      </c>
    </row>
    <row r="623" spans="1:10">
      <c r="C623" s="453" t="s">
        <v>815</v>
      </c>
      <c r="E623" s="462">
        <v>5.8876063913510281E-3</v>
      </c>
    </row>
    <row r="624" spans="1:10">
      <c r="E624" s="457"/>
    </row>
    <row r="625" spans="1:10">
      <c r="E625" s="457"/>
    </row>
    <row r="629" spans="1:10">
      <c r="A629" s="460" t="s">
        <v>857</v>
      </c>
      <c r="B629" s="460"/>
      <c r="C629" s="460"/>
      <c r="D629" s="460"/>
      <c r="E629" s="460"/>
      <c r="F629" s="456"/>
      <c r="G629" s="460"/>
      <c r="H629" s="460"/>
      <c r="I629" s="460"/>
      <c r="J629" s="459" t="s">
        <v>856</v>
      </c>
    </row>
    <row r="631" spans="1:10">
      <c r="B631" s="453" t="s">
        <v>816</v>
      </c>
    </row>
    <row r="632" spans="1:10">
      <c r="C632" s="453" t="s">
        <v>429</v>
      </c>
      <c r="E632" s="462">
        <v>-5.8876063913510281E-2</v>
      </c>
    </row>
    <row r="633" spans="1:10">
      <c r="C633" s="453" t="s">
        <v>815</v>
      </c>
      <c r="E633" s="462">
        <v>5.8876063913510281E-3</v>
      </c>
    </row>
    <row r="634" spans="1:10">
      <c r="E634" s="457"/>
    </row>
    <row r="635" spans="1:10">
      <c r="E635" s="457"/>
    </row>
    <row r="639" spans="1:10">
      <c r="A639" s="460" t="s">
        <v>855</v>
      </c>
      <c r="B639" s="460"/>
      <c r="C639" s="460"/>
      <c r="D639" s="460"/>
      <c r="E639" s="460"/>
      <c r="F639" s="456"/>
      <c r="G639" s="460"/>
      <c r="H639" s="460"/>
      <c r="I639" s="460"/>
      <c r="J639" s="459" t="s">
        <v>854</v>
      </c>
    </row>
    <row r="641" spans="1:10">
      <c r="B641" s="453" t="s">
        <v>816</v>
      </c>
    </row>
    <row r="642" spans="1:10">
      <c r="C642" s="453" t="s">
        <v>429</v>
      </c>
      <c r="E642" s="462">
        <v>2.9951923298960192E-2</v>
      </c>
    </row>
    <row r="643" spans="1:10">
      <c r="C643" s="453" t="s">
        <v>815</v>
      </c>
      <c r="E643" s="462">
        <v>2.9951923298960192E-3</v>
      </c>
    </row>
    <row r="644" spans="1:10">
      <c r="E644" s="457"/>
    </row>
    <row r="645" spans="1:10">
      <c r="E645" s="457"/>
    </row>
    <row r="649" spans="1:10">
      <c r="A649" s="460" t="s">
        <v>853</v>
      </c>
      <c r="B649" s="460"/>
      <c r="C649" s="460"/>
      <c r="D649" s="460"/>
      <c r="E649" s="460"/>
      <c r="F649" s="456"/>
      <c r="G649" s="460"/>
      <c r="H649" s="460"/>
      <c r="I649" s="460"/>
      <c r="J649" s="459" t="s">
        <v>852</v>
      </c>
    </row>
    <row r="651" spans="1:10">
      <c r="B651" s="453" t="s">
        <v>843</v>
      </c>
    </row>
    <row r="652" spans="1:10">
      <c r="C652" s="453" t="s">
        <v>781</v>
      </c>
      <c r="E652" s="462">
        <v>0</v>
      </c>
    </row>
    <row r="653" spans="1:10">
      <c r="C653" s="453" t="s">
        <v>782</v>
      </c>
      <c r="E653" s="462">
        <v>0.08</v>
      </c>
    </row>
    <row r="654" spans="1:10">
      <c r="E654" s="457"/>
    </row>
    <row r="655" spans="1:10">
      <c r="E655" s="457"/>
    </row>
    <row r="659" spans="1:10">
      <c r="A659" s="460" t="s">
        <v>851</v>
      </c>
      <c r="B659" s="460"/>
      <c r="C659" s="460"/>
      <c r="D659" s="460"/>
      <c r="E659" s="460"/>
      <c r="F659" s="456"/>
      <c r="G659" s="460"/>
      <c r="H659" s="460"/>
      <c r="I659" s="460"/>
      <c r="J659" s="459" t="s">
        <v>850</v>
      </c>
    </row>
    <row r="661" spans="1:10">
      <c r="B661" s="453" t="s">
        <v>816</v>
      </c>
    </row>
    <row r="662" spans="1:10">
      <c r="C662" s="453" t="s">
        <v>429</v>
      </c>
      <c r="E662" s="462">
        <v>2.8254277389950233E-2</v>
      </c>
    </row>
    <row r="663" spans="1:10">
      <c r="C663" s="453" t="s">
        <v>815</v>
      </c>
      <c r="E663" s="462">
        <v>2.8254277389950233E-3</v>
      </c>
    </row>
    <row r="664" spans="1:10">
      <c r="E664" s="457"/>
    </row>
    <row r="665" spans="1:10">
      <c r="E665" s="457"/>
    </row>
    <row r="669" spans="1:10">
      <c r="A669" s="460" t="s">
        <v>849</v>
      </c>
      <c r="B669" s="460"/>
      <c r="C669" s="460"/>
      <c r="D669" s="460"/>
      <c r="E669" s="460"/>
      <c r="F669" s="456"/>
      <c r="G669" s="460"/>
      <c r="H669" s="460"/>
      <c r="I669" s="460"/>
      <c r="J669" s="459" t="s">
        <v>848</v>
      </c>
    </row>
    <row r="671" spans="1:10">
      <c r="B671" s="453" t="s">
        <v>816</v>
      </c>
    </row>
    <row r="672" spans="1:10">
      <c r="C672" s="453" t="s">
        <v>429</v>
      </c>
      <c r="E672" s="462">
        <v>0.10318678070339327</v>
      </c>
    </row>
    <row r="673" spans="1:10">
      <c r="C673" s="453" t="s">
        <v>815</v>
      </c>
      <c r="E673" s="462">
        <v>1.0318678070339326E-2</v>
      </c>
    </row>
    <row r="674" spans="1:10">
      <c r="E674" s="457"/>
    </row>
    <row r="675" spans="1:10">
      <c r="E675" s="457"/>
    </row>
    <row r="679" spans="1:10">
      <c r="A679" s="460" t="s">
        <v>847</v>
      </c>
      <c r="B679" s="460"/>
      <c r="C679" s="460"/>
      <c r="D679" s="460"/>
      <c r="E679" s="460"/>
      <c r="F679" s="456"/>
      <c r="G679" s="460"/>
      <c r="H679" s="460"/>
      <c r="I679" s="460"/>
      <c r="J679" s="459" t="s">
        <v>846</v>
      </c>
    </row>
    <row r="681" spans="1:10">
      <c r="B681" s="453" t="s">
        <v>816</v>
      </c>
    </row>
    <row r="682" spans="1:10">
      <c r="C682" s="453" t="s">
        <v>429</v>
      </c>
      <c r="E682" s="462">
        <v>1.1774719465622904E-2</v>
      </c>
    </row>
    <row r="683" spans="1:10">
      <c r="C683" s="453" t="s">
        <v>815</v>
      </c>
      <c r="E683" s="462">
        <v>1.1774719465622904E-3</v>
      </c>
    </row>
    <row r="684" spans="1:10">
      <c r="E684" s="457"/>
    </row>
    <row r="685" spans="1:10">
      <c r="E685" s="457"/>
    </row>
    <row r="689" spans="1:10">
      <c r="A689" s="460" t="s">
        <v>845</v>
      </c>
      <c r="B689" s="460"/>
      <c r="C689" s="460"/>
      <c r="D689" s="460"/>
      <c r="E689" s="460"/>
      <c r="F689" s="456"/>
      <c r="G689" s="460"/>
      <c r="H689" s="460"/>
      <c r="I689" s="460"/>
      <c r="J689" s="459" t="s">
        <v>844</v>
      </c>
    </row>
    <row r="691" spans="1:10">
      <c r="B691" s="453" t="s">
        <v>843</v>
      </c>
    </row>
    <row r="692" spans="1:10">
      <c r="C692" s="453" t="s">
        <v>781</v>
      </c>
      <c r="E692" s="462">
        <v>-0.14000000000000001</v>
      </c>
    </row>
    <row r="693" spans="1:10">
      <c r="C693" s="453" t="s">
        <v>782</v>
      </c>
      <c r="E693" s="462">
        <v>0.03</v>
      </c>
    </row>
    <row r="694" spans="1:10">
      <c r="E694" s="457"/>
    </row>
    <row r="695" spans="1:10">
      <c r="E695" s="457"/>
    </row>
    <row r="699" spans="1:10">
      <c r="A699" s="460" t="s">
        <v>842</v>
      </c>
      <c r="B699" s="460"/>
      <c r="C699" s="460"/>
      <c r="D699" s="460"/>
      <c r="E699" s="460"/>
      <c r="F699" s="456"/>
      <c r="G699" s="460"/>
      <c r="H699" s="460"/>
      <c r="I699" s="460"/>
      <c r="J699" s="459" t="s">
        <v>841</v>
      </c>
    </row>
    <row r="701" spans="1:10">
      <c r="B701" s="453" t="s">
        <v>816</v>
      </c>
    </row>
    <row r="702" spans="1:10">
      <c r="C702" s="453" t="s">
        <v>429</v>
      </c>
      <c r="E702" s="462">
        <v>-0.76313160448303363</v>
      </c>
    </row>
    <row r="703" spans="1:10">
      <c r="C703" s="453" t="s">
        <v>815</v>
      </c>
      <c r="E703" s="462">
        <v>7.6313160448303358E-2</v>
      </c>
    </row>
    <row r="704" spans="1:10">
      <c r="E704" s="457"/>
    </row>
    <row r="705" spans="1:10">
      <c r="E705" s="457"/>
    </row>
    <row r="709" spans="1:10">
      <c r="A709" s="460" t="s">
        <v>840</v>
      </c>
      <c r="B709" s="460"/>
      <c r="C709" s="460"/>
      <c r="D709" s="460"/>
      <c r="E709" s="460"/>
      <c r="F709" s="456"/>
      <c r="G709" s="460"/>
      <c r="H709" s="460"/>
      <c r="I709" s="460"/>
      <c r="J709" s="459" t="s">
        <v>839</v>
      </c>
    </row>
    <row r="711" spans="1:10">
      <c r="B711" s="453" t="s">
        <v>816</v>
      </c>
    </row>
    <row r="712" spans="1:10">
      <c r="C712" s="453" t="s">
        <v>429</v>
      </c>
      <c r="E712" s="462">
        <v>-0.76313160448303363</v>
      </c>
    </row>
    <row r="713" spans="1:10">
      <c r="C713" s="453" t="s">
        <v>815</v>
      </c>
      <c r="E713" s="462">
        <v>7.6313160448303358E-2</v>
      </c>
    </row>
    <row r="714" spans="1:10">
      <c r="E714" s="457"/>
    </row>
    <row r="715" spans="1:10">
      <c r="E715" s="457"/>
    </row>
    <row r="719" spans="1:10">
      <c r="A719" s="460" t="s">
        <v>838</v>
      </c>
      <c r="B719" s="460"/>
      <c r="C719" s="460"/>
      <c r="D719" s="460"/>
      <c r="E719" s="460"/>
      <c r="F719" s="456"/>
      <c r="G719" s="460"/>
      <c r="H719" s="460"/>
      <c r="I719" s="460"/>
      <c r="J719" s="459" t="s">
        <v>837</v>
      </c>
    </row>
    <row r="721" spans="1:10">
      <c r="B721" s="453" t="s">
        <v>816</v>
      </c>
    </row>
    <row r="722" spans="1:10">
      <c r="C722" s="453" t="s">
        <v>429</v>
      </c>
      <c r="E722" s="462">
        <v>5.0064988205844128E-3</v>
      </c>
    </row>
    <row r="723" spans="1:10">
      <c r="C723" s="453" t="s">
        <v>815</v>
      </c>
      <c r="E723" s="462">
        <v>5.006498820584413E-4</v>
      </c>
    </row>
    <row r="724" spans="1:10">
      <c r="E724" s="457"/>
    </row>
    <row r="725" spans="1:10">
      <c r="E725" s="457"/>
    </row>
    <row r="729" spans="1:10">
      <c r="A729" s="460" t="s">
        <v>836</v>
      </c>
      <c r="B729" s="460"/>
      <c r="C729" s="460"/>
      <c r="D729" s="460"/>
      <c r="E729" s="460"/>
      <c r="F729" s="456"/>
      <c r="G729" s="460"/>
      <c r="H729" s="460"/>
      <c r="I729" s="460"/>
      <c r="J729" s="459" t="s">
        <v>835</v>
      </c>
    </row>
    <row r="731" spans="1:10">
      <c r="B731" s="453" t="s">
        <v>816</v>
      </c>
    </row>
    <row r="732" spans="1:10">
      <c r="C732" s="453" t="s">
        <v>429</v>
      </c>
      <c r="E732" s="462">
        <v>0.20816666666666667</v>
      </c>
    </row>
    <row r="733" spans="1:10">
      <c r="C733" s="453" t="s">
        <v>815</v>
      </c>
      <c r="E733" s="462">
        <v>2.0816666666666667E-2</v>
      </c>
    </row>
    <row r="734" spans="1:10">
      <c r="E734" s="457"/>
    </row>
    <row r="735" spans="1:10">
      <c r="E735" s="457"/>
    </row>
    <row r="739" spans="1:10">
      <c r="A739" s="460" t="s">
        <v>834</v>
      </c>
      <c r="B739" s="460"/>
      <c r="C739" s="460"/>
      <c r="D739" s="460"/>
      <c r="E739" s="460"/>
      <c r="F739" s="456"/>
      <c r="G739" s="460"/>
      <c r="H739" s="460"/>
      <c r="I739" s="460"/>
      <c r="J739" s="459" t="s">
        <v>833</v>
      </c>
    </row>
    <row r="741" spans="1:10">
      <c r="B741" s="453" t="s">
        <v>816</v>
      </c>
    </row>
    <row r="742" spans="1:10">
      <c r="C742" s="453" t="s">
        <v>429</v>
      </c>
      <c r="E742" s="462">
        <v>0.20816666666666667</v>
      </c>
    </row>
    <row r="743" spans="1:10">
      <c r="C743" s="453" t="s">
        <v>815</v>
      </c>
      <c r="E743" s="462">
        <v>2.0816666666666667E-2</v>
      </c>
    </row>
    <row r="744" spans="1:10">
      <c r="E744" s="457"/>
    </row>
    <row r="745" spans="1:10">
      <c r="E745" s="457"/>
    </row>
    <row r="749" spans="1:10">
      <c r="A749" s="460" t="s">
        <v>818</v>
      </c>
      <c r="B749" s="460"/>
      <c r="C749" s="460"/>
      <c r="D749" s="460"/>
      <c r="E749" s="460"/>
      <c r="F749" s="456"/>
      <c r="G749" s="460"/>
      <c r="H749" s="460"/>
      <c r="I749" s="460"/>
      <c r="J749" s="459" t="s">
        <v>832</v>
      </c>
    </row>
    <row r="751" spans="1:10">
      <c r="B751" s="453" t="s">
        <v>816</v>
      </c>
    </row>
    <row r="752" spans="1:10">
      <c r="C752" s="453" t="s">
        <v>429</v>
      </c>
      <c r="E752" s="458">
        <v>0.10329902063198657</v>
      </c>
    </row>
    <row r="753" spans="1:10">
      <c r="C753" s="453" t="s">
        <v>815</v>
      </c>
      <c r="E753" s="458">
        <v>1.0329902063198657E-2</v>
      </c>
    </row>
    <row r="754" spans="1:10">
      <c r="E754" s="457"/>
    </row>
    <row r="755" spans="1:10">
      <c r="E755" s="457"/>
    </row>
    <row r="759" spans="1:10">
      <c r="A759" s="460" t="s">
        <v>831</v>
      </c>
    </row>
    <row r="761" spans="1:10">
      <c r="A761" s="460" t="s">
        <v>830</v>
      </c>
      <c r="B761" s="460"/>
      <c r="C761" s="460"/>
      <c r="D761" s="460"/>
      <c r="E761" s="460"/>
      <c r="F761" s="456"/>
      <c r="G761" s="460"/>
      <c r="H761" s="460"/>
      <c r="I761" s="460"/>
      <c r="J761" s="459" t="s">
        <v>829</v>
      </c>
    </row>
    <row r="763" spans="1:10">
      <c r="B763" s="453" t="s">
        <v>816</v>
      </c>
    </row>
    <row r="764" spans="1:10">
      <c r="C764" s="453" t="s">
        <v>429</v>
      </c>
      <c r="E764" s="461">
        <v>4.9083316512498865E-2</v>
      </c>
    </row>
    <row r="765" spans="1:10">
      <c r="C765" s="453" t="s">
        <v>815</v>
      </c>
      <c r="E765" s="461">
        <v>1.4999999999999999E-2</v>
      </c>
    </row>
    <row r="766" spans="1:10">
      <c r="E766" s="457"/>
    </row>
    <row r="767" spans="1:10">
      <c r="E767" s="457"/>
    </row>
    <row r="771" spans="1:10">
      <c r="A771" s="460" t="s">
        <v>828</v>
      </c>
      <c r="B771" s="460"/>
      <c r="C771" s="460"/>
      <c r="D771" s="460"/>
      <c r="E771" s="460"/>
      <c r="F771" s="456"/>
      <c r="G771" s="460"/>
      <c r="H771" s="460"/>
      <c r="I771" s="460"/>
      <c r="J771" s="459" t="s">
        <v>827</v>
      </c>
    </row>
    <row r="773" spans="1:10">
      <c r="B773" s="453" t="s">
        <v>816</v>
      </c>
    </row>
    <row r="774" spans="1:10">
      <c r="C774" s="453" t="s">
        <v>429</v>
      </c>
      <c r="E774" s="461">
        <v>9.1363297736570925E-2</v>
      </c>
    </row>
    <row r="775" spans="1:10">
      <c r="C775" s="453" t="s">
        <v>815</v>
      </c>
      <c r="E775" s="461">
        <v>0.02</v>
      </c>
    </row>
    <row r="776" spans="1:10">
      <c r="E776" s="457"/>
    </row>
    <row r="777" spans="1:10">
      <c r="E777" s="457"/>
    </row>
    <row r="781" spans="1:10">
      <c r="A781" s="460" t="s">
        <v>826</v>
      </c>
      <c r="B781" s="460"/>
      <c r="C781" s="460"/>
      <c r="D781" s="460"/>
      <c r="E781" s="460"/>
      <c r="F781" s="456"/>
      <c r="G781" s="460"/>
      <c r="H781" s="460"/>
      <c r="I781" s="460"/>
      <c r="J781" s="459" t="s">
        <v>825</v>
      </c>
    </row>
    <row r="783" spans="1:10">
      <c r="B783" s="453" t="s">
        <v>816</v>
      </c>
    </row>
    <row r="784" spans="1:10">
      <c r="C784" s="453" t="s">
        <v>429</v>
      </c>
      <c r="E784" s="461">
        <v>0.30675290302434066</v>
      </c>
    </row>
    <row r="785" spans="1:10">
      <c r="C785" s="453" t="s">
        <v>815</v>
      </c>
      <c r="E785" s="461">
        <v>5.0999999999999997E-2</v>
      </c>
    </row>
    <row r="786" spans="1:10">
      <c r="E786" s="457"/>
    </row>
    <row r="787" spans="1:10">
      <c r="E787" s="457"/>
    </row>
    <row r="791" spans="1:10">
      <c r="A791" s="460" t="s">
        <v>824</v>
      </c>
      <c r="B791" s="460"/>
      <c r="C791" s="460"/>
      <c r="D791" s="460"/>
      <c r="E791" s="460"/>
      <c r="F791" s="456"/>
      <c r="G791" s="460"/>
      <c r="H791" s="460"/>
      <c r="I791" s="460"/>
      <c r="J791" s="459" t="s">
        <v>823</v>
      </c>
    </row>
    <row r="793" spans="1:10">
      <c r="B793" s="453" t="s">
        <v>816</v>
      </c>
    </row>
    <row r="794" spans="1:10">
      <c r="C794" s="453" t="s">
        <v>429</v>
      </c>
      <c r="E794" s="461">
        <v>0.22973515272238387</v>
      </c>
    </row>
    <row r="795" spans="1:10">
      <c r="C795" s="453" t="s">
        <v>815</v>
      </c>
      <c r="E795" s="461">
        <v>3.3000000000000002E-2</v>
      </c>
    </row>
    <row r="796" spans="1:10">
      <c r="E796" s="457"/>
    </row>
    <row r="797" spans="1:10">
      <c r="E797" s="457"/>
    </row>
    <row r="801" spans="1:10">
      <c r="A801" s="460" t="s">
        <v>822</v>
      </c>
      <c r="B801" s="460"/>
      <c r="C801" s="460"/>
      <c r="D801" s="460"/>
      <c r="E801" s="460"/>
      <c r="F801" s="456"/>
      <c r="G801" s="460"/>
      <c r="H801" s="460"/>
      <c r="I801" s="460"/>
      <c r="J801" s="459" t="s">
        <v>821</v>
      </c>
    </row>
    <row r="803" spans="1:10">
      <c r="B803" s="453" t="s">
        <v>816</v>
      </c>
    </row>
    <row r="804" spans="1:10">
      <c r="C804" s="453" t="s">
        <v>429</v>
      </c>
      <c r="E804" s="458">
        <v>7.5992771546960457E-3</v>
      </c>
    </row>
    <row r="805" spans="1:10">
      <c r="C805" s="453" t="s">
        <v>815</v>
      </c>
      <c r="E805" s="458">
        <v>3.0000000000000001E-3</v>
      </c>
    </row>
    <row r="806" spans="1:10">
      <c r="E806" s="457"/>
    </row>
    <row r="807" spans="1:10">
      <c r="E807" s="457"/>
    </row>
    <row r="811" spans="1:10">
      <c r="A811" s="460" t="s">
        <v>820</v>
      </c>
      <c r="B811" s="460"/>
      <c r="C811" s="460"/>
      <c r="D811" s="460"/>
      <c r="E811" s="460"/>
      <c r="F811" s="456"/>
      <c r="G811" s="460"/>
      <c r="H811" s="460"/>
      <c r="I811" s="460"/>
      <c r="J811" s="459" t="s">
        <v>819</v>
      </c>
    </row>
    <row r="813" spans="1:10">
      <c r="B813" s="453" t="s">
        <v>816</v>
      </c>
    </row>
    <row r="814" spans="1:10">
      <c r="C814" s="453" t="s">
        <v>429</v>
      </c>
      <c r="E814" s="458">
        <v>4.1528147123543824E-3</v>
      </c>
    </row>
    <row r="815" spans="1:10">
      <c r="C815" s="453" t="s">
        <v>815</v>
      </c>
      <c r="E815" s="458">
        <v>1E-3</v>
      </c>
    </row>
    <row r="816" spans="1:10">
      <c r="E816" s="457"/>
    </row>
    <row r="817" spans="1:10">
      <c r="E817" s="457"/>
    </row>
    <row r="821" spans="1:10">
      <c r="A821" s="460" t="s">
        <v>818</v>
      </c>
      <c r="B821" s="460"/>
      <c r="C821" s="460"/>
      <c r="D821" s="460"/>
      <c r="E821" s="460"/>
      <c r="F821" s="456"/>
      <c r="G821" s="460"/>
      <c r="H821" s="460"/>
      <c r="I821" s="460"/>
      <c r="J821" s="459" t="s">
        <v>817</v>
      </c>
    </row>
    <row r="823" spans="1:10">
      <c r="B823" s="453" t="s">
        <v>816</v>
      </c>
    </row>
    <row r="824" spans="1:10">
      <c r="C824" s="453" t="s">
        <v>429</v>
      </c>
      <c r="E824" s="458">
        <v>0.10329902063198657</v>
      </c>
    </row>
    <row r="825" spans="1:10">
      <c r="C825" s="453" t="s">
        <v>815</v>
      </c>
      <c r="E825" s="458">
        <v>1.4999999999999999E-2</v>
      </c>
    </row>
    <row r="826" spans="1:10">
      <c r="E826" s="457"/>
    </row>
    <row r="827" spans="1:10">
      <c r="E827" s="457"/>
    </row>
    <row r="831" spans="1:10">
      <c r="A831" s="453" t="s">
        <v>814</v>
      </c>
    </row>
    <row r="832" spans="1:10">
      <c r="F832" s="456" t="s">
        <v>813</v>
      </c>
    </row>
    <row r="891" spans="1:1">
      <c r="A891" s="453" t="s">
        <v>812</v>
      </c>
    </row>
  </sheetData>
  <mergeCells count="1">
    <mergeCell ref="C459:I459"/>
  </mergeCells>
  <printOptions gridLinesSet="0"/>
  <pageMargins left="0.75" right="0.75" top="1" bottom="1" header="0.5" footer="0.5"/>
  <pageSetup orientation="portrait" r:id="rId1"/>
  <headerFooter alignWithMargins="0">
    <oddHeader>&amp;f</oddHeader>
    <oddFooter>Page &amp;p</oddFooter>
  </headerFooter>
  <rowBreaks count="24" manualBreakCount="24">
    <brk id="23" max="16383" man="1"/>
    <brk id="71" max="16383" man="1"/>
    <brk id="86" max="16383" man="1"/>
    <brk id="119" max="16383" man="1"/>
    <brk id="151" max="16383" man="1"/>
    <brk id="195" max="16383" man="1"/>
    <brk id="235" max="16383" man="1"/>
    <brk id="275" max="16383" man="1"/>
    <brk id="315" max="16383" man="1"/>
    <brk id="355" max="16383" man="1"/>
    <brk id="395" max="16383" man="1"/>
    <brk id="435" max="16383" man="1"/>
    <brk id="477" max="16383" man="1"/>
    <brk id="517" max="16383" man="1"/>
    <brk id="557" max="16383" man="1"/>
    <brk id="597" max="16383" man="1"/>
    <brk id="637" max="16383" man="1"/>
    <brk id="677" max="16383" man="1"/>
    <brk id="717" max="16383" man="1"/>
    <brk id="759" max="16383" man="1"/>
    <brk id="799" max="16383" man="1"/>
    <brk id="831" max="16383" man="1"/>
    <brk id="862" max="16383" man="1"/>
    <brk id="891" max="16383" man="1"/>
  </rowBreaks>
  <colBreaks count="1" manualBreakCount="1">
    <brk id="10"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56E91-5EAA-3A4E-9E1A-A433AD1F9FDC}">
  <sheetPr>
    <tabColor rgb="FFFFC000"/>
    <outlinePr summaryBelow="0" summaryRight="0"/>
    <pageSetUpPr autoPageBreaks="0"/>
  </sheetPr>
  <dimension ref="A1:IO103"/>
  <sheetViews>
    <sheetView tabSelected="1" topLeftCell="A39" zoomScale="74" workbookViewId="0">
      <selection activeCell="B83" sqref="B83:G103"/>
    </sheetView>
  </sheetViews>
  <sheetFormatPr baseColWidth="10" defaultColWidth="10.83203125" defaultRowHeight="16"/>
  <cols>
    <col min="1" max="1" width="58.83203125" style="203" customWidth="1"/>
    <col min="2" max="13" width="13.33203125" style="203" customWidth="1"/>
    <col min="14" max="14" width="52.83203125" style="203" customWidth="1"/>
    <col min="15" max="240" width="8.83203125" style="203" customWidth="1"/>
    <col min="241" max="16384" width="10.83203125" style="203"/>
  </cols>
  <sheetData>
    <row r="1" spans="1:249" s="135" customFormat="1" ht="25">
      <c r="A1" s="666" t="s">
        <v>467</v>
      </c>
      <c r="B1" s="666"/>
      <c r="C1" s="666"/>
      <c r="D1" s="666"/>
      <c r="E1" s="666"/>
      <c r="F1" s="666"/>
      <c r="G1" s="666"/>
      <c r="H1" s="666"/>
      <c r="I1" s="666"/>
      <c r="J1" s="666"/>
      <c r="K1" s="666"/>
      <c r="L1" s="666"/>
      <c r="M1" s="666"/>
      <c r="N1" s="666"/>
    </row>
    <row r="2" spans="1:249" ht="16" customHeight="1">
      <c r="A2" s="202"/>
    </row>
    <row r="3" spans="1:249" s="135" customFormat="1" ht="16" customHeight="1">
      <c r="A3" s="732" t="s">
        <v>95</v>
      </c>
      <c r="B3" s="732"/>
      <c r="C3" s="732"/>
      <c r="D3" s="732"/>
      <c r="E3" s="732"/>
      <c r="F3" s="732"/>
      <c r="G3" s="732"/>
      <c r="H3" s="732"/>
      <c r="I3" s="732"/>
      <c r="J3" s="732"/>
      <c r="K3" s="732"/>
      <c r="L3" s="732"/>
      <c r="M3" s="732"/>
      <c r="N3" s="732"/>
    </row>
    <row r="4" spans="1:249" s="135" customFormat="1" ht="16" customHeight="1">
      <c r="A4" s="93" t="s">
        <v>86</v>
      </c>
      <c r="B4" s="76" t="s">
        <v>87</v>
      </c>
      <c r="C4" s="201"/>
      <c r="D4" s="201"/>
      <c r="E4" s="69"/>
      <c r="F4" s="204" t="s">
        <v>468</v>
      </c>
      <c r="G4" s="205">
        <v>44926</v>
      </c>
      <c r="H4" s="201"/>
      <c r="I4" s="201"/>
      <c r="J4" s="93"/>
      <c r="K4" s="93" t="s">
        <v>102</v>
      </c>
      <c r="L4" s="206" t="s">
        <v>90</v>
      </c>
      <c r="M4" s="206"/>
      <c r="N4" s="88"/>
    </row>
    <row r="5" spans="1:249" s="135" customFormat="1" ht="16" customHeight="1">
      <c r="A5" s="93" t="s">
        <v>88</v>
      </c>
      <c r="B5" s="76" t="s">
        <v>85</v>
      </c>
      <c r="C5" s="208"/>
      <c r="D5" s="207"/>
      <c r="E5" s="69"/>
      <c r="F5" s="201"/>
      <c r="G5" s="201"/>
      <c r="H5" s="201"/>
      <c r="I5" s="201"/>
      <c r="J5" s="209"/>
      <c r="K5" s="209" t="s">
        <v>129</v>
      </c>
      <c r="L5" s="206" t="s">
        <v>91</v>
      </c>
      <c r="M5" s="206"/>
      <c r="N5" s="88"/>
    </row>
    <row r="6" spans="1:249" s="135" customFormat="1" ht="16" customHeight="1">
      <c r="A6" s="93" t="s">
        <v>89</v>
      </c>
      <c r="B6" s="76" t="s">
        <v>658</v>
      </c>
      <c r="C6" s="208"/>
      <c r="D6" s="207"/>
      <c r="E6" s="69"/>
      <c r="F6" s="201"/>
      <c r="G6" s="201"/>
      <c r="H6" s="201"/>
      <c r="I6" s="210"/>
      <c r="J6" s="210"/>
      <c r="K6" s="211"/>
      <c r="L6" s="206" t="s">
        <v>92</v>
      </c>
      <c r="M6" s="206"/>
      <c r="N6" s="88"/>
    </row>
    <row r="7" spans="1:249" s="135" customFormat="1" ht="16" customHeight="1">
      <c r="A7" s="236"/>
      <c r="B7" s="73"/>
      <c r="C7" s="386"/>
      <c r="D7" s="387"/>
      <c r="E7" s="57"/>
      <c r="F7" s="388"/>
      <c r="G7" s="389"/>
      <c r="H7" s="390"/>
      <c r="I7" s="391"/>
      <c r="J7" s="391"/>
      <c r="K7" s="392"/>
      <c r="L7" s="159"/>
      <c r="M7" s="159"/>
      <c r="N7" s="159"/>
    </row>
    <row r="8" spans="1:249" ht="16" customHeight="1">
      <c r="A8" s="202"/>
    </row>
    <row r="9" spans="1:249" s="73" customFormat="1" ht="20">
      <c r="A9" s="731" t="s">
        <v>472</v>
      </c>
      <c r="B9" s="731"/>
      <c r="C9" s="731"/>
      <c r="D9" s="731"/>
      <c r="E9" s="731"/>
      <c r="F9" s="731"/>
      <c r="G9" s="731"/>
      <c r="H9" s="731"/>
      <c r="I9" s="731"/>
      <c r="J9" s="731"/>
      <c r="K9" s="731"/>
      <c r="L9" s="731"/>
      <c r="M9" s="731"/>
      <c r="N9" s="731"/>
      <c r="O9" s="212"/>
      <c r="P9" s="212"/>
      <c r="Q9" s="212"/>
      <c r="R9" s="212"/>
      <c r="S9" s="212"/>
      <c r="T9" s="212"/>
      <c r="U9" s="212"/>
      <c r="V9" s="212"/>
      <c r="W9" s="212"/>
      <c r="X9" s="212"/>
      <c r="Y9" s="212"/>
      <c r="Z9" s="212"/>
      <c r="AA9" s="212"/>
      <c r="AB9" s="212"/>
      <c r="AC9" s="212"/>
      <c r="AD9" s="212"/>
      <c r="AE9" s="212"/>
      <c r="AF9" s="212"/>
      <c r="AG9" s="212"/>
      <c r="AH9" s="212"/>
      <c r="AI9" s="212"/>
      <c r="AJ9" s="212"/>
      <c r="AK9" s="212"/>
      <c r="AL9" s="212"/>
      <c r="AM9" s="212"/>
      <c r="AN9" s="212"/>
      <c r="AO9" s="212"/>
      <c r="AP9" s="212"/>
      <c r="AQ9" s="212"/>
      <c r="AR9" s="212"/>
      <c r="AS9" s="212"/>
      <c r="AT9" s="212"/>
      <c r="AU9" s="212"/>
      <c r="AV9" s="212"/>
      <c r="AW9" s="212"/>
      <c r="AX9" s="212"/>
      <c r="AY9" s="212"/>
      <c r="AZ9" s="212"/>
      <c r="BA9" s="212"/>
      <c r="BB9" s="212"/>
      <c r="BC9" s="212"/>
      <c r="BD9" s="212"/>
      <c r="BE9" s="212"/>
      <c r="BF9" s="212"/>
      <c r="BG9" s="212"/>
      <c r="BH9" s="212"/>
      <c r="BI9" s="212"/>
      <c r="BJ9" s="212"/>
      <c r="BK9" s="212"/>
      <c r="BL9" s="212"/>
      <c r="BM9" s="212"/>
      <c r="BN9" s="212"/>
      <c r="BO9" s="212"/>
      <c r="BP9" s="212"/>
      <c r="BQ9" s="212"/>
      <c r="BR9" s="212"/>
      <c r="BS9" s="212"/>
      <c r="BT9" s="212"/>
      <c r="BU9" s="212"/>
      <c r="BV9" s="212"/>
      <c r="BW9" s="212"/>
      <c r="BX9" s="212"/>
      <c r="BY9" s="212"/>
      <c r="BZ9" s="212"/>
      <c r="CA9" s="212"/>
      <c r="CB9" s="212"/>
      <c r="CC9" s="212"/>
      <c r="CD9" s="212"/>
      <c r="CE9" s="212"/>
      <c r="CF9" s="212"/>
      <c r="CG9" s="212"/>
      <c r="CH9" s="212"/>
      <c r="CI9" s="212"/>
      <c r="CJ9" s="212"/>
      <c r="CK9" s="212"/>
      <c r="CL9" s="212"/>
      <c r="CM9" s="212"/>
      <c r="CN9" s="212"/>
      <c r="CO9" s="212"/>
      <c r="CP9" s="212"/>
      <c r="CQ9" s="212"/>
      <c r="CR9" s="212"/>
      <c r="CS9" s="212"/>
      <c r="CT9" s="212"/>
      <c r="CU9" s="212"/>
      <c r="CV9" s="212"/>
      <c r="CW9" s="212"/>
      <c r="CX9" s="212"/>
      <c r="CY9" s="212"/>
      <c r="CZ9" s="212"/>
      <c r="DA9" s="212"/>
      <c r="DB9" s="212"/>
      <c r="DC9" s="212"/>
      <c r="DD9" s="212"/>
      <c r="DE9" s="212"/>
      <c r="DF9" s="212"/>
      <c r="DG9" s="212"/>
      <c r="DH9" s="212"/>
      <c r="DI9" s="212"/>
      <c r="DJ9" s="212"/>
      <c r="DK9" s="212"/>
      <c r="DL9" s="212"/>
      <c r="DM9" s="212"/>
      <c r="DN9" s="212"/>
      <c r="DO9" s="212"/>
      <c r="DP9" s="212"/>
      <c r="DQ9" s="212"/>
      <c r="DR9" s="212"/>
      <c r="DS9" s="212"/>
      <c r="DT9" s="212"/>
      <c r="DU9" s="212"/>
      <c r="DV9" s="212"/>
      <c r="DW9" s="212"/>
      <c r="DX9" s="212"/>
      <c r="DY9" s="212"/>
      <c r="DZ9" s="212"/>
      <c r="EA9" s="212"/>
      <c r="EB9" s="212"/>
      <c r="EC9" s="212"/>
      <c r="ED9" s="212"/>
      <c r="EE9" s="212"/>
      <c r="EF9" s="212"/>
      <c r="EG9" s="212"/>
      <c r="EH9" s="212"/>
      <c r="EI9" s="212"/>
      <c r="EJ9" s="212"/>
      <c r="EK9" s="212"/>
      <c r="EL9" s="212"/>
      <c r="EM9" s="212"/>
      <c r="EN9" s="212"/>
      <c r="EO9" s="212"/>
      <c r="EP9" s="212"/>
      <c r="EQ9" s="212"/>
      <c r="ER9" s="212"/>
      <c r="ES9" s="212"/>
      <c r="ET9" s="212"/>
      <c r="EU9" s="212"/>
      <c r="EV9" s="212"/>
      <c r="EW9" s="212"/>
      <c r="EX9" s="212"/>
      <c r="EY9" s="212"/>
      <c r="EZ9" s="212"/>
      <c r="FA9" s="212"/>
      <c r="FB9" s="212"/>
      <c r="FC9" s="212"/>
      <c r="FD9" s="212"/>
      <c r="FE9" s="212"/>
      <c r="FF9" s="212"/>
      <c r="FG9" s="212"/>
      <c r="FH9" s="212"/>
      <c r="FI9" s="212"/>
      <c r="FJ9" s="212"/>
      <c r="FK9" s="212"/>
      <c r="FL9" s="212"/>
      <c r="FM9" s="212"/>
      <c r="FN9" s="212"/>
      <c r="FO9" s="212"/>
      <c r="FP9" s="212"/>
      <c r="FQ9" s="212"/>
      <c r="FR9" s="212"/>
      <c r="FS9" s="212"/>
      <c r="FT9" s="212"/>
      <c r="FU9" s="212"/>
      <c r="FV9" s="212"/>
      <c r="FW9" s="212"/>
      <c r="FX9" s="212"/>
      <c r="FY9" s="212"/>
      <c r="FZ9" s="212"/>
      <c r="GA9" s="212"/>
      <c r="GB9" s="212"/>
      <c r="GC9" s="212"/>
      <c r="GD9" s="212"/>
      <c r="GE9" s="212"/>
      <c r="GF9" s="212"/>
      <c r="GG9" s="212"/>
      <c r="GH9" s="212"/>
      <c r="GI9" s="212"/>
      <c r="GJ9" s="212"/>
      <c r="GK9" s="212"/>
      <c r="GL9" s="212"/>
      <c r="GM9" s="212"/>
      <c r="GN9" s="212"/>
      <c r="GO9" s="212"/>
      <c r="GP9" s="212"/>
      <c r="GQ9" s="212"/>
      <c r="GR9" s="212"/>
      <c r="GS9" s="212"/>
      <c r="GT9" s="212"/>
      <c r="GU9" s="212"/>
      <c r="GV9" s="212"/>
      <c r="GW9" s="212"/>
      <c r="GX9" s="212"/>
      <c r="GY9" s="212"/>
      <c r="GZ9" s="212"/>
      <c r="HA9" s="212"/>
      <c r="HB9" s="212"/>
      <c r="HC9" s="212"/>
      <c r="HD9" s="212"/>
      <c r="HE9" s="212"/>
      <c r="HF9" s="212"/>
      <c r="HG9" s="212"/>
      <c r="HH9" s="212"/>
      <c r="HI9" s="212"/>
      <c r="HJ9" s="212"/>
      <c r="HK9" s="212"/>
      <c r="HL9" s="212"/>
      <c r="HM9" s="212"/>
      <c r="HN9" s="212"/>
      <c r="HO9" s="212"/>
      <c r="HP9" s="212"/>
      <c r="HQ9" s="212"/>
      <c r="HR9" s="212"/>
      <c r="HS9" s="212"/>
      <c r="HT9" s="212"/>
      <c r="HU9" s="212"/>
      <c r="HV9" s="212"/>
      <c r="HW9" s="212"/>
      <c r="HX9" s="212"/>
      <c r="HY9" s="212"/>
      <c r="HZ9" s="212"/>
      <c r="IA9" s="212"/>
      <c r="IB9" s="212"/>
      <c r="IC9" s="212"/>
      <c r="ID9" s="212"/>
      <c r="IE9" s="212"/>
      <c r="IF9" s="212"/>
      <c r="IG9" s="212"/>
      <c r="IH9" s="212"/>
      <c r="II9" s="212"/>
      <c r="IJ9" s="212"/>
      <c r="IK9" s="212"/>
      <c r="IL9" s="212"/>
      <c r="IM9" s="212"/>
      <c r="IN9" s="212"/>
      <c r="IO9" s="212"/>
    </row>
    <row r="10" spans="1:249" s="213" customFormat="1" ht="68">
      <c r="A10" s="360" t="s">
        <v>466</v>
      </c>
      <c r="B10" s="361" t="s">
        <v>1224</v>
      </c>
      <c r="C10" s="361" t="s">
        <v>1225</v>
      </c>
      <c r="D10" s="361" t="s">
        <v>1226</v>
      </c>
      <c r="E10" s="361" t="s">
        <v>439</v>
      </c>
      <c r="F10" s="361" t="s">
        <v>438</v>
      </c>
      <c r="G10" s="361" t="s">
        <v>1306</v>
      </c>
      <c r="H10" s="361" t="s">
        <v>436</v>
      </c>
      <c r="I10" s="361" t="s">
        <v>435</v>
      </c>
      <c r="J10" s="361" t="s">
        <v>482</v>
      </c>
      <c r="K10" s="361" t="s">
        <v>434</v>
      </c>
      <c r="L10" s="361" t="s">
        <v>433</v>
      </c>
      <c r="M10" s="361" t="s">
        <v>481</v>
      </c>
      <c r="N10" s="360" t="s">
        <v>432</v>
      </c>
      <c r="P10" s="237"/>
    </row>
    <row r="11" spans="1:249" s="213" customFormat="1" ht="16" customHeight="1">
      <c r="A11" s="360" t="s">
        <v>465</v>
      </c>
      <c r="B11" s="393">
        <f>D11/C11</f>
        <v>126.33937153419595</v>
      </c>
      <c r="C11" s="393">
        <v>270.5</v>
      </c>
      <c r="D11" s="393">
        <v>34174.800000000003</v>
      </c>
      <c r="E11" s="393">
        <v>9691</v>
      </c>
      <c r="F11" s="393">
        <v>1209</v>
      </c>
      <c r="G11" s="393">
        <v>42408.800000000003</v>
      </c>
      <c r="H11" s="393">
        <v>3736</v>
      </c>
      <c r="I11" s="393">
        <v>2273</v>
      </c>
      <c r="J11" s="393">
        <v>2240</v>
      </c>
      <c r="K11" s="393">
        <v>4.5599999999999996</v>
      </c>
      <c r="L11" s="393">
        <v>0.52859999999999996</v>
      </c>
      <c r="M11" s="393">
        <v>-46.8</v>
      </c>
      <c r="N11" s="362" t="s">
        <v>464</v>
      </c>
      <c r="P11" s="238"/>
    </row>
    <row r="12" spans="1:249" s="213" customFormat="1" ht="16" customHeight="1">
      <c r="A12" s="360" t="s">
        <v>463</v>
      </c>
      <c r="B12" s="393">
        <f t="shared" ref="B12:B20" si="0">D12/C12</f>
        <v>90.465919701213821</v>
      </c>
      <c r="C12" s="393">
        <v>107.1</v>
      </c>
      <c r="D12" s="393">
        <v>9688.9</v>
      </c>
      <c r="E12" s="393">
        <v>3450</v>
      </c>
      <c r="F12" s="393">
        <v>991</v>
      </c>
      <c r="G12" s="393">
        <v>12450.9</v>
      </c>
      <c r="H12" s="393">
        <v>3271</v>
      </c>
      <c r="I12" s="393">
        <v>843</v>
      </c>
      <c r="J12" s="393">
        <v>417</v>
      </c>
      <c r="K12" s="393">
        <v>4.17</v>
      </c>
      <c r="L12" s="393">
        <v>1.2637</v>
      </c>
      <c r="M12" s="393">
        <v>-10.06</v>
      </c>
      <c r="N12" s="362" t="s">
        <v>462</v>
      </c>
      <c r="P12" s="238"/>
    </row>
    <row r="13" spans="1:249" s="213" customFormat="1" ht="16" customHeight="1">
      <c r="A13" s="360" t="s">
        <v>461</v>
      </c>
      <c r="B13" s="393">
        <f t="shared" si="0"/>
        <v>38.525629887054741</v>
      </c>
      <c r="C13" s="393">
        <v>115.1</v>
      </c>
      <c r="D13" s="393">
        <v>4434.3</v>
      </c>
      <c r="E13" s="393">
        <v>3847</v>
      </c>
      <c r="F13" s="393">
        <v>223</v>
      </c>
      <c r="G13" s="393">
        <v>7856.3</v>
      </c>
      <c r="H13" s="393">
        <v>3538</v>
      </c>
      <c r="I13" s="393">
        <v>954</v>
      </c>
      <c r="J13" s="393">
        <v>741</v>
      </c>
      <c r="K13" s="393">
        <v>2.98</v>
      </c>
      <c r="L13" s="393">
        <v>0.65869999999999995</v>
      </c>
      <c r="M13" s="393">
        <v>-4.6900000000000004</v>
      </c>
      <c r="N13" s="362" t="s">
        <v>460</v>
      </c>
      <c r="P13" s="238"/>
    </row>
    <row r="14" spans="1:249" s="213" customFormat="1" ht="16" customHeight="1">
      <c r="A14" s="360" t="s">
        <v>459</v>
      </c>
      <c r="B14" s="393">
        <f t="shared" si="0"/>
        <v>36.383004926108377</v>
      </c>
      <c r="C14" s="393">
        <v>81.2</v>
      </c>
      <c r="D14" s="393">
        <v>2954.3</v>
      </c>
      <c r="E14" s="393">
        <v>5753</v>
      </c>
      <c r="F14" s="393">
        <v>550</v>
      </c>
      <c r="G14" s="393">
        <v>8211.2999999999993</v>
      </c>
      <c r="H14" s="393">
        <v>3567</v>
      </c>
      <c r="I14" s="393">
        <v>798</v>
      </c>
      <c r="J14" s="393">
        <v>692</v>
      </c>
      <c r="K14" s="393">
        <v>4.28</v>
      </c>
      <c r="L14" s="393">
        <v>0.13819999999999999</v>
      </c>
      <c r="M14" s="393">
        <v>-28.32</v>
      </c>
      <c r="N14" s="362" t="s">
        <v>458</v>
      </c>
      <c r="P14" s="238"/>
    </row>
    <row r="15" spans="1:249" s="213" customFormat="1" ht="16" customHeight="1">
      <c r="A15" s="360" t="s">
        <v>457</v>
      </c>
      <c r="B15" s="393">
        <f t="shared" si="0"/>
        <v>12.239914570479355</v>
      </c>
      <c r="C15" s="393">
        <v>421.4</v>
      </c>
      <c r="D15" s="393">
        <v>5157.8999999999996</v>
      </c>
      <c r="E15" s="393">
        <v>14249.3</v>
      </c>
      <c r="F15" s="393">
        <v>947</v>
      </c>
      <c r="G15" s="393">
        <v>18614.900000000001</v>
      </c>
      <c r="H15" s="393">
        <v>4843.8</v>
      </c>
      <c r="I15" s="393">
        <v>-742.1</v>
      </c>
      <c r="J15" s="393">
        <v>-1552.1</v>
      </c>
      <c r="K15" s="393">
        <v>-5.41</v>
      </c>
      <c r="L15" s="393">
        <v>6.4751000000000003</v>
      </c>
      <c r="M15" s="393">
        <v>-1.26</v>
      </c>
      <c r="N15" s="362" t="s">
        <v>456</v>
      </c>
      <c r="P15" s="238"/>
    </row>
    <row r="16" spans="1:249" s="213" customFormat="1" ht="16" customHeight="1">
      <c r="A16" s="360" t="s">
        <v>455</v>
      </c>
      <c r="B16" s="393">
        <f t="shared" si="0"/>
        <v>48.072634471927763</v>
      </c>
      <c r="C16" s="393">
        <v>764.1</v>
      </c>
      <c r="D16" s="393">
        <v>36732.300000000003</v>
      </c>
      <c r="E16" s="393">
        <v>16148</v>
      </c>
      <c r="F16" s="393">
        <v>6311</v>
      </c>
      <c r="G16" s="393">
        <v>46070.3</v>
      </c>
      <c r="H16" s="393">
        <v>4110</v>
      </c>
      <c r="I16" s="393">
        <v>253</v>
      </c>
      <c r="J16" s="393">
        <v>-95</v>
      </c>
      <c r="K16" s="393">
        <v>2.4</v>
      </c>
      <c r="L16" s="393">
        <v>-2.93E-2</v>
      </c>
      <c r="M16" s="393">
        <v>4.59</v>
      </c>
      <c r="N16" s="362" t="s">
        <v>454</v>
      </c>
      <c r="P16" s="238"/>
    </row>
    <row r="17" spans="1:16" s="213" customFormat="1" ht="16" customHeight="1">
      <c r="A17" s="360" t="s">
        <v>453</v>
      </c>
      <c r="B17" s="393">
        <f t="shared" si="0"/>
        <v>112.64461247637051</v>
      </c>
      <c r="C17" s="393">
        <v>52.9</v>
      </c>
      <c r="D17" s="393">
        <v>5958.9</v>
      </c>
      <c r="E17" s="393">
        <v>1285.2</v>
      </c>
      <c r="F17" s="393">
        <v>41.6</v>
      </c>
      <c r="G17" s="393">
        <v>7135</v>
      </c>
      <c r="H17" s="393">
        <v>1401.9</v>
      </c>
      <c r="I17" s="393">
        <v>538.29999999999995</v>
      </c>
      <c r="J17" s="393">
        <v>501</v>
      </c>
      <c r="K17" s="393">
        <v>6.05</v>
      </c>
      <c r="L17" s="393">
        <v>0.31109999999999999</v>
      </c>
      <c r="M17" s="393">
        <v>-15.56</v>
      </c>
      <c r="N17" s="362" t="s">
        <v>452</v>
      </c>
      <c r="P17" s="238"/>
    </row>
    <row r="18" spans="1:16" s="213" customFormat="1" ht="16" customHeight="1">
      <c r="A18" s="360" t="s">
        <v>451</v>
      </c>
      <c r="B18" s="393">
        <f t="shared" si="0"/>
        <v>134.66057441253264</v>
      </c>
      <c r="C18" s="393">
        <v>38.299999999999997</v>
      </c>
      <c r="D18" s="393">
        <v>5157.5</v>
      </c>
      <c r="E18" s="393">
        <v>5140</v>
      </c>
      <c r="F18" s="393">
        <v>524</v>
      </c>
      <c r="G18" s="393">
        <v>9544.5</v>
      </c>
      <c r="H18" s="393">
        <v>3289</v>
      </c>
      <c r="I18" s="393">
        <v>929</v>
      </c>
      <c r="J18" s="393">
        <v>797</v>
      </c>
      <c r="K18" s="393">
        <v>9.68</v>
      </c>
      <c r="L18" s="393">
        <v>0.1908</v>
      </c>
      <c r="M18" s="393">
        <v>-40.869999999999997</v>
      </c>
      <c r="N18" s="362" t="s">
        <v>450</v>
      </c>
      <c r="P18" s="238"/>
    </row>
    <row r="19" spans="1:16" s="213" customFormat="1" ht="16" customHeight="1">
      <c r="A19" s="360" t="s">
        <v>449</v>
      </c>
      <c r="B19" s="393">
        <f t="shared" si="0"/>
        <v>25.767107309486782</v>
      </c>
      <c r="C19" s="393">
        <v>257.2</v>
      </c>
      <c r="D19" s="393">
        <v>6627.3</v>
      </c>
      <c r="E19" s="393">
        <v>3683.9</v>
      </c>
      <c r="F19" s="393">
        <v>1813.3</v>
      </c>
      <c r="G19" s="393">
        <v>9241.7999999999993</v>
      </c>
      <c r="H19" s="393">
        <v>4661.7</v>
      </c>
      <c r="I19" s="393">
        <v>657.8</v>
      </c>
      <c r="J19" s="393">
        <v>493.3</v>
      </c>
      <c r="K19" s="393">
        <v>1.54</v>
      </c>
      <c r="L19" s="393">
        <v>0.91649999999999998</v>
      </c>
      <c r="M19" s="393">
        <v>-1.5</v>
      </c>
      <c r="N19" s="362" t="s">
        <v>448</v>
      </c>
      <c r="P19" s="238"/>
    </row>
    <row r="20" spans="1:16" s="213" customFormat="1" ht="16" customHeight="1">
      <c r="A20" s="360" t="s">
        <v>447</v>
      </c>
      <c r="B20" s="393">
        <f t="shared" si="0"/>
        <v>71.32955832389581</v>
      </c>
      <c r="C20" s="393">
        <v>88.3</v>
      </c>
      <c r="D20" s="393">
        <v>6298.4</v>
      </c>
      <c r="E20" s="393">
        <v>2088</v>
      </c>
      <c r="F20" s="393">
        <v>161</v>
      </c>
      <c r="G20" s="393">
        <v>8090.4</v>
      </c>
      <c r="H20" s="393">
        <v>1354</v>
      </c>
      <c r="I20" s="393">
        <v>601</v>
      </c>
      <c r="J20" s="393">
        <v>515</v>
      </c>
      <c r="K20" s="393">
        <v>3.93</v>
      </c>
      <c r="L20" s="393">
        <v>8.7599999999999997E-2</v>
      </c>
      <c r="M20" s="393">
        <v>-25.48</v>
      </c>
      <c r="N20" s="362" t="s">
        <v>446</v>
      </c>
      <c r="P20" s="238"/>
    </row>
    <row r="21" spans="1:16" s="213" customFormat="1" ht="16" customHeight="1">
      <c r="A21" s="363"/>
      <c r="B21" s="394"/>
      <c r="C21" s="394"/>
      <c r="D21" s="394"/>
      <c r="E21" s="394"/>
      <c r="F21" s="394"/>
      <c r="G21" s="394"/>
      <c r="H21" s="394"/>
      <c r="I21" s="394"/>
      <c r="J21" s="394"/>
      <c r="K21" s="394"/>
      <c r="L21" s="394"/>
      <c r="M21" s="394"/>
      <c r="N21" s="363"/>
      <c r="P21" s="239"/>
    </row>
    <row r="22" spans="1:16" s="213" customFormat="1" ht="16" customHeight="1">
      <c r="A22" s="430" t="s">
        <v>445</v>
      </c>
      <c r="B22" s="433">
        <f>D22/C22</f>
        <v>148.90868878357028</v>
      </c>
      <c r="C22" s="433">
        <v>316.5</v>
      </c>
      <c r="D22" s="433">
        <v>47129.599999999999</v>
      </c>
      <c r="E22" s="433">
        <f>Finratios!F43</f>
        <v>11098</v>
      </c>
      <c r="F22" s="433">
        <f>Bsproforma_old!J13</f>
        <v>507</v>
      </c>
      <c r="G22" s="433">
        <f>D22+E22-F22</f>
        <v>57720.6</v>
      </c>
      <c r="H22" s="433">
        <f>Isproforma_old!J29</f>
        <v>20773</v>
      </c>
      <c r="I22" s="433">
        <f>Finratios!F47</f>
        <v>3710</v>
      </c>
      <c r="J22" s="434">
        <f>Finratios!F45</f>
        <v>3517</v>
      </c>
      <c r="K22" s="433">
        <f>Finratios!F11</f>
        <v>7.2688039457459928</v>
      </c>
      <c r="L22" s="433">
        <f>(Isproforma_old!J29-Isproforma_old!H29)/Isproforma_old!H29</f>
        <v>0.49909792884462728</v>
      </c>
      <c r="M22" s="434">
        <f>(E22-F22+Bsproforma_old!J68)/'Multiples Valuation'!C22</f>
        <v>35.257503949447077</v>
      </c>
      <c r="N22" s="435" t="s">
        <v>444</v>
      </c>
      <c r="P22" s="239"/>
    </row>
    <row r="23" spans="1:16" s="213" customFormat="1" ht="16" customHeight="1">
      <c r="A23" s="363"/>
      <c r="B23" s="364"/>
      <c r="C23" s="364"/>
      <c r="D23" s="364"/>
      <c r="E23" s="364"/>
      <c r="F23" s="364"/>
      <c r="G23" s="364"/>
      <c r="H23" s="364"/>
      <c r="I23" s="364"/>
      <c r="J23" s="361"/>
      <c r="K23" s="364"/>
      <c r="L23" s="364"/>
      <c r="M23" s="361"/>
      <c r="N23" s="363"/>
      <c r="P23" s="238"/>
    </row>
    <row r="24" spans="1:16" s="213" customFormat="1" ht="68">
      <c r="A24" s="360" t="s">
        <v>443</v>
      </c>
      <c r="B24" s="365" t="s">
        <v>442</v>
      </c>
      <c r="C24" s="365" t="s">
        <v>441</v>
      </c>
      <c r="D24" s="365" t="s">
        <v>440</v>
      </c>
      <c r="E24" s="365" t="s">
        <v>439</v>
      </c>
      <c r="F24" s="365" t="s">
        <v>438</v>
      </c>
      <c r="G24" s="365" t="s">
        <v>437</v>
      </c>
      <c r="H24" s="365" t="s">
        <v>436</v>
      </c>
      <c r="I24" s="365" t="s">
        <v>435</v>
      </c>
      <c r="J24" s="361" t="s">
        <v>482</v>
      </c>
      <c r="K24" s="365" t="s">
        <v>434</v>
      </c>
      <c r="L24" s="365" t="s">
        <v>433</v>
      </c>
      <c r="M24" s="361" t="s">
        <v>481</v>
      </c>
      <c r="N24" s="360"/>
      <c r="P24" s="239"/>
    </row>
    <row r="25" spans="1:16" s="213" customFormat="1" ht="16" customHeight="1">
      <c r="A25" s="360" t="s">
        <v>431</v>
      </c>
      <c r="B25" s="384">
        <f>MAX(B11:B20)</f>
        <v>134.66057441253264</v>
      </c>
      <c r="C25" s="384">
        <f t="shared" ref="C25:L25" si="1">MAX(C11:C20)</f>
        <v>764.1</v>
      </c>
      <c r="D25" s="384">
        <f t="shared" si="1"/>
        <v>36732.300000000003</v>
      </c>
      <c r="E25" s="384">
        <f t="shared" si="1"/>
        <v>16148</v>
      </c>
      <c r="F25" s="384">
        <f t="shared" si="1"/>
        <v>6311</v>
      </c>
      <c r="G25" s="384">
        <f t="shared" si="1"/>
        <v>46070.3</v>
      </c>
      <c r="H25" s="384">
        <f t="shared" si="1"/>
        <v>4843.8</v>
      </c>
      <c r="I25" s="384">
        <f t="shared" si="1"/>
        <v>2273</v>
      </c>
      <c r="J25" s="384">
        <v>2240</v>
      </c>
      <c r="K25" s="384">
        <f t="shared" si="1"/>
        <v>9.68</v>
      </c>
      <c r="L25" s="384">
        <f t="shared" si="1"/>
        <v>6.4751000000000003</v>
      </c>
      <c r="M25" s="384">
        <v>4.59</v>
      </c>
      <c r="N25" s="362"/>
      <c r="P25" s="237"/>
    </row>
    <row r="26" spans="1:16" s="213" customFormat="1" ht="16" customHeight="1">
      <c r="A26" s="360" t="s">
        <v>430</v>
      </c>
      <c r="B26" s="384">
        <f>MIN(B11:B20)</f>
        <v>12.239914570479355</v>
      </c>
      <c r="C26" s="384">
        <f t="shared" ref="C26:L26" si="2">MIN(C11:C20)</f>
        <v>38.299999999999997</v>
      </c>
      <c r="D26" s="384">
        <f t="shared" si="2"/>
        <v>2954.3</v>
      </c>
      <c r="E26" s="384">
        <f t="shared" si="2"/>
        <v>1285.2</v>
      </c>
      <c r="F26" s="384">
        <f t="shared" si="2"/>
        <v>41.6</v>
      </c>
      <c r="G26" s="384">
        <f t="shared" si="2"/>
        <v>7135</v>
      </c>
      <c r="H26" s="384">
        <f t="shared" si="2"/>
        <v>1354</v>
      </c>
      <c r="I26" s="384">
        <f t="shared" si="2"/>
        <v>-742.1</v>
      </c>
      <c r="J26" s="384">
        <v>-1552.1</v>
      </c>
      <c r="K26" s="384">
        <f t="shared" si="2"/>
        <v>-5.41</v>
      </c>
      <c r="L26" s="384">
        <f t="shared" si="2"/>
        <v>-2.93E-2</v>
      </c>
      <c r="M26" s="384">
        <v>-46.8</v>
      </c>
      <c r="N26" s="362"/>
      <c r="P26" s="238"/>
    </row>
    <row r="27" spans="1:16" s="213" customFormat="1" ht="16" customHeight="1">
      <c r="A27" s="360" t="s">
        <v>429</v>
      </c>
      <c r="B27" s="384">
        <f>AVERAGE(B11:B20)</f>
        <v>69.642832761326574</v>
      </c>
      <c r="C27" s="384">
        <f t="shared" ref="C27:L27" si="3">AVERAGE(C11:C20)</f>
        <v>219.61000000000004</v>
      </c>
      <c r="D27" s="384">
        <f t="shared" si="3"/>
        <v>11718.460000000001</v>
      </c>
      <c r="E27" s="384">
        <f t="shared" si="3"/>
        <v>6533.54</v>
      </c>
      <c r="F27" s="384">
        <f t="shared" si="3"/>
        <v>1277.0899999999999</v>
      </c>
      <c r="G27" s="384">
        <f t="shared" si="3"/>
        <v>16962.419999999998</v>
      </c>
      <c r="H27" s="384">
        <f t="shared" si="3"/>
        <v>3377.2400000000002</v>
      </c>
      <c r="I27" s="384">
        <f t="shared" si="3"/>
        <v>710.5</v>
      </c>
      <c r="J27" s="384">
        <v>474.9</v>
      </c>
      <c r="K27" s="384">
        <f t="shared" si="3"/>
        <v>3.4180000000000001</v>
      </c>
      <c r="L27" s="384">
        <f t="shared" si="3"/>
        <v>1.0540999999999998</v>
      </c>
      <c r="M27" s="384">
        <v>-17</v>
      </c>
      <c r="N27" s="362"/>
      <c r="P27" s="238"/>
    </row>
    <row r="28" spans="1:16" s="213" customFormat="1" ht="16" customHeight="1">
      <c r="A28" s="360" t="s">
        <v>428</v>
      </c>
      <c r="B28" s="384">
        <f>MEDIAN(B11:B20)</f>
        <v>59.701096397911783</v>
      </c>
      <c r="C28" s="384">
        <f t="shared" ref="C28:L28" si="4">MEDIAN(C11:C20)</f>
        <v>111.1</v>
      </c>
      <c r="D28" s="384">
        <f t="shared" si="4"/>
        <v>6128.65</v>
      </c>
      <c r="E28" s="384">
        <f t="shared" si="4"/>
        <v>4493.5</v>
      </c>
      <c r="F28" s="384">
        <f t="shared" si="4"/>
        <v>748.5</v>
      </c>
      <c r="G28" s="384">
        <f t="shared" si="4"/>
        <v>9393.15</v>
      </c>
      <c r="H28" s="384">
        <f t="shared" si="4"/>
        <v>3552.5</v>
      </c>
      <c r="I28" s="384">
        <f t="shared" si="4"/>
        <v>727.9</v>
      </c>
      <c r="J28" s="385">
        <v>508</v>
      </c>
      <c r="K28" s="384">
        <f t="shared" si="4"/>
        <v>4.05</v>
      </c>
      <c r="L28" s="384">
        <f t="shared" si="4"/>
        <v>0.41984999999999995</v>
      </c>
      <c r="M28" s="384">
        <v>-12.81</v>
      </c>
      <c r="N28" s="362"/>
      <c r="P28" s="238"/>
    </row>
    <row r="29" spans="1:16" ht="16" customHeight="1">
      <c r="P29" s="238"/>
    </row>
    <row r="30" spans="1:16" ht="16" customHeight="1">
      <c r="A30" s="672" t="s">
        <v>473</v>
      </c>
      <c r="B30" s="672"/>
      <c r="C30" s="672"/>
      <c r="D30" s="672"/>
      <c r="E30" s="672"/>
      <c r="F30" s="672"/>
      <c r="G30" s="672"/>
      <c r="H30" s="366"/>
      <c r="I30" s="366"/>
      <c r="J30" s="366"/>
      <c r="K30" s="366"/>
      <c r="L30" s="366"/>
      <c r="M30" s="366"/>
      <c r="N30" s="366"/>
    </row>
    <row r="31" spans="1:16" ht="16" customHeight="1">
      <c r="A31" s="369" t="s">
        <v>480</v>
      </c>
      <c r="B31" s="370" t="s">
        <v>474</v>
      </c>
      <c r="C31" s="370" t="s">
        <v>475</v>
      </c>
      <c r="D31" s="370" t="s">
        <v>476</v>
      </c>
      <c r="E31" s="370" t="s">
        <v>477</v>
      </c>
      <c r="F31" s="371" t="s">
        <v>478</v>
      </c>
      <c r="G31" s="370" t="s">
        <v>479</v>
      </c>
    </row>
    <row r="32" spans="1:16" ht="16" customHeight="1">
      <c r="A32" s="360" t="s">
        <v>465</v>
      </c>
      <c r="B32" s="372">
        <f>B11/K11</f>
        <v>27.70600252942894</v>
      </c>
      <c r="C32" s="372">
        <f>G11/H11</f>
        <v>11.351391862955033</v>
      </c>
      <c r="D32" s="372">
        <f>G11/J11</f>
        <v>18.932500000000001</v>
      </c>
      <c r="E32" s="372">
        <f>G11/I11</f>
        <v>18.657633084029918</v>
      </c>
      <c r="F32" s="372">
        <f>B11/(H11/C11)</f>
        <v>9.1474304068522496</v>
      </c>
      <c r="G32" s="369">
        <v>26.1</v>
      </c>
    </row>
    <row r="33" spans="1:7" ht="16" customHeight="1">
      <c r="A33" s="360" t="s">
        <v>463</v>
      </c>
      <c r="B33" s="372">
        <f t="shared" ref="B33:B43" si="5">B12/K12</f>
        <v>21.694465156166384</v>
      </c>
      <c r="C33" s="372">
        <f t="shared" ref="C33:C43" si="6">G12/H12</f>
        <v>3.8064506267196574</v>
      </c>
      <c r="D33" s="372">
        <f t="shared" ref="D33:D43" si="7">G12/J12</f>
        <v>29.858273381294964</v>
      </c>
      <c r="E33" s="372">
        <f t="shared" ref="E33:E43" si="8">G12/I12</f>
        <v>14.769750889679715</v>
      </c>
      <c r="F33" s="372">
        <f t="shared" ref="F33:F43" si="9">B12/(H12/C12)</f>
        <v>2.9620605319474165</v>
      </c>
      <c r="G33" s="369">
        <v>20</v>
      </c>
    </row>
    <row r="34" spans="1:7" ht="16" customHeight="1">
      <c r="A34" s="360" t="s">
        <v>461</v>
      </c>
      <c r="B34" s="372">
        <f t="shared" si="5"/>
        <v>12.928063720488169</v>
      </c>
      <c r="C34" s="372">
        <f t="shared" si="6"/>
        <v>2.2205483323911817</v>
      </c>
      <c r="D34" s="372">
        <f t="shared" si="7"/>
        <v>10.602294197031039</v>
      </c>
      <c r="E34" s="372">
        <f t="shared" si="8"/>
        <v>8.2351153039832283</v>
      </c>
      <c r="F34" s="372">
        <f t="shared" si="9"/>
        <v>1.2533352176370833</v>
      </c>
      <c r="G34" s="369">
        <v>13.1</v>
      </c>
    </row>
    <row r="35" spans="1:7" ht="17">
      <c r="A35" s="360" t="s">
        <v>459</v>
      </c>
      <c r="B35" s="372">
        <f t="shared" si="5"/>
        <v>8.5007020855393396</v>
      </c>
      <c r="C35" s="372">
        <f t="shared" si="6"/>
        <v>2.3020185029436497</v>
      </c>
      <c r="D35" s="372">
        <f t="shared" si="7"/>
        <v>11.866040462427744</v>
      </c>
      <c r="E35" s="372">
        <f t="shared" si="8"/>
        <v>10.28984962406015</v>
      </c>
      <c r="F35" s="372">
        <f t="shared" si="9"/>
        <v>0.82823100644799563</v>
      </c>
      <c r="G35" s="369">
        <v>1.9</v>
      </c>
    </row>
    <row r="36" spans="1:7" ht="17">
      <c r="A36" s="360" t="s">
        <v>457</v>
      </c>
      <c r="B36" s="372">
        <f t="shared" si="5"/>
        <v>-2.2624611036006201</v>
      </c>
      <c r="C36" s="372">
        <f t="shared" si="6"/>
        <v>3.8430364589784882</v>
      </c>
      <c r="D36" s="372">
        <f t="shared" si="7"/>
        <v>-11.993363829650153</v>
      </c>
      <c r="E36" s="372">
        <f t="shared" si="8"/>
        <v>-25.084085702735482</v>
      </c>
      <c r="F36" s="372">
        <f t="shared" si="9"/>
        <v>1.0648457822370865</v>
      </c>
      <c r="G36" s="369">
        <v>-40</v>
      </c>
    </row>
    <row r="37" spans="1:7" ht="17">
      <c r="A37" s="360" t="s">
        <v>455</v>
      </c>
      <c r="B37" s="372">
        <f t="shared" si="5"/>
        <v>20.030264363303235</v>
      </c>
      <c r="C37" s="372">
        <f t="shared" si="6"/>
        <v>11.209318734793188</v>
      </c>
      <c r="D37" s="372">
        <f t="shared" si="7"/>
        <v>-484.95052631578949</v>
      </c>
      <c r="E37" s="372">
        <f t="shared" si="8"/>
        <v>182.09604743083005</v>
      </c>
      <c r="F37" s="372">
        <f t="shared" si="9"/>
        <v>8.9372992700729945</v>
      </c>
      <c r="G37" s="369">
        <v>-832.5</v>
      </c>
    </row>
    <row r="38" spans="1:7" ht="17">
      <c r="A38" s="360" t="s">
        <v>453</v>
      </c>
      <c r="B38" s="372">
        <f t="shared" si="5"/>
        <v>18.618944210970334</v>
      </c>
      <c r="C38" s="372">
        <f t="shared" si="6"/>
        <v>5.0895213638633283</v>
      </c>
      <c r="D38" s="372">
        <f t="shared" si="7"/>
        <v>14.241516966067865</v>
      </c>
      <c r="E38" s="372">
        <f t="shared" si="8"/>
        <v>13.254690692922164</v>
      </c>
      <c r="F38" s="372">
        <f t="shared" si="9"/>
        <v>4.2505884870532844</v>
      </c>
      <c r="G38" s="369">
        <v>21.2</v>
      </c>
    </row>
    <row r="39" spans="1:7" ht="17">
      <c r="A39" s="360" t="s">
        <v>451</v>
      </c>
      <c r="B39" s="372">
        <f t="shared" si="5"/>
        <v>13.911216364931057</v>
      </c>
      <c r="C39" s="372">
        <f t="shared" si="6"/>
        <v>2.9019458802067497</v>
      </c>
      <c r="D39" s="372">
        <f t="shared" si="7"/>
        <v>11.975533249686324</v>
      </c>
      <c r="E39" s="372">
        <f t="shared" si="8"/>
        <v>10.273950484391818</v>
      </c>
      <c r="F39" s="372">
        <f t="shared" si="9"/>
        <v>1.5681058072362419</v>
      </c>
      <c r="G39" s="369">
        <v>12.7</v>
      </c>
    </row>
    <row r="40" spans="1:7" ht="17">
      <c r="A40" s="360" t="s">
        <v>449</v>
      </c>
      <c r="B40" s="372">
        <f t="shared" si="5"/>
        <v>16.731887863303104</v>
      </c>
      <c r="C40" s="372">
        <f t="shared" si="6"/>
        <v>1.9824956560911255</v>
      </c>
      <c r="D40" s="372">
        <f t="shared" si="7"/>
        <v>18.734644232718423</v>
      </c>
      <c r="E40" s="372">
        <f t="shared" si="8"/>
        <v>14.049559136515658</v>
      </c>
      <c r="F40" s="372">
        <f t="shared" si="9"/>
        <v>1.4216487547461227</v>
      </c>
      <c r="G40" s="369">
        <v>28.6</v>
      </c>
    </row>
    <row r="41" spans="1:7" ht="17">
      <c r="A41" s="360" t="s">
        <v>447</v>
      </c>
      <c r="B41" s="372">
        <f t="shared" si="5"/>
        <v>18.150014840685955</v>
      </c>
      <c r="C41" s="372">
        <f t="shared" si="6"/>
        <v>5.9751846381093054</v>
      </c>
      <c r="D41" s="372">
        <f t="shared" si="7"/>
        <v>15.709514563106795</v>
      </c>
      <c r="E41" s="372">
        <f t="shared" si="8"/>
        <v>13.461564059900166</v>
      </c>
      <c r="F41" s="372">
        <f t="shared" si="9"/>
        <v>4.6516986706056125</v>
      </c>
      <c r="G41" s="369">
        <v>16.399999999999999</v>
      </c>
    </row>
    <row r="42" spans="1:7">
      <c r="A42" s="369"/>
      <c r="B42" s="372"/>
      <c r="C42" s="372"/>
      <c r="D42" s="372"/>
      <c r="E42" s="372"/>
      <c r="F42" s="372"/>
      <c r="G42" s="369"/>
    </row>
    <row r="43" spans="1:7" ht="17">
      <c r="A43" s="430" t="s">
        <v>445</v>
      </c>
      <c r="B43" s="431">
        <f t="shared" si="5"/>
        <v>20.485996031123918</v>
      </c>
      <c r="C43" s="431">
        <f t="shared" si="6"/>
        <v>2.7786357290713908</v>
      </c>
      <c r="D43" s="431">
        <f t="shared" si="7"/>
        <v>16.411885129371623</v>
      </c>
      <c r="E43" s="431">
        <f t="shared" si="8"/>
        <v>15.558113207547169</v>
      </c>
      <c r="F43" s="431">
        <f t="shared" si="9"/>
        <v>2.2687912193712991</v>
      </c>
      <c r="G43" s="432">
        <f>G22/'FULL Proforma_Revised &amp; DCF'!F121</f>
        <v>17.584227814321785</v>
      </c>
    </row>
    <row r="44" spans="1:7">
      <c r="A44" s="369"/>
      <c r="B44" s="369"/>
      <c r="C44" s="369"/>
      <c r="D44" s="369"/>
      <c r="E44" s="369"/>
      <c r="F44" s="369"/>
      <c r="G44" s="369"/>
    </row>
    <row r="45" spans="1:7" ht="17">
      <c r="A45" s="373" t="s">
        <v>443</v>
      </c>
      <c r="B45" s="369"/>
      <c r="C45" s="369"/>
      <c r="D45" s="369"/>
      <c r="E45" s="369"/>
      <c r="F45" s="369"/>
      <c r="G45" s="369"/>
    </row>
    <row r="46" spans="1:7" ht="17">
      <c r="A46" s="373" t="s">
        <v>431</v>
      </c>
      <c r="B46" s="372">
        <f t="shared" ref="B46:G46" si="10">MAX(B32:B41)</f>
        <v>27.70600252942894</v>
      </c>
      <c r="C46" s="372">
        <f t="shared" si="10"/>
        <v>11.351391862955033</v>
      </c>
      <c r="D46" s="372">
        <f t="shared" si="10"/>
        <v>29.858273381294964</v>
      </c>
      <c r="E46" s="372">
        <f t="shared" si="10"/>
        <v>182.09604743083005</v>
      </c>
      <c r="F46" s="372">
        <f t="shared" si="10"/>
        <v>9.1474304068522496</v>
      </c>
      <c r="G46" s="372">
        <f t="shared" si="10"/>
        <v>28.6</v>
      </c>
    </row>
    <row r="47" spans="1:7" ht="18" thickBot="1">
      <c r="A47" s="373" t="s">
        <v>430</v>
      </c>
      <c r="B47" s="372">
        <f t="shared" ref="B47:G47" si="11">MIN(B32:B41)</f>
        <v>-2.2624611036006201</v>
      </c>
      <c r="C47" s="372">
        <f t="shared" si="11"/>
        <v>1.9824956560911255</v>
      </c>
      <c r="D47" s="372">
        <f t="shared" si="11"/>
        <v>-484.95052631578949</v>
      </c>
      <c r="E47" s="372">
        <f t="shared" si="11"/>
        <v>-25.084085702735482</v>
      </c>
      <c r="F47" s="372">
        <f t="shared" si="11"/>
        <v>0.82823100644799563</v>
      </c>
      <c r="G47" s="372">
        <f t="shared" si="11"/>
        <v>-832.5</v>
      </c>
    </row>
    <row r="48" spans="1:7" ht="18" thickBot="1">
      <c r="A48" s="373" t="s">
        <v>429</v>
      </c>
      <c r="B48" s="372">
        <f t="shared" ref="B48:G48" si="12">AVERAGE(B32:B41)</f>
        <v>15.600910003121589</v>
      </c>
      <c r="C48" s="372">
        <f t="shared" si="12"/>
        <v>5.0681912057051708</v>
      </c>
      <c r="D48" s="372">
        <f t="shared" si="12"/>
        <v>-36.502357309310646</v>
      </c>
      <c r="E48" s="372">
        <f t="shared" si="12"/>
        <v>26.000407500357738</v>
      </c>
      <c r="F48" s="374">
        <f t="shared" si="12"/>
        <v>3.6085243934836093</v>
      </c>
      <c r="G48" s="372">
        <f t="shared" si="12"/>
        <v>-73.249999999999986</v>
      </c>
    </row>
    <row r="49" spans="1:8" ht="18" thickBot="1">
      <c r="A49" s="373" t="s">
        <v>428</v>
      </c>
      <c r="B49" s="372">
        <f t="shared" ref="B49:G49" si="13">MEDIAN(B32:B41)</f>
        <v>17.440951351994528</v>
      </c>
      <c r="C49" s="374">
        <f t="shared" si="13"/>
        <v>3.824743542849073</v>
      </c>
      <c r="D49" s="372">
        <f t="shared" si="13"/>
        <v>13.108525107877094</v>
      </c>
      <c r="E49" s="374">
        <f t="shared" si="13"/>
        <v>13.358127376411165</v>
      </c>
      <c r="F49" s="372">
        <f t="shared" si="13"/>
        <v>2.2650831695918292</v>
      </c>
      <c r="G49" s="372">
        <f t="shared" si="13"/>
        <v>14.75</v>
      </c>
    </row>
    <row r="50" spans="1:8">
      <c r="A50" s="93" t="s">
        <v>522</v>
      </c>
      <c r="B50" s="372">
        <f t="shared" ref="B50:G50" si="14">_xlfn.QUARTILE.INC(B32:B41, 1)</f>
        <v>13.173851881598891</v>
      </c>
      <c r="C50" s="372">
        <f t="shared" si="14"/>
        <v>2.4520003472594247</v>
      </c>
      <c r="D50" s="372">
        <f t="shared" si="14"/>
        <v>10.918230763380215</v>
      </c>
      <c r="E50" s="372">
        <f t="shared" si="14"/>
        <v>10.277925269308902</v>
      </c>
      <c r="F50" s="372">
        <f t="shared" si="14"/>
        <v>1.2954136019143432</v>
      </c>
      <c r="G50" s="372">
        <f t="shared" si="14"/>
        <v>4.5999999999999996</v>
      </c>
    </row>
    <row r="51" spans="1:8">
      <c r="A51" s="93" t="s">
        <v>523</v>
      </c>
      <c r="B51" s="372">
        <f t="shared" ref="B51:G51" si="15">_xlfn.QUARTILE.INC(B32:B41, 3)</f>
        <v>19.677434325220009</v>
      </c>
      <c r="C51" s="372">
        <f t="shared" si="15"/>
        <v>5.7537688195478109</v>
      </c>
      <c r="D51" s="372">
        <f t="shared" si="15"/>
        <v>17.978361815315516</v>
      </c>
      <c r="E51" s="372">
        <f t="shared" si="15"/>
        <v>14.5897029513887</v>
      </c>
      <c r="F51" s="372">
        <f t="shared" si="15"/>
        <v>4.55142112471753</v>
      </c>
      <c r="G51" s="372">
        <f t="shared" si="15"/>
        <v>20.9</v>
      </c>
    </row>
    <row r="52" spans="1:8" hidden="1">
      <c r="A52" s="93" t="s">
        <v>524</v>
      </c>
      <c r="B52" s="372">
        <f t="shared" ref="B52:G52" si="16">B51-B50</f>
        <v>6.5035824436211183</v>
      </c>
      <c r="C52" s="372">
        <f t="shared" si="16"/>
        <v>3.3017684722883862</v>
      </c>
      <c r="D52" s="372">
        <f t="shared" si="16"/>
        <v>7.0601310519353007</v>
      </c>
      <c r="E52" s="372">
        <f t="shared" si="16"/>
        <v>4.3117776820797982</v>
      </c>
      <c r="F52" s="372">
        <f t="shared" si="16"/>
        <v>3.2560075228031868</v>
      </c>
      <c r="G52" s="372">
        <f t="shared" si="16"/>
        <v>16.299999999999997</v>
      </c>
    </row>
    <row r="53" spans="1:8">
      <c r="A53" s="93" t="s">
        <v>525</v>
      </c>
      <c r="B53" s="372">
        <f t="shared" ref="B53:G53" si="17">B50-1.5*B52</f>
        <v>3.4184782161672143</v>
      </c>
      <c r="C53" s="372">
        <f t="shared" si="17"/>
        <v>-2.5006523611731541</v>
      </c>
      <c r="D53" s="372">
        <f t="shared" si="17"/>
        <v>0.32803418547726437</v>
      </c>
      <c r="E53" s="372">
        <f t="shared" si="17"/>
        <v>3.8102587461892048</v>
      </c>
      <c r="F53" s="372">
        <f t="shared" si="17"/>
        <v>-3.5885976822904366</v>
      </c>
      <c r="G53" s="372">
        <f t="shared" si="17"/>
        <v>-19.849999999999994</v>
      </c>
    </row>
    <row r="54" spans="1:8" ht="17" thickBot="1">
      <c r="A54" s="375" t="s">
        <v>526</v>
      </c>
      <c r="B54" s="372">
        <f t="shared" ref="B54:G54" si="18">B51+1.5*B52</f>
        <v>29.432807990651686</v>
      </c>
      <c r="C54" s="372">
        <f t="shared" si="18"/>
        <v>10.706421527980389</v>
      </c>
      <c r="D54" s="372">
        <f t="shared" si="18"/>
        <v>28.568558393218467</v>
      </c>
      <c r="E54" s="372">
        <f t="shared" si="18"/>
        <v>21.057369474508398</v>
      </c>
      <c r="F54" s="372">
        <f t="shared" si="18"/>
        <v>9.4354324089223098</v>
      </c>
      <c r="G54" s="372">
        <f t="shared" si="18"/>
        <v>45.349999999999994</v>
      </c>
    </row>
    <row r="55" spans="1:8" ht="17" thickBot="1">
      <c r="A55" s="375" t="s">
        <v>527</v>
      </c>
      <c r="B55" s="374">
        <f>AVERAGEIFS(B32:B41,B32:B41,"&lt;29.433",B32:B41,"&gt;3.4184")</f>
        <v>17.585729014979613</v>
      </c>
      <c r="C55" s="372">
        <f>AVERAGEIFS(C32:C41,C32:C41,"&lt;10.7064",C32:C41,"&gt;-2.500")</f>
        <v>3.5151501824129356</v>
      </c>
      <c r="D55" s="374">
        <f>AVERAGEIFS(D32:D41,D32:D41,"&lt;28.5685",D32:D41,"&gt;0.3280")</f>
        <v>14.580291953005455</v>
      </c>
      <c r="E55" s="372">
        <f>AVERAGEIFS(E32:E41,E32:E41,"&lt;21.0574",E32:E41,"&gt;3.81025")</f>
        <v>12.874014159435353</v>
      </c>
      <c r="F55" s="372">
        <f>AVERAGEIFS(F32:F41,F32:F41,"&lt;9.4354",F32:F41,"&gt;-3.58859")</f>
        <v>3.6085243934836093</v>
      </c>
      <c r="G55" s="374">
        <f>AVERAGEIFS(G32:G41,G32:G41,"&lt;45.35",G32:G41,"&gt;-19.85")</f>
        <v>17.5</v>
      </c>
    </row>
    <row r="57" spans="1:8" ht="20">
      <c r="A57" s="733" t="s">
        <v>528</v>
      </c>
      <c r="B57" s="733"/>
      <c r="C57" s="733"/>
      <c r="D57" s="733"/>
      <c r="E57" s="733"/>
      <c r="F57" s="733"/>
      <c r="G57" s="733"/>
      <c r="H57" s="367"/>
    </row>
    <row r="58" spans="1:8">
      <c r="A58" s="375" t="s">
        <v>529</v>
      </c>
      <c r="B58" s="376">
        <f>B55</f>
        <v>17.585729014979613</v>
      </c>
      <c r="C58" s="376">
        <f>C49</f>
        <v>3.824743542849073</v>
      </c>
      <c r="D58" s="376">
        <f>D55</f>
        <v>14.580291953005455</v>
      </c>
      <c r="E58" s="376">
        <f>E49</f>
        <v>13.358127376411165</v>
      </c>
      <c r="F58" s="376">
        <f>F48</f>
        <v>3.6085243934836093</v>
      </c>
      <c r="G58" s="376">
        <f>G55</f>
        <v>17.5</v>
      </c>
    </row>
    <row r="59" spans="1:8">
      <c r="A59" s="375" t="s">
        <v>530</v>
      </c>
      <c r="B59" s="377"/>
      <c r="C59" s="378">
        <f>C58*H22</f>
        <v>79451.397615603797</v>
      </c>
      <c r="D59" s="378">
        <f>D58*J22</f>
        <v>51278.886798720188</v>
      </c>
      <c r="E59" s="378">
        <f>E58*I22</f>
        <v>49558.65256648542</v>
      </c>
      <c r="F59" s="377"/>
      <c r="G59" s="379">
        <f>G58*'FULL Proforma_Revised &amp; DCF'!F121</f>
        <v>57444.120416666665</v>
      </c>
    </row>
    <row r="60" spans="1:8">
      <c r="A60" s="375" t="s">
        <v>531</v>
      </c>
      <c r="B60" s="377"/>
      <c r="C60" s="378">
        <f>-($E$22-$F$22)</f>
        <v>-10591</v>
      </c>
      <c r="D60" s="378">
        <f>-($E$22-$F$22)</f>
        <v>-10591</v>
      </c>
      <c r="E60" s="378">
        <f>-($E$22-$F$22)</f>
        <v>-10591</v>
      </c>
      <c r="F60" s="378"/>
      <c r="G60" s="378">
        <f>-($E$22-$F$22)</f>
        <v>-10591</v>
      </c>
    </row>
    <row r="61" spans="1:8">
      <c r="A61" s="375" t="s">
        <v>532</v>
      </c>
      <c r="B61" s="377"/>
      <c r="C61" s="378">
        <f>C59+C60</f>
        <v>68860.397615603797</v>
      </c>
      <c r="D61" s="378">
        <f>D59+D60</f>
        <v>40687.886798720188</v>
      </c>
      <c r="E61" s="378">
        <f>E59+E60</f>
        <v>38967.65256648542</v>
      </c>
      <c r="F61" s="378"/>
      <c r="G61" s="378">
        <f>G59+G60</f>
        <v>46853.120416666665</v>
      </c>
    </row>
    <row r="62" spans="1:8">
      <c r="A62" s="381" t="s">
        <v>533</v>
      </c>
      <c r="B62" s="437">
        <f>B58*K22</f>
        <v>127.8272164529036</v>
      </c>
      <c r="C62" s="437">
        <f>C61/$C$22</f>
        <v>217.56839688974344</v>
      </c>
      <c r="D62" s="437">
        <f>D61/$C$22</f>
        <v>128.55572448252823</v>
      </c>
      <c r="E62" s="437">
        <f>E61/$C$22</f>
        <v>123.12054523376121</v>
      </c>
      <c r="F62" s="437">
        <f>F58*(H22/C22)</f>
        <v>236.84005442601901</v>
      </c>
      <c r="G62" s="437">
        <f>G61/C22</f>
        <v>148.035135597683</v>
      </c>
    </row>
    <row r="63" spans="1:8">
      <c r="A63" s="375" t="s">
        <v>534</v>
      </c>
      <c r="B63" s="380">
        <v>0.2</v>
      </c>
      <c r="C63" s="380">
        <v>0.15</v>
      </c>
      <c r="D63" s="380">
        <v>0.2</v>
      </c>
      <c r="E63" s="380">
        <v>0.2</v>
      </c>
      <c r="F63" s="380">
        <v>0.15</v>
      </c>
      <c r="G63" s="380">
        <v>0.1</v>
      </c>
      <c r="H63" s="436"/>
    </row>
    <row r="64" spans="1:8" ht="17" thickBot="1">
      <c r="A64" s="382" t="s">
        <v>689</v>
      </c>
      <c r="B64" s="383">
        <f>B62*B63+C62*C63+D62*D63+E62*E63+F62*F63+G62*G63</f>
        <v>158.86547849097127</v>
      </c>
      <c r="C64" s="440"/>
      <c r="D64" s="440"/>
      <c r="E64" s="440"/>
      <c r="F64" s="440"/>
      <c r="G64" s="440"/>
      <c r="H64" s="240"/>
    </row>
    <row r="65" spans="1:8" ht="17" thickTop="1">
      <c r="A65" s="369" t="s">
        <v>686</v>
      </c>
      <c r="B65" s="438">
        <v>0.3</v>
      </c>
      <c r="C65" s="438">
        <v>0.15</v>
      </c>
      <c r="D65" s="438">
        <v>0.2</v>
      </c>
      <c r="E65" s="438">
        <v>0.2</v>
      </c>
      <c r="F65" s="438">
        <v>0.05</v>
      </c>
      <c r="G65" s="438">
        <v>0.1</v>
      </c>
      <c r="H65" s="436"/>
    </row>
    <row r="66" spans="1:8" ht="17">
      <c r="A66" s="441" t="s">
        <v>682</v>
      </c>
      <c r="B66" s="442">
        <f>SUMPRODUCT(B62:G62,B65:G65)</f>
        <v>147.96419469365972</v>
      </c>
      <c r="C66" s="369"/>
      <c r="D66" s="369"/>
      <c r="E66" s="369"/>
      <c r="F66" s="369"/>
      <c r="G66" s="369"/>
    </row>
    <row r="67" spans="1:8">
      <c r="A67" s="369" t="s">
        <v>687</v>
      </c>
      <c r="B67" s="439">
        <v>0.2</v>
      </c>
      <c r="C67" s="439">
        <v>0.2</v>
      </c>
      <c r="D67" s="439">
        <v>0.15</v>
      </c>
      <c r="E67" s="439">
        <v>0.15</v>
      </c>
      <c r="F67" s="439">
        <v>0.25</v>
      </c>
      <c r="G67" s="439">
        <v>0.05</v>
      </c>
      <c r="H67" s="436"/>
    </row>
    <row r="68" spans="1:8" ht="17">
      <c r="A68" s="441" t="s">
        <v>683</v>
      </c>
      <c r="B68" s="443">
        <f>SUMPRODUCT(B62:G62,B67:G67)</f>
        <v>173.44233351236173</v>
      </c>
      <c r="C68" s="369"/>
      <c r="D68" s="369"/>
      <c r="E68" s="369"/>
      <c r="F68" s="369"/>
      <c r="G68" s="369"/>
    </row>
    <row r="82" spans="1:7" ht="17">
      <c r="A82" s="656" t="s">
        <v>96</v>
      </c>
      <c r="B82" s="656"/>
      <c r="C82" s="656"/>
      <c r="D82" s="656"/>
      <c r="E82" s="656"/>
      <c r="F82" s="656"/>
      <c r="G82" s="656"/>
    </row>
    <row r="83" spans="1:7" ht="16" customHeight="1">
      <c r="A83" s="730" t="s">
        <v>685</v>
      </c>
      <c r="B83" s="729" t="s">
        <v>684</v>
      </c>
      <c r="C83" s="729"/>
      <c r="D83" s="729"/>
      <c r="E83" s="729"/>
      <c r="F83" s="729"/>
      <c r="G83" s="729"/>
    </row>
    <row r="84" spans="1:7">
      <c r="A84" s="730"/>
      <c r="B84" s="729"/>
      <c r="C84" s="729"/>
      <c r="D84" s="729"/>
      <c r="E84" s="729"/>
      <c r="F84" s="729"/>
      <c r="G84" s="729"/>
    </row>
    <row r="85" spans="1:7">
      <c r="A85" s="730"/>
      <c r="B85" s="729"/>
      <c r="C85" s="729"/>
      <c r="D85" s="729"/>
      <c r="E85" s="729"/>
      <c r="F85" s="729"/>
      <c r="G85" s="729"/>
    </row>
    <row r="86" spans="1:7">
      <c r="A86" s="730"/>
      <c r="B86" s="729"/>
      <c r="C86" s="729"/>
      <c r="D86" s="729"/>
      <c r="E86" s="729"/>
      <c r="F86" s="729"/>
      <c r="G86" s="729"/>
    </row>
    <row r="87" spans="1:7">
      <c r="A87" s="730"/>
      <c r="B87" s="729"/>
      <c r="C87" s="729"/>
      <c r="D87" s="729"/>
      <c r="E87" s="729"/>
      <c r="F87" s="729"/>
      <c r="G87" s="729"/>
    </row>
    <row r="88" spans="1:7">
      <c r="A88" s="730"/>
      <c r="B88" s="729"/>
      <c r="C88" s="729"/>
      <c r="D88" s="729"/>
      <c r="E88" s="729"/>
      <c r="F88" s="729"/>
      <c r="G88" s="729"/>
    </row>
    <row r="89" spans="1:7">
      <c r="A89" s="730"/>
      <c r="B89" s="729"/>
      <c r="C89" s="729"/>
      <c r="D89" s="729"/>
      <c r="E89" s="729"/>
      <c r="F89" s="729"/>
      <c r="G89" s="729"/>
    </row>
    <row r="90" spans="1:7">
      <c r="A90" s="730"/>
      <c r="B90" s="729"/>
      <c r="C90" s="729"/>
      <c r="D90" s="729"/>
      <c r="E90" s="729"/>
      <c r="F90" s="729"/>
      <c r="G90" s="729"/>
    </row>
    <row r="91" spans="1:7">
      <c r="A91" s="730"/>
      <c r="B91" s="729"/>
      <c r="C91" s="729"/>
      <c r="D91" s="729"/>
      <c r="E91" s="729"/>
      <c r="F91" s="729"/>
      <c r="G91" s="729"/>
    </row>
    <row r="92" spans="1:7">
      <c r="A92" s="730"/>
      <c r="B92" s="729"/>
      <c r="C92" s="729"/>
      <c r="D92" s="729"/>
      <c r="E92" s="729"/>
      <c r="F92" s="729"/>
      <c r="G92" s="729"/>
    </row>
    <row r="93" spans="1:7">
      <c r="A93" s="730"/>
      <c r="B93" s="729"/>
      <c r="C93" s="729"/>
      <c r="D93" s="729"/>
      <c r="E93" s="729"/>
      <c r="F93" s="729"/>
      <c r="G93" s="729"/>
    </row>
    <row r="94" spans="1:7">
      <c r="A94" s="730"/>
      <c r="B94" s="729"/>
      <c r="C94" s="729"/>
      <c r="D94" s="729"/>
      <c r="E94" s="729"/>
      <c r="F94" s="729"/>
      <c r="G94" s="729"/>
    </row>
    <row r="95" spans="1:7">
      <c r="A95" s="730"/>
      <c r="B95" s="729"/>
      <c r="C95" s="729"/>
      <c r="D95" s="729"/>
      <c r="E95" s="729"/>
      <c r="F95" s="729"/>
      <c r="G95" s="729"/>
    </row>
    <row r="96" spans="1:7">
      <c r="A96" s="730"/>
      <c r="B96" s="729"/>
      <c r="C96" s="729"/>
      <c r="D96" s="729"/>
      <c r="E96" s="729"/>
      <c r="F96" s="729"/>
      <c r="G96" s="729"/>
    </row>
    <row r="97" spans="1:7">
      <c r="A97" s="730"/>
      <c r="B97" s="729"/>
      <c r="C97" s="729"/>
      <c r="D97" s="729"/>
      <c r="E97" s="729"/>
      <c r="F97" s="729"/>
      <c r="G97" s="729"/>
    </row>
    <row r="98" spans="1:7">
      <c r="A98" s="730"/>
      <c r="B98" s="729"/>
      <c r="C98" s="729"/>
      <c r="D98" s="729"/>
      <c r="E98" s="729"/>
      <c r="F98" s="729"/>
      <c r="G98" s="729"/>
    </row>
    <row r="99" spans="1:7">
      <c r="A99" s="730"/>
      <c r="B99" s="729"/>
      <c r="C99" s="729"/>
      <c r="D99" s="729"/>
      <c r="E99" s="729"/>
      <c r="F99" s="729"/>
      <c r="G99" s="729"/>
    </row>
    <row r="100" spans="1:7">
      <c r="A100" s="730"/>
      <c r="B100" s="729"/>
      <c r="C100" s="729"/>
      <c r="D100" s="729"/>
      <c r="E100" s="729"/>
      <c r="F100" s="729"/>
      <c r="G100" s="729"/>
    </row>
    <row r="101" spans="1:7">
      <c r="A101" s="730"/>
      <c r="B101" s="729"/>
      <c r="C101" s="729"/>
      <c r="D101" s="729"/>
      <c r="E101" s="729"/>
      <c r="F101" s="729"/>
      <c r="G101" s="729"/>
    </row>
    <row r="102" spans="1:7">
      <c r="A102" s="730"/>
      <c r="B102" s="729"/>
      <c r="C102" s="729"/>
      <c r="D102" s="729"/>
      <c r="E102" s="729"/>
      <c r="F102" s="729"/>
      <c r="G102" s="729"/>
    </row>
    <row r="103" spans="1:7">
      <c r="A103" s="730"/>
      <c r="B103" s="729"/>
      <c r="C103" s="729"/>
      <c r="D103" s="729"/>
      <c r="E103" s="729"/>
      <c r="F103" s="729"/>
      <c r="G103" s="729"/>
    </row>
  </sheetData>
  <mergeCells count="8">
    <mergeCell ref="A82:G82"/>
    <mergeCell ref="B83:G103"/>
    <mergeCell ref="A83:A103"/>
    <mergeCell ref="A9:N9"/>
    <mergeCell ref="A1:N1"/>
    <mergeCell ref="A3:N3"/>
    <mergeCell ref="A30:G30"/>
    <mergeCell ref="A57:G57"/>
  </mergeCells>
  <hyperlinks>
    <hyperlink ref="L5" r:id="rId1" xr:uid="{DB4A4F4F-D8AF-564A-A0D2-82FFE844531A}"/>
    <hyperlink ref="L6" r:id="rId2" xr:uid="{06591CAE-A110-CA45-90FF-F1820CACC01A}"/>
    <hyperlink ref="L4" r:id="rId3" xr:uid="{82C52FC5-AE9F-FD4A-A725-B3AF039A96B7}"/>
  </hyperlinks>
  <pageMargins left="0.2" right="0.2" top="0.5" bottom="0.5" header="0.5" footer="0.5"/>
  <pageSetup fitToWidth="0" fitToHeight="0" orientation="landscape" horizontalDpi="0" verticalDpi="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5D894-6097-4B1A-8BC8-EB11967F9855}">
  <sheetPr>
    <tabColor rgb="FFFFC000"/>
    <outlinePr summaryBelow="0" summaryRight="0"/>
    <pageSetUpPr autoPageBreaks="0"/>
  </sheetPr>
  <dimension ref="A1:IO104"/>
  <sheetViews>
    <sheetView zoomScale="89" zoomScaleNormal="70" zoomScaleSheetLayoutView="50" workbookViewId="0">
      <selection activeCell="I33" sqref="I33"/>
    </sheetView>
  </sheetViews>
  <sheetFormatPr baseColWidth="10" defaultColWidth="10.83203125" defaultRowHeight="16"/>
  <cols>
    <col min="1" max="1" width="58.83203125" style="203" customWidth="1"/>
    <col min="2" max="3" width="13.33203125" style="203" customWidth="1"/>
    <col min="4" max="4" width="14.1640625" style="203" customWidth="1"/>
    <col min="5" max="13" width="13.33203125" style="203" customWidth="1"/>
    <col min="14" max="14" width="52.83203125" style="203" customWidth="1"/>
    <col min="15" max="240" width="8.83203125" style="203" customWidth="1"/>
    <col min="241" max="16384" width="10.83203125" style="203"/>
  </cols>
  <sheetData>
    <row r="1" spans="1:249" s="135" customFormat="1" ht="25">
      <c r="A1" s="666" t="s">
        <v>467</v>
      </c>
      <c r="B1" s="666"/>
      <c r="C1" s="666"/>
      <c r="D1" s="666"/>
      <c r="E1" s="666"/>
      <c r="F1" s="666"/>
      <c r="G1" s="666"/>
      <c r="H1" s="666"/>
      <c r="I1" s="666"/>
      <c r="J1" s="666"/>
      <c r="K1" s="666"/>
      <c r="L1" s="666"/>
      <c r="M1" s="666"/>
      <c r="N1" s="666"/>
    </row>
    <row r="2" spans="1:249" ht="16" customHeight="1">
      <c r="A2" s="202"/>
    </row>
    <row r="3" spans="1:249" s="135" customFormat="1" ht="16" customHeight="1">
      <c r="A3" s="732" t="s">
        <v>95</v>
      </c>
      <c r="B3" s="732"/>
      <c r="C3" s="732"/>
      <c r="D3" s="732"/>
      <c r="E3" s="732"/>
      <c r="F3" s="732"/>
      <c r="G3" s="732"/>
      <c r="H3" s="732"/>
      <c r="I3" s="732"/>
      <c r="J3" s="732"/>
      <c r="K3" s="732"/>
      <c r="L3" s="732"/>
      <c r="M3" s="732"/>
      <c r="N3" s="732"/>
    </row>
    <row r="4" spans="1:249" s="135" customFormat="1" ht="16" customHeight="1">
      <c r="A4" s="93" t="s">
        <v>86</v>
      </c>
      <c r="B4" s="76" t="s">
        <v>87</v>
      </c>
      <c r="C4" s="201"/>
      <c r="D4" s="201"/>
      <c r="E4" s="69"/>
      <c r="F4" s="204" t="s">
        <v>468</v>
      </c>
      <c r="G4" s="205">
        <v>44926</v>
      </c>
      <c r="H4" s="201"/>
      <c r="I4" s="201"/>
      <c r="J4" s="93"/>
      <c r="K4" s="93" t="s">
        <v>102</v>
      </c>
      <c r="L4" s="206" t="s">
        <v>90</v>
      </c>
      <c r="M4" s="206"/>
      <c r="N4" s="88"/>
    </row>
    <row r="5" spans="1:249" s="135" customFormat="1" ht="16" customHeight="1">
      <c r="A5" s="93" t="s">
        <v>88</v>
      </c>
      <c r="B5" s="76" t="s">
        <v>85</v>
      </c>
      <c r="C5" s="208"/>
      <c r="D5" s="207"/>
      <c r="E5" s="69"/>
      <c r="F5" s="201"/>
      <c r="G5" s="201"/>
      <c r="H5" s="201"/>
      <c r="I5" s="201"/>
      <c r="J5" s="209"/>
      <c r="K5" s="209" t="s">
        <v>129</v>
      </c>
      <c r="L5" s="206" t="s">
        <v>91</v>
      </c>
      <c r="M5" s="206"/>
      <c r="N5" s="88"/>
    </row>
    <row r="6" spans="1:249" s="135" customFormat="1" ht="16" customHeight="1">
      <c r="A6" s="93" t="s">
        <v>89</v>
      </c>
      <c r="B6" s="76" t="s">
        <v>658</v>
      </c>
      <c r="C6" s="208"/>
      <c r="D6" s="207"/>
      <c r="E6" s="69"/>
      <c r="F6" s="201"/>
      <c r="G6" s="201"/>
      <c r="H6" s="201"/>
      <c r="I6" s="210"/>
      <c r="J6" s="210"/>
      <c r="K6" s="211"/>
      <c r="L6" s="206" t="s">
        <v>92</v>
      </c>
      <c r="M6" s="206"/>
      <c r="N6" s="88"/>
    </row>
    <row r="7" spans="1:249" s="2" customFormat="1" ht="17">
      <c r="A7" s="20" t="s">
        <v>265</v>
      </c>
      <c r="B7" s="536" t="s">
        <v>1303</v>
      </c>
      <c r="C7" s="537" t="s">
        <v>1304</v>
      </c>
      <c r="D7" s="22"/>
      <c r="E7" s="23"/>
      <c r="F7" s="23"/>
      <c r="G7" s="23"/>
      <c r="H7" s="23"/>
      <c r="I7" s="7"/>
      <c r="J7" s="7"/>
      <c r="K7" s="7"/>
      <c r="L7" s="7"/>
      <c r="M7" s="7"/>
      <c r="N7" s="7"/>
    </row>
    <row r="8" spans="1:249" s="135" customFormat="1" ht="16" customHeight="1">
      <c r="A8" s="236"/>
      <c r="B8" s="73"/>
      <c r="C8" s="386"/>
      <c r="D8" s="387"/>
      <c r="E8" s="57"/>
      <c r="F8" s="388"/>
      <c r="G8" s="389"/>
      <c r="H8" s="390"/>
      <c r="I8" s="391"/>
      <c r="J8" s="391"/>
      <c r="K8" s="392"/>
      <c r="L8" s="159"/>
      <c r="M8" s="159"/>
      <c r="N8" s="159"/>
    </row>
    <row r="9" spans="1:249" ht="16" customHeight="1">
      <c r="A9" s="202"/>
    </row>
    <row r="10" spans="1:249" s="73" customFormat="1" ht="20">
      <c r="A10" s="731" t="s">
        <v>472</v>
      </c>
      <c r="B10" s="731"/>
      <c r="C10" s="731"/>
      <c r="D10" s="731"/>
      <c r="E10" s="731"/>
      <c r="F10" s="731"/>
      <c r="G10" s="731"/>
      <c r="H10" s="731"/>
      <c r="I10" s="731"/>
      <c r="J10" s="731"/>
      <c r="K10" s="731"/>
      <c r="L10" s="731"/>
      <c r="M10" s="731"/>
      <c r="N10" s="731"/>
      <c r="O10" s="212"/>
      <c r="P10" s="212"/>
      <c r="Q10" s="212"/>
      <c r="R10" s="212"/>
      <c r="S10" s="212"/>
      <c r="T10" s="212"/>
      <c r="U10" s="212"/>
      <c r="V10" s="212"/>
      <c r="W10" s="212"/>
      <c r="X10" s="212"/>
      <c r="Y10" s="212"/>
      <c r="Z10" s="212"/>
      <c r="AA10" s="212"/>
      <c r="AB10" s="212"/>
      <c r="AC10" s="212"/>
      <c r="AD10" s="212"/>
      <c r="AE10" s="212"/>
      <c r="AF10" s="212"/>
      <c r="AG10" s="212"/>
      <c r="AH10" s="212"/>
      <c r="AI10" s="212"/>
      <c r="AJ10" s="212"/>
      <c r="AK10" s="212"/>
      <c r="AL10" s="212"/>
      <c r="AM10" s="212"/>
      <c r="AN10" s="212"/>
      <c r="AO10" s="212"/>
      <c r="AP10" s="212"/>
      <c r="AQ10" s="212"/>
      <c r="AR10" s="212"/>
      <c r="AS10" s="212"/>
      <c r="AT10" s="212"/>
      <c r="AU10" s="212"/>
      <c r="AV10" s="212"/>
      <c r="AW10" s="212"/>
      <c r="AX10" s="212"/>
      <c r="AY10" s="212"/>
      <c r="AZ10" s="212"/>
      <c r="BA10" s="212"/>
      <c r="BB10" s="212"/>
      <c r="BC10" s="212"/>
      <c r="BD10" s="212"/>
      <c r="BE10" s="212"/>
      <c r="BF10" s="212"/>
      <c r="BG10" s="212"/>
      <c r="BH10" s="212"/>
      <c r="BI10" s="212"/>
      <c r="BJ10" s="212"/>
      <c r="BK10" s="212"/>
      <c r="BL10" s="212"/>
      <c r="BM10" s="212"/>
      <c r="BN10" s="212"/>
      <c r="BO10" s="212"/>
      <c r="BP10" s="212"/>
      <c r="BQ10" s="212"/>
      <c r="BR10" s="212"/>
      <c r="BS10" s="212"/>
      <c r="BT10" s="212"/>
      <c r="BU10" s="212"/>
      <c r="BV10" s="212"/>
      <c r="BW10" s="212"/>
      <c r="BX10" s="212"/>
      <c r="BY10" s="212"/>
      <c r="BZ10" s="212"/>
      <c r="CA10" s="212"/>
      <c r="CB10" s="212"/>
      <c r="CC10" s="212"/>
      <c r="CD10" s="212"/>
      <c r="CE10" s="212"/>
      <c r="CF10" s="212"/>
      <c r="CG10" s="212"/>
      <c r="CH10" s="212"/>
      <c r="CI10" s="212"/>
      <c r="CJ10" s="212"/>
      <c r="CK10" s="212"/>
      <c r="CL10" s="212"/>
      <c r="CM10" s="212"/>
      <c r="CN10" s="212"/>
      <c r="CO10" s="212"/>
      <c r="CP10" s="212"/>
      <c r="CQ10" s="212"/>
      <c r="CR10" s="212"/>
      <c r="CS10" s="212"/>
      <c r="CT10" s="212"/>
      <c r="CU10" s="212"/>
      <c r="CV10" s="212"/>
      <c r="CW10" s="212"/>
      <c r="CX10" s="212"/>
      <c r="CY10" s="212"/>
      <c r="CZ10" s="212"/>
      <c r="DA10" s="212"/>
      <c r="DB10" s="212"/>
      <c r="DC10" s="212"/>
      <c r="DD10" s="212"/>
      <c r="DE10" s="212"/>
      <c r="DF10" s="212"/>
      <c r="DG10" s="212"/>
      <c r="DH10" s="212"/>
      <c r="DI10" s="212"/>
      <c r="DJ10" s="212"/>
      <c r="DK10" s="212"/>
      <c r="DL10" s="212"/>
      <c r="DM10" s="212"/>
      <c r="DN10" s="212"/>
      <c r="DO10" s="212"/>
      <c r="DP10" s="212"/>
      <c r="DQ10" s="212"/>
      <c r="DR10" s="212"/>
      <c r="DS10" s="212"/>
      <c r="DT10" s="212"/>
      <c r="DU10" s="212"/>
      <c r="DV10" s="212"/>
      <c r="DW10" s="212"/>
      <c r="DX10" s="212"/>
      <c r="DY10" s="212"/>
      <c r="DZ10" s="212"/>
      <c r="EA10" s="212"/>
      <c r="EB10" s="212"/>
      <c r="EC10" s="212"/>
      <c r="ED10" s="212"/>
      <c r="EE10" s="212"/>
      <c r="EF10" s="212"/>
      <c r="EG10" s="212"/>
      <c r="EH10" s="212"/>
      <c r="EI10" s="212"/>
      <c r="EJ10" s="212"/>
      <c r="EK10" s="212"/>
      <c r="EL10" s="212"/>
      <c r="EM10" s="212"/>
      <c r="EN10" s="212"/>
      <c r="EO10" s="212"/>
      <c r="EP10" s="212"/>
      <c r="EQ10" s="212"/>
      <c r="ER10" s="212"/>
      <c r="ES10" s="212"/>
      <c r="ET10" s="212"/>
      <c r="EU10" s="212"/>
      <c r="EV10" s="212"/>
      <c r="EW10" s="212"/>
      <c r="EX10" s="212"/>
      <c r="EY10" s="212"/>
      <c r="EZ10" s="212"/>
      <c r="FA10" s="212"/>
      <c r="FB10" s="212"/>
      <c r="FC10" s="212"/>
      <c r="FD10" s="212"/>
      <c r="FE10" s="212"/>
      <c r="FF10" s="212"/>
      <c r="FG10" s="212"/>
      <c r="FH10" s="212"/>
      <c r="FI10" s="212"/>
      <c r="FJ10" s="212"/>
      <c r="FK10" s="212"/>
      <c r="FL10" s="212"/>
      <c r="FM10" s="212"/>
      <c r="FN10" s="212"/>
      <c r="FO10" s="212"/>
      <c r="FP10" s="212"/>
      <c r="FQ10" s="212"/>
      <c r="FR10" s="212"/>
      <c r="FS10" s="212"/>
      <c r="FT10" s="212"/>
      <c r="FU10" s="212"/>
      <c r="FV10" s="212"/>
      <c r="FW10" s="212"/>
      <c r="FX10" s="212"/>
      <c r="FY10" s="212"/>
      <c r="FZ10" s="212"/>
      <c r="GA10" s="212"/>
      <c r="GB10" s="212"/>
      <c r="GC10" s="212"/>
      <c r="GD10" s="212"/>
      <c r="GE10" s="212"/>
      <c r="GF10" s="212"/>
      <c r="GG10" s="212"/>
      <c r="GH10" s="212"/>
      <c r="GI10" s="212"/>
      <c r="GJ10" s="212"/>
      <c r="GK10" s="212"/>
      <c r="GL10" s="212"/>
      <c r="GM10" s="212"/>
      <c r="GN10" s="212"/>
      <c r="GO10" s="212"/>
      <c r="GP10" s="212"/>
      <c r="GQ10" s="212"/>
      <c r="GR10" s="212"/>
      <c r="GS10" s="212"/>
      <c r="GT10" s="212"/>
      <c r="GU10" s="212"/>
      <c r="GV10" s="212"/>
      <c r="GW10" s="212"/>
      <c r="GX10" s="212"/>
      <c r="GY10" s="212"/>
      <c r="GZ10" s="212"/>
      <c r="HA10" s="212"/>
      <c r="HB10" s="212"/>
      <c r="HC10" s="212"/>
      <c r="HD10" s="212"/>
      <c r="HE10" s="212"/>
      <c r="HF10" s="212"/>
      <c r="HG10" s="212"/>
      <c r="HH10" s="212"/>
      <c r="HI10" s="212"/>
      <c r="HJ10" s="212"/>
      <c r="HK10" s="212"/>
      <c r="HL10" s="212"/>
      <c r="HM10" s="212"/>
      <c r="HN10" s="212"/>
      <c r="HO10" s="212"/>
      <c r="HP10" s="212"/>
      <c r="HQ10" s="212"/>
      <c r="HR10" s="212"/>
      <c r="HS10" s="212"/>
      <c r="HT10" s="212"/>
      <c r="HU10" s="212"/>
      <c r="HV10" s="212"/>
      <c r="HW10" s="212"/>
      <c r="HX10" s="212"/>
      <c r="HY10" s="212"/>
      <c r="HZ10" s="212"/>
      <c r="IA10" s="212"/>
      <c r="IB10" s="212"/>
      <c r="IC10" s="212"/>
      <c r="ID10" s="212"/>
      <c r="IE10" s="212"/>
      <c r="IF10" s="212"/>
      <c r="IG10" s="212"/>
      <c r="IH10" s="212"/>
      <c r="II10" s="212"/>
      <c r="IJ10" s="212"/>
      <c r="IK10" s="212"/>
      <c r="IL10" s="212"/>
      <c r="IM10" s="212"/>
      <c r="IN10" s="212"/>
      <c r="IO10" s="212"/>
    </row>
    <row r="11" spans="1:249" s="213" customFormat="1" ht="68">
      <c r="A11" s="360" t="s">
        <v>466</v>
      </c>
      <c r="B11" s="361" t="s">
        <v>1224</v>
      </c>
      <c r="C11" s="361" t="s">
        <v>1225</v>
      </c>
      <c r="D11" s="361" t="s">
        <v>1226</v>
      </c>
      <c r="E11" s="361" t="s">
        <v>439</v>
      </c>
      <c r="F11" s="361" t="s">
        <v>438</v>
      </c>
      <c r="G11" s="361" t="s">
        <v>1306</v>
      </c>
      <c r="H11" s="361" t="s">
        <v>436</v>
      </c>
      <c r="I11" s="361" t="s">
        <v>435</v>
      </c>
      <c r="J11" s="361" t="s">
        <v>482</v>
      </c>
      <c r="K11" s="361" t="s">
        <v>434</v>
      </c>
      <c r="L11" s="361" t="s">
        <v>433</v>
      </c>
      <c r="M11" s="361" t="s">
        <v>481</v>
      </c>
      <c r="N11" s="360" t="s">
        <v>432</v>
      </c>
      <c r="P11" s="237"/>
    </row>
    <row r="12" spans="1:249" s="213" customFormat="1" ht="16" customHeight="1">
      <c r="A12" s="360" t="s">
        <v>465</v>
      </c>
      <c r="B12" s="393">
        <f>D12/C12</f>
        <v>126.33937153419595</v>
      </c>
      <c r="C12" s="393">
        <v>270.5</v>
      </c>
      <c r="D12" s="393">
        <v>34174.800000000003</v>
      </c>
      <c r="E12" s="393">
        <v>9691</v>
      </c>
      <c r="F12" s="393">
        <v>1209</v>
      </c>
      <c r="G12" s="393">
        <v>42408.800000000003</v>
      </c>
      <c r="H12" s="393">
        <v>3736</v>
      </c>
      <c r="I12" s="393">
        <v>2273</v>
      </c>
      <c r="J12" s="393">
        <v>2240</v>
      </c>
      <c r="K12" s="393">
        <v>4.5599999999999996</v>
      </c>
      <c r="L12" s="393">
        <v>0.52859999999999996</v>
      </c>
      <c r="M12" s="393">
        <v>-46.8</v>
      </c>
      <c r="N12" s="362" t="s">
        <v>464</v>
      </c>
      <c r="P12" s="238"/>
    </row>
    <row r="13" spans="1:249" s="213" customFormat="1" ht="16" customHeight="1">
      <c r="A13" s="360" t="s">
        <v>463</v>
      </c>
      <c r="B13" s="393">
        <f t="shared" ref="B13:B21" si="0">D13/C13</f>
        <v>90.465919701213821</v>
      </c>
      <c r="C13" s="393">
        <v>107.1</v>
      </c>
      <c r="D13" s="393">
        <v>9688.9</v>
      </c>
      <c r="E13" s="393">
        <v>3450</v>
      </c>
      <c r="F13" s="393">
        <v>991</v>
      </c>
      <c r="G13" s="393">
        <v>12450.9</v>
      </c>
      <c r="H13" s="393">
        <v>3271</v>
      </c>
      <c r="I13" s="393">
        <v>843</v>
      </c>
      <c r="J13" s="393">
        <v>417</v>
      </c>
      <c r="K13" s="393">
        <v>4.17</v>
      </c>
      <c r="L13" s="393">
        <v>1.2637</v>
      </c>
      <c r="M13" s="393">
        <v>-10.06</v>
      </c>
      <c r="N13" s="362" t="s">
        <v>462</v>
      </c>
      <c r="P13" s="238"/>
    </row>
    <row r="14" spans="1:249" s="213" customFormat="1" ht="16" customHeight="1">
      <c r="A14" s="360" t="s">
        <v>461</v>
      </c>
      <c r="B14" s="393">
        <f t="shared" si="0"/>
        <v>38.525629887054741</v>
      </c>
      <c r="C14" s="393">
        <v>115.1</v>
      </c>
      <c r="D14" s="393">
        <v>4434.3</v>
      </c>
      <c r="E14" s="393">
        <v>3847</v>
      </c>
      <c r="F14" s="393">
        <v>223</v>
      </c>
      <c r="G14" s="393">
        <v>7856.3</v>
      </c>
      <c r="H14" s="393">
        <v>3538</v>
      </c>
      <c r="I14" s="393">
        <v>954</v>
      </c>
      <c r="J14" s="393">
        <v>741</v>
      </c>
      <c r="K14" s="393">
        <v>2.98</v>
      </c>
      <c r="L14" s="393">
        <v>0.65869999999999995</v>
      </c>
      <c r="M14" s="393">
        <v>-4.6900000000000004</v>
      </c>
      <c r="N14" s="362" t="s">
        <v>460</v>
      </c>
      <c r="P14" s="238"/>
    </row>
    <row r="15" spans="1:249" s="213" customFormat="1" ht="16" customHeight="1">
      <c r="A15" s="360" t="s">
        <v>459</v>
      </c>
      <c r="B15" s="393">
        <f t="shared" si="0"/>
        <v>36.383004926108377</v>
      </c>
      <c r="C15" s="393">
        <v>81.2</v>
      </c>
      <c r="D15" s="393">
        <v>2954.3</v>
      </c>
      <c r="E15" s="393">
        <v>5753</v>
      </c>
      <c r="F15" s="393">
        <v>550</v>
      </c>
      <c r="G15" s="393">
        <v>8211.2999999999993</v>
      </c>
      <c r="H15" s="393">
        <v>3567</v>
      </c>
      <c r="I15" s="393">
        <v>798</v>
      </c>
      <c r="J15" s="393">
        <v>692</v>
      </c>
      <c r="K15" s="393">
        <v>4.28</v>
      </c>
      <c r="L15" s="393">
        <v>0.13819999999999999</v>
      </c>
      <c r="M15" s="393">
        <v>-28.32</v>
      </c>
      <c r="N15" s="362" t="s">
        <v>458</v>
      </c>
      <c r="P15" s="238"/>
    </row>
    <row r="16" spans="1:249" s="213" customFormat="1" ht="16" customHeight="1">
      <c r="A16" s="360" t="s">
        <v>457</v>
      </c>
      <c r="B16" s="393">
        <f t="shared" si="0"/>
        <v>12.239914570479355</v>
      </c>
      <c r="C16" s="393">
        <v>421.4</v>
      </c>
      <c r="D16" s="393">
        <v>5157.8999999999996</v>
      </c>
      <c r="E16" s="393">
        <v>14249.3</v>
      </c>
      <c r="F16" s="393">
        <v>947</v>
      </c>
      <c r="G16" s="393">
        <v>18614.900000000001</v>
      </c>
      <c r="H16" s="393">
        <v>4843.8</v>
      </c>
      <c r="I16" s="393">
        <v>-742.1</v>
      </c>
      <c r="J16" s="393">
        <v>-1552.1</v>
      </c>
      <c r="K16" s="393">
        <v>-5.41</v>
      </c>
      <c r="L16" s="393">
        <v>6.4751000000000003</v>
      </c>
      <c r="M16" s="393">
        <v>-1.26</v>
      </c>
      <c r="N16" s="362" t="s">
        <v>456</v>
      </c>
      <c r="P16" s="238"/>
    </row>
    <row r="17" spans="1:16" s="213" customFormat="1" ht="16" customHeight="1">
      <c r="A17" s="360" t="s">
        <v>455</v>
      </c>
      <c r="B17" s="393">
        <f t="shared" si="0"/>
        <v>48.072634471927763</v>
      </c>
      <c r="C17" s="393">
        <v>764.1</v>
      </c>
      <c r="D17" s="393">
        <v>36732.300000000003</v>
      </c>
      <c r="E17" s="393">
        <v>16148</v>
      </c>
      <c r="F17" s="393">
        <v>6311</v>
      </c>
      <c r="G17" s="393">
        <v>46070.3</v>
      </c>
      <c r="H17" s="393">
        <v>4110</v>
      </c>
      <c r="I17" s="393">
        <v>253</v>
      </c>
      <c r="J17" s="393">
        <v>-95</v>
      </c>
      <c r="K17" s="393">
        <v>2.4</v>
      </c>
      <c r="L17" s="393">
        <v>-2.93E-2</v>
      </c>
      <c r="M17" s="393">
        <v>4.59</v>
      </c>
      <c r="N17" s="362" t="s">
        <v>454</v>
      </c>
      <c r="P17" s="238"/>
    </row>
    <row r="18" spans="1:16" s="213" customFormat="1" ht="16" customHeight="1">
      <c r="A18" s="360" t="s">
        <v>453</v>
      </c>
      <c r="B18" s="393">
        <f t="shared" si="0"/>
        <v>112.64461247637051</v>
      </c>
      <c r="C18" s="393">
        <v>52.9</v>
      </c>
      <c r="D18" s="393">
        <v>5958.9</v>
      </c>
      <c r="E18" s="393">
        <v>1285.2</v>
      </c>
      <c r="F18" s="393">
        <v>41.6</v>
      </c>
      <c r="G18" s="393">
        <v>7135</v>
      </c>
      <c r="H18" s="393">
        <v>1401.9</v>
      </c>
      <c r="I18" s="393">
        <v>538.29999999999995</v>
      </c>
      <c r="J18" s="393">
        <v>501</v>
      </c>
      <c r="K18" s="393">
        <v>6.05</v>
      </c>
      <c r="L18" s="393">
        <v>0.31109999999999999</v>
      </c>
      <c r="M18" s="393">
        <v>-15.56</v>
      </c>
      <c r="N18" s="362" t="s">
        <v>452</v>
      </c>
      <c r="P18" s="238"/>
    </row>
    <row r="19" spans="1:16" s="213" customFormat="1" ht="16" customHeight="1">
      <c r="A19" s="360" t="s">
        <v>451</v>
      </c>
      <c r="B19" s="393">
        <f t="shared" si="0"/>
        <v>134.66057441253264</v>
      </c>
      <c r="C19" s="393">
        <v>38.299999999999997</v>
      </c>
      <c r="D19" s="393">
        <v>5157.5</v>
      </c>
      <c r="E19" s="393">
        <v>5140</v>
      </c>
      <c r="F19" s="393">
        <v>524</v>
      </c>
      <c r="G19" s="393">
        <v>9544.5</v>
      </c>
      <c r="H19" s="393">
        <v>3289</v>
      </c>
      <c r="I19" s="393">
        <v>929</v>
      </c>
      <c r="J19" s="393">
        <v>797</v>
      </c>
      <c r="K19" s="393">
        <v>9.68</v>
      </c>
      <c r="L19" s="393">
        <v>0.1908</v>
      </c>
      <c r="M19" s="393">
        <v>-40.869999999999997</v>
      </c>
      <c r="N19" s="362" t="s">
        <v>450</v>
      </c>
      <c r="P19" s="238"/>
    </row>
    <row r="20" spans="1:16" s="213" customFormat="1" ht="16" customHeight="1">
      <c r="A20" s="360" t="s">
        <v>449</v>
      </c>
      <c r="B20" s="393">
        <f t="shared" si="0"/>
        <v>25.767107309486782</v>
      </c>
      <c r="C20" s="393">
        <v>257.2</v>
      </c>
      <c r="D20" s="393">
        <v>6627.3</v>
      </c>
      <c r="E20" s="393">
        <v>3683.9</v>
      </c>
      <c r="F20" s="393">
        <v>1813.3</v>
      </c>
      <c r="G20" s="393">
        <v>9241.7999999999993</v>
      </c>
      <c r="H20" s="393">
        <v>4661.7</v>
      </c>
      <c r="I20" s="393">
        <v>657.8</v>
      </c>
      <c r="J20" s="393">
        <v>493.3</v>
      </c>
      <c r="K20" s="393">
        <v>1.54</v>
      </c>
      <c r="L20" s="393">
        <v>0.91649999999999998</v>
      </c>
      <c r="M20" s="393">
        <v>-1.5</v>
      </c>
      <c r="N20" s="362" t="s">
        <v>448</v>
      </c>
      <c r="P20" s="238"/>
    </row>
    <row r="21" spans="1:16" s="213" customFormat="1" ht="16" customHeight="1">
      <c r="A21" s="360" t="s">
        <v>447</v>
      </c>
      <c r="B21" s="393">
        <f t="shared" si="0"/>
        <v>71.32955832389581</v>
      </c>
      <c r="C21" s="393">
        <v>88.3</v>
      </c>
      <c r="D21" s="393">
        <v>6298.4</v>
      </c>
      <c r="E21" s="393">
        <v>2088</v>
      </c>
      <c r="F21" s="393">
        <v>161</v>
      </c>
      <c r="G21" s="393">
        <v>8090.4</v>
      </c>
      <c r="H21" s="393">
        <v>1354</v>
      </c>
      <c r="I21" s="393">
        <v>601</v>
      </c>
      <c r="J21" s="393">
        <v>515</v>
      </c>
      <c r="K21" s="393">
        <v>3.93</v>
      </c>
      <c r="L21" s="393">
        <v>8.7599999999999997E-2</v>
      </c>
      <c r="M21" s="393">
        <v>-25.48</v>
      </c>
      <c r="N21" s="362" t="s">
        <v>446</v>
      </c>
      <c r="P21" s="238"/>
    </row>
    <row r="22" spans="1:16" s="213" customFormat="1" ht="16" customHeight="1">
      <c r="A22" s="363"/>
      <c r="B22" s="394"/>
      <c r="C22" s="394"/>
      <c r="D22" s="394"/>
      <c r="E22" s="394"/>
      <c r="F22" s="394"/>
      <c r="G22" s="394"/>
      <c r="H22" s="394"/>
      <c r="I22" s="394"/>
      <c r="J22" s="394"/>
      <c r="K22" s="394"/>
      <c r="L22" s="394"/>
      <c r="M22" s="394"/>
      <c r="N22" s="363"/>
      <c r="P22" s="239"/>
    </row>
    <row r="23" spans="1:16" s="213" customFormat="1" ht="16" customHeight="1">
      <c r="A23" s="430" t="s">
        <v>445</v>
      </c>
      <c r="B23" s="433">
        <f>D23/C23</f>
        <v>148.90868878357028</v>
      </c>
      <c r="C23" s="433">
        <v>316.5</v>
      </c>
      <c r="D23" s="433">
        <v>47129.599999999999</v>
      </c>
      <c r="E23" s="433">
        <f>Finratios!F43</f>
        <v>11098</v>
      </c>
      <c r="F23" s="433">
        <f>Bsproforma_old!J13</f>
        <v>507</v>
      </c>
      <c r="G23" s="433">
        <f>D23+E23-F23</f>
        <v>57720.6</v>
      </c>
      <c r="H23" s="433">
        <f>Isproforma_old!J29</f>
        <v>20773</v>
      </c>
      <c r="I23" s="433">
        <f>Finratios!F47</f>
        <v>3710</v>
      </c>
      <c r="J23" s="434">
        <f>Finratios!F45</f>
        <v>3517</v>
      </c>
      <c r="K23" s="433">
        <f>Finratios!F11</f>
        <v>7.2688039457459928</v>
      </c>
      <c r="L23" s="433">
        <f>(Isproforma_old!J29-Isproforma_old!H29)/Isproforma_old!H29</f>
        <v>0.49909792884462728</v>
      </c>
      <c r="M23" s="434">
        <f>(E23-F23+Bsproforma_old!J68)/'Multiples Valuation Crystal'!C23</f>
        <v>35.257503949447077</v>
      </c>
      <c r="N23" s="435" t="s">
        <v>444</v>
      </c>
      <c r="P23" s="239"/>
    </row>
    <row r="24" spans="1:16" s="213" customFormat="1" ht="16" customHeight="1">
      <c r="A24" s="363"/>
      <c r="B24" s="364"/>
      <c r="C24" s="364"/>
      <c r="D24" s="364"/>
      <c r="E24" s="364"/>
      <c r="F24" s="364"/>
      <c r="G24" s="364"/>
      <c r="H24" s="364"/>
      <c r="I24" s="364"/>
      <c r="J24" s="361"/>
      <c r="K24" s="364"/>
      <c r="L24" s="364"/>
      <c r="M24" s="361"/>
      <c r="N24" s="363"/>
      <c r="P24" s="238"/>
    </row>
    <row r="25" spans="1:16" s="213" customFormat="1" ht="68">
      <c r="A25" s="360" t="s">
        <v>443</v>
      </c>
      <c r="B25" s="365" t="s">
        <v>442</v>
      </c>
      <c r="C25" s="365" t="s">
        <v>441</v>
      </c>
      <c r="D25" s="365" t="s">
        <v>440</v>
      </c>
      <c r="E25" s="365" t="s">
        <v>439</v>
      </c>
      <c r="F25" s="365" t="s">
        <v>438</v>
      </c>
      <c r="G25" s="365" t="s">
        <v>437</v>
      </c>
      <c r="H25" s="365" t="s">
        <v>436</v>
      </c>
      <c r="I25" s="365" t="s">
        <v>435</v>
      </c>
      <c r="J25" s="361" t="s">
        <v>482</v>
      </c>
      <c r="K25" s="365" t="s">
        <v>434</v>
      </c>
      <c r="L25" s="365" t="s">
        <v>433</v>
      </c>
      <c r="M25" s="361" t="s">
        <v>481</v>
      </c>
      <c r="N25" s="360"/>
      <c r="P25" s="239"/>
    </row>
    <row r="26" spans="1:16" s="213" customFormat="1" ht="16" customHeight="1">
      <c r="A26" s="360" t="s">
        <v>431</v>
      </c>
      <c r="B26" s="384">
        <f>MAX(B12:B21)</f>
        <v>134.66057441253264</v>
      </c>
      <c r="C26" s="384">
        <f t="shared" ref="C26:L26" si="1">MAX(C12:C21)</f>
        <v>764.1</v>
      </c>
      <c r="D26" s="384">
        <f t="shared" si="1"/>
        <v>36732.300000000003</v>
      </c>
      <c r="E26" s="384">
        <f t="shared" si="1"/>
        <v>16148</v>
      </c>
      <c r="F26" s="384">
        <f t="shared" si="1"/>
        <v>6311</v>
      </c>
      <c r="G26" s="384">
        <f t="shared" si="1"/>
        <v>46070.3</v>
      </c>
      <c r="H26" s="384">
        <f t="shared" si="1"/>
        <v>4843.8</v>
      </c>
      <c r="I26" s="384">
        <f t="shared" si="1"/>
        <v>2273</v>
      </c>
      <c r="J26" s="384">
        <v>2240</v>
      </c>
      <c r="K26" s="384">
        <f t="shared" si="1"/>
        <v>9.68</v>
      </c>
      <c r="L26" s="384">
        <f t="shared" si="1"/>
        <v>6.4751000000000003</v>
      </c>
      <c r="M26" s="384">
        <v>4.59</v>
      </c>
      <c r="N26" s="362"/>
      <c r="P26" s="237"/>
    </row>
    <row r="27" spans="1:16" s="213" customFormat="1" ht="16" customHeight="1">
      <c r="A27" s="360" t="s">
        <v>430</v>
      </c>
      <c r="B27" s="384">
        <f>MIN(B12:B21)</f>
        <v>12.239914570479355</v>
      </c>
      <c r="C27" s="384">
        <f t="shared" ref="C27:L27" si="2">MIN(C12:C21)</f>
        <v>38.299999999999997</v>
      </c>
      <c r="D27" s="384">
        <f t="shared" si="2"/>
        <v>2954.3</v>
      </c>
      <c r="E27" s="384">
        <f t="shared" si="2"/>
        <v>1285.2</v>
      </c>
      <c r="F27" s="384">
        <f t="shared" si="2"/>
        <v>41.6</v>
      </c>
      <c r="G27" s="384">
        <f t="shared" si="2"/>
        <v>7135</v>
      </c>
      <c r="H27" s="384">
        <f t="shared" si="2"/>
        <v>1354</v>
      </c>
      <c r="I27" s="384">
        <f t="shared" si="2"/>
        <v>-742.1</v>
      </c>
      <c r="J27" s="384">
        <v>-1552.1</v>
      </c>
      <c r="K27" s="384">
        <f t="shared" si="2"/>
        <v>-5.41</v>
      </c>
      <c r="L27" s="384">
        <f t="shared" si="2"/>
        <v>-2.93E-2</v>
      </c>
      <c r="M27" s="384">
        <v>-46.8</v>
      </c>
      <c r="N27" s="362"/>
      <c r="P27" s="238"/>
    </row>
    <row r="28" spans="1:16" s="213" customFormat="1" ht="16" customHeight="1">
      <c r="A28" s="360" t="s">
        <v>429</v>
      </c>
      <c r="B28" s="384">
        <f>AVERAGE(B12:B21)</f>
        <v>69.642832761326574</v>
      </c>
      <c r="C28" s="384">
        <f t="shared" ref="C28:L28" si="3">AVERAGE(C12:C21)</f>
        <v>219.61000000000004</v>
      </c>
      <c r="D28" s="384">
        <f t="shared" si="3"/>
        <v>11718.460000000001</v>
      </c>
      <c r="E28" s="384">
        <f t="shared" si="3"/>
        <v>6533.54</v>
      </c>
      <c r="F28" s="384">
        <f t="shared" si="3"/>
        <v>1277.0899999999999</v>
      </c>
      <c r="G28" s="384">
        <f t="shared" si="3"/>
        <v>16962.419999999998</v>
      </c>
      <c r="H28" s="384">
        <f t="shared" si="3"/>
        <v>3377.2400000000002</v>
      </c>
      <c r="I28" s="384">
        <f t="shared" si="3"/>
        <v>710.5</v>
      </c>
      <c r="J28" s="384">
        <v>474.9</v>
      </c>
      <c r="K28" s="384">
        <f t="shared" si="3"/>
        <v>3.4180000000000001</v>
      </c>
      <c r="L28" s="384">
        <f t="shared" si="3"/>
        <v>1.0540999999999998</v>
      </c>
      <c r="M28" s="384">
        <v>-17</v>
      </c>
      <c r="N28" s="362"/>
      <c r="P28" s="238"/>
    </row>
    <row r="29" spans="1:16" s="213" customFormat="1" ht="16" customHeight="1">
      <c r="A29" s="360" t="s">
        <v>428</v>
      </c>
      <c r="B29" s="384">
        <f>MEDIAN(B12:B21)</f>
        <v>59.701096397911783</v>
      </c>
      <c r="C29" s="384">
        <f t="shared" ref="C29:L29" si="4">MEDIAN(C12:C21)</f>
        <v>111.1</v>
      </c>
      <c r="D29" s="384">
        <f t="shared" si="4"/>
        <v>6128.65</v>
      </c>
      <c r="E29" s="384">
        <f t="shared" si="4"/>
        <v>4493.5</v>
      </c>
      <c r="F29" s="384">
        <f t="shared" si="4"/>
        <v>748.5</v>
      </c>
      <c r="G29" s="384">
        <f t="shared" si="4"/>
        <v>9393.15</v>
      </c>
      <c r="H29" s="384">
        <f t="shared" si="4"/>
        <v>3552.5</v>
      </c>
      <c r="I29" s="384">
        <f t="shared" si="4"/>
        <v>727.9</v>
      </c>
      <c r="J29" s="385">
        <v>508</v>
      </c>
      <c r="K29" s="384">
        <f t="shared" si="4"/>
        <v>4.05</v>
      </c>
      <c r="L29" s="384">
        <f t="shared" si="4"/>
        <v>0.41984999999999995</v>
      </c>
      <c r="M29" s="384">
        <v>-12.81</v>
      </c>
      <c r="N29" s="362"/>
      <c r="P29" s="238"/>
    </row>
    <row r="30" spans="1:16" ht="16" customHeight="1">
      <c r="P30" s="238"/>
    </row>
    <row r="31" spans="1:16" ht="16" customHeight="1">
      <c r="A31" s="672" t="s">
        <v>473</v>
      </c>
      <c r="B31" s="672"/>
      <c r="C31" s="672"/>
      <c r="D31" s="672"/>
      <c r="E31" s="672"/>
      <c r="F31" s="672"/>
      <c r="G31" s="672"/>
      <c r="H31" s="366"/>
      <c r="I31" s="366"/>
      <c r="J31" s="366"/>
      <c r="K31" s="366"/>
      <c r="L31" s="366"/>
      <c r="M31" s="366"/>
      <c r="N31" s="366"/>
    </row>
    <row r="32" spans="1:16" ht="16" customHeight="1">
      <c r="A32" s="369" t="s">
        <v>480</v>
      </c>
      <c r="B32" s="370" t="s">
        <v>474</v>
      </c>
      <c r="C32" s="370" t="s">
        <v>475</v>
      </c>
      <c r="D32" s="370" t="s">
        <v>476</v>
      </c>
      <c r="E32" s="370" t="s">
        <v>477</v>
      </c>
      <c r="F32" s="371" t="s">
        <v>478</v>
      </c>
      <c r="G32" s="370" t="s">
        <v>479</v>
      </c>
    </row>
    <row r="33" spans="1:7" ht="16" customHeight="1">
      <c r="A33" s="360" t="s">
        <v>465</v>
      </c>
      <c r="B33" s="372">
        <f>B12/K12</f>
        <v>27.70600252942894</v>
      </c>
      <c r="C33" s="372">
        <f>G12/H12</f>
        <v>11.351391862955033</v>
      </c>
      <c r="D33" s="372">
        <f>G12/J12</f>
        <v>18.932500000000001</v>
      </c>
      <c r="E33" s="372">
        <f>G12/I12</f>
        <v>18.657633084029918</v>
      </c>
      <c r="F33" s="372">
        <f>B12/(H12/C12)</f>
        <v>9.1474304068522496</v>
      </c>
      <c r="G33" s="369">
        <v>26.1</v>
      </c>
    </row>
    <row r="34" spans="1:7" ht="16" customHeight="1">
      <c r="A34" s="360" t="s">
        <v>463</v>
      </c>
      <c r="B34" s="372">
        <f t="shared" ref="B34:B44" si="5">B13/K13</f>
        <v>21.694465156166384</v>
      </c>
      <c r="C34" s="372">
        <f t="shared" ref="C34:C44" si="6">G13/H13</f>
        <v>3.8064506267196574</v>
      </c>
      <c r="D34" s="372">
        <f t="shared" ref="D34:D44" si="7">G13/J13</f>
        <v>29.858273381294964</v>
      </c>
      <c r="E34" s="372">
        <f t="shared" ref="E34:E44" si="8">G13/I13</f>
        <v>14.769750889679715</v>
      </c>
      <c r="F34" s="372">
        <f t="shared" ref="F34:F44" si="9">B13/(H13/C13)</f>
        <v>2.9620605319474165</v>
      </c>
      <c r="G34" s="369">
        <v>20</v>
      </c>
    </row>
    <row r="35" spans="1:7" ht="16" customHeight="1">
      <c r="A35" s="360" t="s">
        <v>461</v>
      </c>
      <c r="B35" s="372">
        <f t="shared" si="5"/>
        <v>12.928063720488169</v>
      </c>
      <c r="C35" s="372">
        <f t="shared" si="6"/>
        <v>2.2205483323911817</v>
      </c>
      <c r="D35" s="372">
        <f t="shared" si="7"/>
        <v>10.602294197031039</v>
      </c>
      <c r="E35" s="372">
        <f t="shared" si="8"/>
        <v>8.2351153039832283</v>
      </c>
      <c r="F35" s="372">
        <f t="shared" si="9"/>
        <v>1.2533352176370833</v>
      </c>
      <c r="G35" s="369">
        <v>13.1</v>
      </c>
    </row>
    <row r="36" spans="1:7" ht="17">
      <c r="A36" s="360" t="s">
        <v>459</v>
      </c>
      <c r="B36" s="372">
        <f t="shared" si="5"/>
        <v>8.5007020855393396</v>
      </c>
      <c r="C36" s="372">
        <f t="shared" si="6"/>
        <v>2.3020185029436497</v>
      </c>
      <c r="D36" s="372">
        <f t="shared" si="7"/>
        <v>11.866040462427744</v>
      </c>
      <c r="E36" s="372">
        <f t="shared" si="8"/>
        <v>10.28984962406015</v>
      </c>
      <c r="F36" s="372">
        <f t="shared" si="9"/>
        <v>0.82823100644799563</v>
      </c>
      <c r="G36" s="369">
        <v>1.9</v>
      </c>
    </row>
    <row r="37" spans="1:7" ht="17">
      <c r="A37" s="360" t="s">
        <v>457</v>
      </c>
      <c r="B37" s="372">
        <f t="shared" si="5"/>
        <v>-2.2624611036006201</v>
      </c>
      <c r="C37" s="372">
        <f t="shared" si="6"/>
        <v>3.8430364589784882</v>
      </c>
      <c r="D37" s="372">
        <f t="shared" si="7"/>
        <v>-11.993363829650153</v>
      </c>
      <c r="E37" s="372">
        <f t="shared" si="8"/>
        <v>-25.084085702735482</v>
      </c>
      <c r="F37" s="372">
        <f t="shared" si="9"/>
        <v>1.0648457822370865</v>
      </c>
      <c r="G37" s="369">
        <v>-40</v>
      </c>
    </row>
    <row r="38" spans="1:7" ht="17">
      <c r="A38" s="360" t="s">
        <v>455</v>
      </c>
      <c r="B38" s="372">
        <f t="shared" si="5"/>
        <v>20.030264363303235</v>
      </c>
      <c r="C38" s="372">
        <f t="shared" si="6"/>
        <v>11.209318734793188</v>
      </c>
      <c r="D38" s="372">
        <f t="shared" si="7"/>
        <v>-484.95052631578949</v>
      </c>
      <c r="E38" s="372">
        <f t="shared" si="8"/>
        <v>182.09604743083005</v>
      </c>
      <c r="F38" s="372">
        <f t="shared" si="9"/>
        <v>8.9372992700729945</v>
      </c>
      <c r="G38" s="369">
        <v>-832.5</v>
      </c>
    </row>
    <row r="39" spans="1:7" ht="17">
      <c r="A39" s="360" t="s">
        <v>453</v>
      </c>
      <c r="B39" s="372">
        <f t="shared" si="5"/>
        <v>18.618944210970334</v>
      </c>
      <c r="C39" s="372">
        <f t="shared" si="6"/>
        <v>5.0895213638633283</v>
      </c>
      <c r="D39" s="372">
        <f t="shared" si="7"/>
        <v>14.241516966067865</v>
      </c>
      <c r="E39" s="372">
        <f t="shared" si="8"/>
        <v>13.254690692922164</v>
      </c>
      <c r="F39" s="372">
        <f t="shared" si="9"/>
        <v>4.2505884870532844</v>
      </c>
      <c r="G39" s="369">
        <v>21.2</v>
      </c>
    </row>
    <row r="40" spans="1:7" ht="17">
      <c r="A40" s="360" t="s">
        <v>451</v>
      </c>
      <c r="B40" s="372">
        <f t="shared" si="5"/>
        <v>13.911216364931057</v>
      </c>
      <c r="C40" s="372">
        <f t="shared" si="6"/>
        <v>2.9019458802067497</v>
      </c>
      <c r="D40" s="372">
        <f t="shared" si="7"/>
        <v>11.975533249686324</v>
      </c>
      <c r="E40" s="372">
        <f t="shared" si="8"/>
        <v>10.273950484391818</v>
      </c>
      <c r="F40" s="372">
        <f t="shared" si="9"/>
        <v>1.5681058072362419</v>
      </c>
      <c r="G40" s="369">
        <v>12.7</v>
      </c>
    </row>
    <row r="41" spans="1:7" ht="17">
      <c r="A41" s="360" t="s">
        <v>449</v>
      </c>
      <c r="B41" s="372">
        <f t="shared" si="5"/>
        <v>16.731887863303104</v>
      </c>
      <c r="C41" s="372">
        <f t="shared" si="6"/>
        <v>1.9824956560911255</v>
      </c>
      <c r="D41" s="372">
        <f t="shared" si="7"/>
        <v>18.734644232718423</v>
      </c>
      <c r="E41" s="372">
        <f t="shared" si="8"/>
        <v>14.049559136515658</v>
      </c>
      <c r="F41" s="372">
        <f t="shared" si="9"/>
        <v>1.4216487547461227</v>
      </c>
      <c r="G41" s="369">
        <v>28.6</v>
      </c>
    </row>
    <row r="42" spans="1:7" ht="17">
      <c r="A42" s="360" t="s">
        <v>447</v>
      </c>
      <c r="B42" s="372">
        <f t="shared" si="5"/>
        <v>18.150014840685955</v>
      </c>
      <c r="C42" s="372">
        <f t="shared" si="6"/>
        <v>5.9751846381093054</v>
      </c>
      <c r="D42" s="372">
        <f t="shared" si="7"/>
        <v>15.709514563106795</v>
      </c>
      <c r="E42" s="372">
        <f t="shared" si="8"/>
        <v>13.461564059900166</v>
      </c>
      <c r="F42" s="372">
        <f t="shared" si="9"/>
        <v>4.6516986706056125</v>
      </c>
      <c r="G42" s="369">
        <v>16.399999999999999</v>
      </c>
    </row>
    <row r="43" spans="1:7">
      <c r="A43" s="369"/>
      <c r="B43" s="372"/>
      <c r="C43" s="372"/>
      <c r="D43" s="372"/>
      <c r="E43" s="372"/>
      <c r="F43" s="372"/>
      <c r="G43" s="369"/>
    </row>
    <row r="44" spans="1:7" ht="17">
      <c r="A44" s="430" t="s">
        <v>445</v>
      </c>
      <c r="B44" s="431">
        <f t="shared" si="5"/>
        <v>20.485996031123918</v>
      </c>
      <c r="C44" s="431">
        <f t="shared" si="6"/>
        <v>2.7786357290713908</v>
      </c>
      <c r="D44" s="431">
        <f t="shared" si="7"/>
        <v>16.411885129371623</v>
      </c>
      <c r="E44" s="431">
        <f t="shared" si="8"/>
        <v>15.558113207547169</v>
      </c>
      <c r="F44" s="431">
        <f t="shared" si="9"/>
        <v>2.2687912193712991</v>
      </c>
      <c r="G44" s="432">
        <f>G23/'FULL Proforma_Revised &amp; DCF'!F121</f>
        <v>17.584227814321785</v>
      </c>
    </row>
    <row r="45" spans="1:7">
      <c r="A45" s="369"/>
      <c r="B45" s="369"/>
      <c r="C45" s="369"/>
      <c r="D45" s="369"/>
      <c r="E45" s="369"/>
      <c r="F45" s="369"/>
      <c r="G45" s="369"/>
    </row>
    <row r="46" spans="1:7" ht="17">
      <c r="A46" s="373" t="s">
        <v>443</v>
      </c>
      <c r="B46" s="369"/>
      <c r="C46" s="369"/>
      <c r="D46" s="369"/>
      <c r="E46" s="369"/>
      <c r="F46" s="369"/>
      <c r="G46" s="369"/>
    </row>
    <row r="47" spans="1:7" ht="17">
      <c r="A47" s="373" t="s">
        <v>431</v>
      </c>
      <c r="B47" s="372">
        <f t="shared" ref="B47:G47" si="10">MAX(B33:B42)</f>
        <v>27.70600252942894</v>
      </c>
      <c r="C47" s="372">
        <f t="shared" si="10"/>
        <v>11.351391862955033</v>
      </c>
      <c r="D47" s="372">
        <f t="shared" si="10"/>
        <v>29.858273381294964</v>
      </c>
      <c r="E47" s="372">
        <f t="shared" si="10"/>
        <v>182.09604743083005</v>
      </c>
      <c r="F47" s="372">
        <f t="shared" si="10"/>
        <v>9.1474304068522496</v>
      </c>
      <c r="G47" s="372">
        <f t="shared" si="10"/>
        <v>28.6</v>
      </c>
    </row>
    <row r="48" spans="1:7" ht="18" thickBot="1">
      <c r="A48" s="373" t="s">
        <v>430</v>
      </c>
      <c r="B48" s="372">
        <f t="shared" ref="B48:G48" si="11">MIN(B33:B42)</f>
        <v>-2.2624611036006201</v>
      </c>
      <c r="C48" s="372">
        <f t="shared" si="11"/>
        <v>1.9824956560911255</v>
      </c>
      <c r="D48" s="372">
        <f t="shared" si="11"/>
        <v>-484.95052631578949</v>
      </c>
      <c r="E48" s="372">
        <f t="shared" si="11"/>
        <v>-25.084085702735482</v>
      </c>
      <c r="F48" s="372">
        <f t="shared" si="11"/>
        <v>0.82823100644799563</v>
      </c>
      <c r="G48" s="372">
        <f t="shared" si="11"/>
        <v>-832.5</v>
      </c>
    </row>
    <row r="49" spans="1:8" ht="18" thickBot="1">
      <c r="A49" s="373" t="s">
        <v>429</v>
      </c>
      <c r="B49" s="372">
        <f t="shared" ref="B49:G49" si="12">AVERAGE(B33:B42)</f>
        <v>15.600910003121589</v>
      </c>
      <c r="C49" s="372">
        <f t="shared" si="12"/>
        <v>5.0681912057051708</v>
      </c>
      <c r="D49" s="372">
        <f t="shared" si="12"/>
        <v>-36.502357309310646</v>
      </c>
      <c r="E49" s="372">
        <f t="shared" si="12"/>
        <v>26.000407500357738</v>
      </c>
      <c r="F49" s="374">
        <f t="shared" si="12"/>
        <v>3.6085243934836093</v>
      </c>
      <c r="G49" s="372">
        <f t="shared" si="12"/>
        <v>-73.249999999999986</v>
      </c>
    </row>
    <row r="50" spans="1:8" ht="18" thickBot="1">
      <c r="A50" s="373" t="s">
        <v>428</v>
      </c>
      <c r="B50" s="372">
        <f t="shared" ref="B50:G50" si="13">MEDIAN(B33:B42)</f>
        <v>17.440951351994528</v>
      </c>
      <c r="C50" s="374">
        <f t="shared" si="13"/>
        <v>3.824743542849073</v>
      </c>
      <c r="D50" s="372">
        <f t="shared" si="13"/>
        <v>13.108525107877094</v>
      </c>
      <c r="E50" s="374">
        <f t="shared" si="13"/>
        <v>13.358127376411165</v>
      </c>
      <c r="F50" s="372">
        <f t="shared" si="13"/>
        <v>2.2650831695918292</v>
      </c>
      <c r="G50" s="372">
        <f t="shared" si="13"/>
        <v>14.75</v>
      </c>
    </row>
    <row r="51" spans="1:8">
      <c r="A51" s="93" t="s">
        <v>522</v>
      </c>
      <c r="B51" s="372">
        <f t="shared" ref="B51:G51" si="14">_xlfn.QUARTILE.INC(B33:B42, 1)</f>
        <v>13.173851881598891</v>
      </c>
      <c r="C51" s="372">
        <f t="shared" si="14"/>
        <v>2.4520003472594247</v>
      </c>
      <c r="D51" s="372">
        <f t="shared" si="14"/>
        <v>10.918230763380215</v>
      </c>
      <c r="E51" s="372">
        <f t="shared" si="14"/>
        <v>10.277925269308902</v>
      </c>
      <c r="F51" s="372">
        <f t="shared" si="14"/>
        <v>1.2954136019143432</v>
      </c>
      <c r="G51" s="372">
        <f t="shared" si="14"/>
        <v>4.5999999999999996</v>
      </c>
    </row>
    <row r="52" spans="1:8">
      <c r="A52" s="93" t="s">
        <v>523</v>
      </c>
      <c r="B52" s="372">
        <f t="shared" ref="B52:G52" si="15">_xlfn.QUARTILE.INC(B33:B42, 3)</f>
        <v>19.677434325220009</v>
      </c>
      <c r="C52" s="372">
        <f t="shared" si="15"/>
        <v>5.7537688195478109</v>
      </c>
      <c r="D52" s="372">
        <f t="shared" si="15"/>
        <v>17.978361815315516</v>
      </c>
      <c r="E52" s="372">
        <f t="shared" si="15"/>
        <v>14.5897029513887</v>
      </c>
      <c r="F52" s="372">
        <f t="shared" si="15"/>
        <v>4.55142112471753</v>
      </c>
      <c r="G52" s="372">
        <f t="shared" si="15"/>
        <v>20.9</v>
      </c>
    </row>
    <row r="53" spans="1:8" hidden="1">
      <c r="A53" s="93" t="s">
        <v>524</v>
      </c>
      <c r="B53" s="372">
        <f t="shared" ref="B53:G53" si="16">B52-B51</f>
        <v>6.5035824436211183</v>
      </c>
      <c r="C53" s="372">
        <f t="shared" si="16"/>
        <v>3.3017684722883862</v>
      </c>
      <c r="D53" s="372">
        <f t="shared" si="16"/>
        <v>7.0601310519353007</v>
      </c>
      <c r="E53" s="372">
        <f t="shared" si="16"/>
        <v>4.3117776820797982</v>
      </c>
      <c r="F53" s="372">
        <f t="shared" si="16"/>
        <v>3.2560075228031868</v>
      </c>
      <c r="G53" s="372">
        <f t="shared" si="16"/>
        <v>16.299999999999997</v>
      </c>
    </row>
    <row r="54" spans="1:8">
      <c r="A54" s="93" t="s">
        <v>525</v>
      </c>
      <c r="B54" s="372">
        <f t="shared" ref="B54:G54" si="17">B51-1.5*B53</f>
        <v>3.4184782161672143</v>
      </c>
      <c r="C54" s="372">
        <f t="shared" si="17"/>
        <v>-2.5006523611731541</v>
      </c>
      <c r="D54" s="372">
        <f t="shared" si="17"/>
        <v>0.32803418547726437</v>
      </c>
      <c r="E54" s="372">
        <f t="shared" si="17"/>
        <v>3.8102587461892048</v>
      </c>
      <c r="F54" s="372">
        <f t="shared" si="17"/>
        <v>-3.5885976822904366</v>
      </c>
      <c r="G54" s="372">
        <f t="shared" si="17"/>
        <v>-19.849999999999994</v>
      </c>
    </row>
    <row r="55" spans="1:8" ht="17" thickBot="1">
      <c r="A55" s="375" t="s">
        <v>526</v>
      </c>
      <c r="B55" s="372">
        <f t="shared" ref="B55:G55" si="18">B52+1.5*B53</f>
        <v>29.432807990651686</v>
      </c>
      <c r="C55" s="372">
        <f t="shared" si="18"/>
        <v>10.706421527980389</v>
      </c>
      <c r="D55" s="372">
        <f t="shared" si="18"/>
        <v>28.568558393218467</v>
      </c>
      <c r="E55" s="372">
        <f t="shared" si="18"/>
        <v>21.057369474508398</v>
      </c>
      <c r="F55" s="372">
        <f t="shared" si="18"/>
        <v>9.4354324089223098</v>
      </c>
      <c r="G55" s="372">
        <f t="shared" si="18"/>
        <v>45.349999999999994</v>
      </c>
    </row>
    <row r="56" spans="1:8" ht="17" thickBot="1">
      <c r="A56" s="375" t="s">
        <v>527</v>
      </c>
      <c r="B56" s="374">
        <f>AVERAGEIFS(B33:B42,B33:B42,"&lt;29.433",B33:B42,"&gt;3.4184")</f>
        <v>17.585729014979613</v>
      </c>
      <c r="C56" s="372">
        <f>AVERAGEIFS(C33:C42,C33:C42,"&lt;10.7064",C33:C42,"&gt;-2.500")</f>
        <v>3.5151501824129356</v>
      </c>
      <c r="D56" s="374">
        <f>AVERAGEIFS(D33:D42,D33:D42,"&lt;28.5685",D33:D42,"&gt;0.3280")</f>
        <v>14.580291953005455</v>
      </c>
      <c r="E56" s="372">
        <f>AVERAGEIFS(E33:E42,E33:E42,"&lt;21.0574",E33:E42,"&gt;3.81025")</f>
        <v>12.874014159435353</v>
      </c>
      <c r="F56" s="372">
        <f>AVERAGEIFS(F33:F42,F33:F42,"&lt;9.4354",F33:F42,"&gt;-3.58859")</f>
        <v>3.6085243934836093</v>
      </c>
      <c r="G56" s="374">
        <f>AVERAGEIFS(G33:G42,G33:G42,"&lt;45.35",G33:G42,"&gt;-19.85")</f>
        <v>17.5</v>
      </c>
    </row>
    <row r="58" spans="1:8" ht="20">
      <c r="A58" s="733" t="s">
        <v>528</v>
      </c>
      <c r="B58" s="733"/>
      <c r="C58" s="733"/>
      <c r="D58" s="733"/>
      <c r="E58" s="733"/>
      <c r="F58" s="733"/>
      <c r="G58" s="733"/>
      <c r="H58" s="367"/>
    </row>
    <row r="59" spans="1:8">
      <c r="A59" s="375" t="s">
        <v>529</v>
      </c>
      <c r="B59" s="538">
        <v>17.585729014979613</v>
      </c>
      <c r="C59" s="538">
        <v>3.824743542849073</v>
      </c>
      <c r="D59" s="538">
        <v>14.580291953005455</v>
      </c>
      <c r="E59" s="538">
        <v>13.358127376411165</v>
      </c>
      <c r="F59" s="538">
        <v>3.6085243934836093</v>
      </c>
      <c r="G59" s="538">
        <v>17.5</v>
      </c>
    </row>
    <row r="60" spans="1:8">
      <c r="A60" s="375" t="s">
        <v>530</v>
      </c>
      <c r="B60" s="377"/>
      <c r="C60" s="378">
        <f>C59*H23</f>
        <v>79451.397615603797</v>
      </c>
      <c r="D60" s="378">
        <f>D59*J23</f>
        <v>51278.886798720188</v>
      </c>
      <c r="E60" s="378">
        <f>E59*I23</f>
        <v>49558.65256648542</v>
      </c>
      <c r="F60" s="377"/>
      <c r="G60" s="379">
        <f>G59*'FULL Proforma_Revised &amp; DCF'!F121</f>
        <v>57444.120416666665</v>
      </c>
    </row>
    <row r="61" spans="1:8">
      <c r="A61" s="375" t="s">
        <v>531</v>
      </c>
      <c r="B61" s="377"/>
      <c r="C61" s="378">
        <f>-($E$23-$F$23)</f>
        <v>-10591</v>
      </c>
      <c r="D61" s="378">
        <f>-($E$23-$F$23)</f>
        <v>-10591</v>
      </c>
      <c r="E61" s="378">
        <f>-($E$23-$F$23)</f>
        <v>-10591</v>
      </c>
      <c r="F61" s="378"/>
      <c r="G61" s="378">
        <f>-($E$23-$F$23)</f>
        <v>-10591</v>
      </c>
    </row>
    <row r="62" spans="1:8">
      <c r="A62" s="375" t="s">
        <v>532</v>
      </c>
      <c r="B62" s="377"/>
      <c r="C62" s="378">
        <f>C60+C61</f>
        <v>68860.397615603797</v>
      </c>
      <c r="D62" s="378">
        <f>D60+D61</f>
        <v>40687.886798720188</v>
      </c>
      <c r="E62" s="378">
        <f>E60+E61</f>
        <v>38967.65256648542</v>
      </c>
      <c r="F62" s="378"/>
      <c r="G62" s="378">
        <f>G60+G61</f>
        <v>46853.120416666665</v>
      </c>
    </row>
    <row r="63" spans="1:8">
      <c r="A63" s="381" t="s">
        <v>533</v>
      </c>
      <c r="B63" s="437">
        <f>B59*K23</f>
        <v>127.8272164529036</v>
      </c>
      <c r="C63" s="437">
        <f>C62/$C$23</f>
        <v>217.56839688974344</v>
      </c>
      <c r="D63" s="437">
        <f>D62/$C$23</f>
        <v>128.55572448252823</v>
      </c>
      <c r="E63" s="437">
        <f>E62/$C$23</f>
        <v>123.12054523376121</v>
      </c>
      <c r="F63" s="437">
        <f>F59*(H23/C23)</f>
        <v>236.84005442601901</v>
      </c>
      <c r="G63" s="437">
        <f>G62/C23</f>
        <v>148.035135597683</v>
      </c>
    </row>
    <row r="64" spans="1:8">
      <c r="A64" s="375" t="s">
        <v>534</v>
      </c>
      <c r="B64" s="539">
        <v>0.2</v>
      </c>
      <c r="C64" s="539">
        <v>0.15</v>
      </c>
      <c r="D64" s="539">
        <v>0.2</v>
      </c>
      <c r="E64" s="539">
        <v>0.2</v>
      </c>
      <c r="F64" s="539">
        <v>0.15</v>
      </c>
      <c r="G64" s="539">
        <v>0.1</v>
      </c>
      <c r="H64" s="436"/>
    </row>
    <row r="65" spans="1:8" ht="17" thickBot="1">
      <c r="A65" s="382" t="s">
        <v>689</v>
      </c>
      <c r="B65" s="540">
        <f>B63*B64+C63*C64+D63*D64+E63*E64+F63*F64+G63*G64</f>
        <v>158.86547849097127</v>
      </c>
      <c r="C65" s="440"/>
      <c r="D65" s="440"/>
      <c r="E65" s="440"/>
      <c r="F65" s="440"/>
      <c r="G65" s="440"/>
      <c r="H65" s="240"/>
    </row>
    <row r="66" spans="1:8" ht="17" thickTop="1">
      <c r="A66" s="369" t="s">
        <v>686</v>
      </c>
      <c r="B66" s="438">
        <v>0.3</v>
      </c>
      <c r="C66" s="438">
        <v>0.15</v>
      </c>
      <c r="D66" s="438">
        <v>0.2</v>
      </c>
      <c r="E66" s="438">
        <v>0.2</v>
      </c>
      <c r="F66" s="438">
        <v>0.05</v>
      </c>
      <c r="G66" s="438">
        <v>0.1</v>
      </c>
      <c r="H66" s="436"/>
    </row>
    <row r="67" spans="1:8" ht="17">
      <c r="A67" s="441" t="s">
        <v>682</v>
      </c>
      <c r="B67" s="442">
        <f>SUMPRODUCT(B63:G63,B66:G66)</f>
        <v>147.96419469365972</v>
      </c>
      <c r="C67" s="369"/>
      <c r="D67" s="369"/>
      <c r="E67" s="369"/>
      <c r="F67" s="369"/>
      <c r="G67" s="369"/>
    </row>
    <row r="68" spans="1:8">
      <c r="A68" s="369" t="s">
        <v>687</v>
      </c>
      <c r="B68" s="439">
        <v>0.2</v>
      </c>
      <c r="C68" s="439">
        <v>0.2</v>
      </c>
      <c r="D68" s="439">
        <v>0.15</v>
      </c>
      <c r="E68" s="439">
        <v>0.15</v>
      </c>
      <c r="F68" s="439">
        <v>0.25</v>
      </c>
      <c r="G68" s="439">
        <v>0.05</v>
      </c>
      <c r="H68" s="436"/>
    </row>
    <row r="69" spans="1:8" ht="17">
      <c r="A69" s="441" t="s">
        <v>683</v>
      </c>
      <c r="B69" s="443">
        <f>SUMPRODUCT(B63:G63,B68:G68)</f>
        <v>173.44233351236173</v>
      </c>
      <c r="C69" s="369"/>
      <c r="D69" s="369"/>
      <c r="E69" s="369"/>
      <c r="F69" s="369"/>
      <c r="G69" s="369"/>
    </row>
    <row r="83" spans="1:7" ht="17">
      <c r="A83" s="656" t="s">
        <v>96</v>
      </c>
      <c r="B83" s="656"/>
      <c r="C83" s="656"/>
      <c r="D83" s="656"/>
      <c r="E83" s="656"/>
      <c r="F83" s="656"/>
      <c r="G83" s="656"/>
    </row>
    <row r="84" spans="1:7" ht="16" customHeight="1">
      <c r="A84" s="730" t="s">
        <v>685</v>
      </c>
      <c r="B84" s="729" t="s">
        <v>684</v>
      </c>
      <c r="C84" s="729"/>
      <c r="D84" s="729"/>
      <c r="E84" s="729"/>
      <c r="F84" s="729"/>
      <c r="G84" s="729"/>
    </row>
    <row r="85" spans="1:7">
      <c r="A85" s="730"/>
      <c r="B85" s="729"/>
      <c r="C85" s="729"/>
      <c r="D85" s="729"/>
      <c r="E85" s="729"/>
      <c r="F85" s="729"/>
      <c r="G85" s="729"/>
    </row>
    <row r="86" spans="1:7">
      <c r="A86" s="730"/>
      <c r="B86" s="729"/>
      <c r="C86" s="729"/>
      <c r="D86" s="729"/>
      <c r="E86" s="729"/>
      <c r="F86" s="729"/>
      <c r="G86" s="729"/>
    </row>
    <row r="87" spans="1:7">
      <c r="A87" s="730"/>
      <c r="B87" s="729"/>
      <c r="C87" s="729"/>
      <c r="D87" s="729"/>
      <c r="E87" s="729"/>
      <c r="F87" s="729"/>
      <c r="G87" s="729"/>
    </row>
    <row r="88" spans="1:7">
      <c r="A88" s="730"/>
      <c r="B88" s="729"/>
      <c r="C88" s="729"/>
      <c r="D88" s="729"/>
      <c r="E88" s="729"/>
      <c r="F88" s="729"/>
      <c r="G88" s="729"/>
    </row>
    <row r="89" spans="1:7">
      <c r="A89" s="730"/>
      <c r="B89" s="729"/>
      <c r="C89" s="729"/>
      <c r="D89" s="729"/>
      <c r="E89" s="729"/>
      <c r="F89" s="729"/>
      <c r="G89" s="729"/>
    </row>
    <row r="90" spans="1:7">
      <c r="A90" s="730"/>
      <c r="B90" s="729"/>
      <c r="C90" s="729"/>
      <c r="D90" s="729"/>
      <c r="E90" s="729"/>
      <c r="F90" s="729"/>
      <c r="G90" s="729"/>
    </row>
    <row r="91" spans="1:7">
      <c r="A91" s="730"/>
      <c r="B91" s="729"/>
      <c r="C91" s="729"/>
      <c r="D91" s="729"/>
      <c r="E91" s="729"/>
      <c r="F91" s="729"/>
      <c r="G91" s="729"/>
    </row>
    <row r="92" spans="1:7">
      <c r="A92" s="730"/>
      <c r="B92" s="729"/>
      <c r="C92" s="729"/>
      <c r="D92" s="729"/>
      <c r="E92" s="729"/>
      <c r="F92" s="729"/>
      <c r="G92" s="729"/>
    </row>
    <row r="93" spans="1:7">
      <c r="A93" s="730"/>
      <c r="B93" s="729"/>
      <c r="C93" s="729"/>
      <c r="D93" s="729"/>
      <c r="E93" s="729"/>
      <c r="F93" s="729"/>
      <c r="G93" s="729"/>
    </row>
    <row r="94" spans="1:7">
      <c r="A94" s="730"/>
      <c r="B94" s="729"/>
      <c r="C94" s="729"/>
      <c r="D94" s="729"/>
      <c r="E94" s="729"/>
      <c r="F94" s="729"/>
      <c r="G94" s="729"/>
    </row>
    <row r="95" spans="1:7">
      <c r="A95" s="730"/>
      <c r="B95" s="729"/>
      <c r="C95" s="729"/>
      <c r="D95" s="729"/>
      <c r="E95" s="729"/>
      <c r="F95" s="729"/>
      <c r="G95" s="729"/>
    </row>
    <row r="96" spans="1:7">
      <c r="A96" s="730"/>
      <c r="B96" s="729"/>
      <c r="C96" s="729"/>
      <c r="D96" s="729"/>
      <c r="E96" s="729"/>
      <c r="F96" s="729"/>
      <c r="G96" s="729"/>
    </row>
    <row r="97" spans="1:7">
      <c r="A97" s="730"/>
      <c r="B97" s="729"/>
      <c r="C97" s="729"/>
      <c r="D97" s="729"/>
      <c r="E97" s="729"/>
      <c r="F97" s="729"/>
      <c r="G97" s="729"/>
    </row>
    <row r="98" spans="1:7">
      <c r="A98" s="730"/>
      <c r="B98" s="729"/>
      <c r="C98" s="729"/>
      <c r="D98" s="729"/>
      <c r="E98" s="729"/>
      <c r="F98" s="729"/>
      <c r="G98" s="729"/>
    </row>
    <row r="99" spans="1:7">
      <c r="A99" s="730"/>
      <c r="B99" s="729"/>
      <c r="C99" s="729"/>
      <c r="D99" s="729"/>
      <c r="E99" s="729"/>
      <c r="F99" s="729"/>
      <c r="G99" s="729"/>
    </row>
    <row r="100" spans="1:7">
      <c r="A100" s="730"/>
      <c r="B100" s="729"/>
      <c r="C100" s="729"/>
      <c r="D100" s="729"/>
      <c r="E100" s="729"/>
      <c r="F100" s="729"/>
      <c r="G100" s="729"/>
    </row>
    <row r="101" spans="1:7">
      <c r="A101" s="730"/>
      <c r="B101" s="729"/>
      <c r="C101" s="729"/>
      <c r="D101" s="729"/>
      <c r="E101" s="729"/>
      <c r="F101" s="729"/>
      <c r="G101" s="729"/>
    </row>
    <row r="102" spans="1:7">
      <c r="A102" s="730"/>
      <c r="B102" s="729"/>
      <c r="C102" s="729"/>
      <c r="D102" s="729"/>
      <c r="E102" s="729"/>
      <c r="F102" s="729"/>
      <c r="G102" s="729"/>
    </row>
    <row r="103" spans="1:7">
      <c r="A103" s="730"/>
      <c r="B103" s="729"/>
      <c r="C103" s="729"/>
      <c r="D103" s="729"/>
      <c r="E103" s="729"/>
      <c r="F103" s="729"/>
      <c r="G103" s="729"/>
    </row>
    <row r="104" spans="1:7">
      <c r="A104" s="730"/>
      <c r="B104" s="729"/>
      <c r="C104" s="729"/>
      <c r="D104" s="729"/>
      <c r="E104" s="729"/>
      <c r="F104" s="729"/>
      <c r="G104" s="729"/>
    </row>
  </sheetData>
  <mergeCells count="8">
    <mergeCell ref="A84:A104"/>
    <mergeCell ref="B84:G104"/>
    <mergeCell ref="A1:N1"/>
    <mergeCell ref="A3:N3"/>
    <mergeCell ref="A10:N10"/>
    <mergeCell ref="A31:G31"/>
    <mergeCell ref="A58:G58"/>
    <mergeCell ref="A83:G83"/>
  </mergeCells>
  <hyperlinks>
    <hyperlink ref="L5" r:id="rId1" xr:uid="{31B84206-6CE1-473E-9553-1C4F21E67E63}"/>
    <hyperlink ref="L6" r:id="rId2" xr:uid="{35BA8A8B-01CD-44F1-B607-84232FFC4CBA}"/>
    <hyperlink ref="L4" r:id="rId3" xr:uid="{AE3AAC44-AD1D-414C-BAA9-B510E6701938}"/>
  </hyperlinks>
  <pageMargins left="0.2" right="0.2" top="0.5" bottom="0.5" header="0.5" footer="0.5"/>
  <pageSetup fitToWidth="0" fitToHeight="0" orientation="landscape" r:id="rId4"/>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53E50-E293-4582-AD4E-38E40304C59F}">
  <sheetPr>
    <tabColor rgb="FFFFC000"/>
  </sheetPr>
  <dimension ref="A1:M1087"/>
  <sheetViews>
    <sheetView showGridLines="0" showRowColHeaders="0" topLeftCell="C105" workbookViewId="0">
      <selection activeCell="K117" sqref="K117:M126"/>
    </sheetView>
  </sheetViews>
  <sheetFormatPr baseColWidth="10" defaultColWidth="8.83203125" defaultRowHeight="13"/>
  <cols>
    <col min="1" max="1" width="1.83203125" style="453" customWidth="1"/>
    <col min="2" max="2" width="1.6640625" style="453" customWidth="1"/>
    <col min="3" max="3" width="10.83203125" style="453" customWidth="1"/>
    <col min="4" max="4" width="11.1640625" style="453" customWidth="1"/>
    <col min="5" max="5" width="16.5" style="453" customWidth="1"/>
    <col min="6" max="6" width="1.5" style="455" customWidth="1"/>
    <col min="7" max="7" width="4.83203125" style="453" customWidth="1"/>
    <col min="8" max="8" width="14.1640625" style="453" customWidth="1"/>
    <col min="9" max="9" width="10" style="453" customWidth="1"/>
    <col min="10" max="10" width="2.33203125" style="454" customWidth="1"/>
    <col min="11" max="11" width="72.6640625" style="453" customWidth="1"/>
    <col min="12" max="16384" width="8.83203125" style="453"/>
  </cols>
  <sheetData>
    <row r="1" spans="2:6">
      <c r="E1" s="471"/>
      <c r="F1" s="456" t="s">
        <v>1003</v>
      </c>
    </row>
    <row r="2" spans="2:6">
      <c r="F2" s="455" t="s">
        <v>1058</v>
      </c>
    </row>
    <row r="3" spans="2:6">
      <c r="F3" s="455" t="s">
        <v>1057</v>
      </c>
    </row>
    <row r="5" spans="2:6">
      <c r="B5" s="453" t="s">
        <v>1000</v>
      </c>
    </row>
    <row r="6" spans="2:6">
      <c r="C6" s="453" t="s">
        <v>999</v>
      </c>
      <c r="E6" s="467">
        <v>5000</v>
      </c>
    </row>
    <row r="7" spans="2:6">
      <c r="C7" s="453" t="s">
        <v>998</v>
      </c>
    </row>
    <row r="8" spans="2:6">
      <c r="C8" s="453" t="s">
        <v>997</v>
      </c>
    </row>
    <row r="9" spans="2:6">
      <c r="C9" s="453" t="s">
        <v>996</v>
      </c>
    </row>
    <row r="10" spans="2:6">
      <c r="C10" s="453" t="s">
        <v>995</v>
      </c>
      <c r="E10" s="470">
        <v>0.95</v>
      </c>
    </row>
    <row r="12" spans="2:6">
      <c r="B12" s="453" t="s">
        <v>994</v>
      </c>
    </row>
    <row r="13" spans="2:6">
      <c r="C13" s="453" t="s">
        <v>993</v>
      </c>
      <c r="E13" s="463">
        <v>832.23984050000001</v>
      </c>
    </row>
    <row r="14" spans="2:6">
      <c r="C14" s="453" t="s">
        <v>992</v>
      </c>
      <c r="E14" s="467">
        <v>6.0078834930517848</v>
      </c>
    </row>
    <row r="15" spans="2:6">
      <c r="C15" s="453" t="s">
        <v>991</v>
      </c>
      <c r="E15" s="467">
        <v>474.62279595109095</v>
      </c>
    </row>
    <row r="17" spans="1:10">
      <c r="B17" s="453" t="s">
        <v>990</v>
      </c>
    </row>
    <row r="18" spans="1:10">
      <c r="C18" s="453" t="s">
        <v>787</v>
      </c>
      <c r="E18" s="453">
        <v>79</v>
      </c>
    </row>
    <row r="19" spans="1:10">
      <c r="C19" s="453" t="s">
        <v>989</v>
      </c>
      <c r="E19" s="453">
        <v>0</v>
      </c>
    </row>
    <row r="20" spans="1:10">
      <c r="C20" s="453" t="s">
        <v>988</v>
      </c>
      <c r="E20" s="453">
        <v>0</v>
      </c>
    </row>
    <row r="21" spans="1:10">
      <c r="C21" s="453" t="s">
        <v>987</v>
      </c>
      <c r="E21" s="453">
        <v>0</v>
      </c>
    </row>
    <row r="22" spans="1:10">
      <c r="C22" s="453" t="s">
        <v>986</v>
      </c>
      <c r="E22" s="453">
        <v>3</v>
      </c>
    </row>
    <row r="24" spans="1:10">
      <c r="F24" s="456" t="s">
        <v>986</v>
      </c>
    </row>
    <row r="27" spans="1:10">
      <c r="A27" s="460" t="s">
        <v>952</v>
      </c>
    </row>
    <row r="29" spans="1:10">
      <c r="A29" s="460" t="s">
        <v>985</v>
      </c>
      <c r="B29" s="460"/>
      <c r="C29" s="460"/>
      <c r="D29" s="460"/>
      <c r="E29" s="460"/>
      <c r="F29" s="456"/>
      <c r="G29" s="460"/>
      <c r="H29" s="460"/>
      <c r="I29" s="460"/>
      <c r="J29" s="459" t="s">
        <v>978</v>
      </c>
    </row>
    <row r="31" spans="1:10">
      <c r="B31" s="453" t="s">
        <v>976</v>
      </c>
    </row>
    <row r="32" spans="1:10">
      <c r="C32" s="453" t="s">
        <v>1056</v>
      </c>
    </row>
    <row r="33" spans="3:3">
      <c r="C33" s="453" t="s">
        <v>983</v>
      </c>
    </row>
    <row r="34" spans="3:3">
      <c r="C34" s="453" t="s">
        <v>1055</v>
      </c>
    </row>
    <row r="35" spans="3:3">
      <c r="C35" s="453" t="s">
        <v>981</v>
      </c>
    </row>
    <row r="36" spans="3:3">
      <c r="C36" s="453" t="s">
        <v>1054</v>
      </c>
    </row>
    <row r="56" spans="2:5">
      <c r="B56" s="453" t="s">
        <v>968</v>
      </c>
      <c r="E56" s="457" t="s">
        <v>770</v>
      </c>
    </row>
    <row r="57" spans="2:5">
      <c r="C57" s="453" t="s">
        <v>772</v>
      </c>
      <c r="E57" s="467">
        <v>5000</v>
      </c>
    </row>
    <row r="58" spans="2:5">
      <c r="C58" s="453" t="s">
        <v>773</v>
      </c>
      <c r="E58" s="468">
        <v>172.14019781188591</v>
      </c>
    </row>
    <row r="59" spans="2:5">
      <c r="C59" s="453" t="s">
        <v>429</v>
      </c>
      <c r="E59" s="468">
        <v>215.00479718035822</v>
      </c>
    </row>
    <row r="60" spans="2:5">
      <c r="C60" s="453" t="s">
        <v>428</v>
      </c>
      <c r="E60" s="468">
        <v>211.57465002159961</v>
      </c>
    </row>
    <row r="61" spans="2:5">
      <c r="C61" s="453" t="s">
        <v>774</v>
      </c>
      <c r="E61" s="469" t="s">
        <v>967</v>
      </c>
    </row>
    <row r="62" spans="2:5">
      <c r="C62" s="453" t="s">
        <v>776</v>
      </c>
      <c r="E62" s="468">
        <v>123.04448028920643</v>
      </c>
    </row>
    <row r="63" spans="2:5">
      <c r="C63" s="453" t="s">
        <v>777</v>
      </c>
      <c r="E63" s="468">
        <v>15139.944129640911</v>
      </c>
    </row>
    <row r="64" spans="2:5">
      <c r="C64" s="453" t="s">
        <v>778</v>
      </c>
      <c r="E64" s="464">
        <v>0.33245760300954497</v>
      </c>
    </row>
    <row r="65" spans="1:10">
      <c r="C65" s="453" t="s">
        <v>779</v>
      </c>
      <c r="E65" s="465">
        <v>3.6917181998212083</v>
      </c>
    </row>
    <row r="66" spans="1:10">
      <c r="C66" s="453" t="s">
        <v>780</v>
      </c>
      <c r="E66" s="464">
        <v>0.57228713918410734</v>
      </c>
    </row>
    <row r="67" spans="1:10">
      <c r="C67" s="453" t="s">
        <v>781</v>
      </c>
      <c r="E67" s="468">
        <v>-212.35013137877311</v>
      </c>
    </row>
    <row r="68" spans="1:10">
      <c r="C68" s="453" t="s">
        <v>782</v>
      </c>
      <c r="E68" s="468">
        <v>802.43157040595827</v>
      </c>
    </row>
    <row r="69" spans="1:10">
      <c r="C69" s="453" t="s">
        <v>966</v>
      </c>
      <c r="E69" s="468">
        <v>1014.7817017847314</v>
      </c>
    </row>
    <row r="70" spans="1:10">
      <c r="C70" s="453" t="s">
        <v>783</v>
      </c>
      <c r="E70" s="468">
        <v>1.7401117280014471</v>
      </c>
    </row>
    <row r="72" spans="1:10">
      <c r="A72" s="460" t="s">
        <v>979</v>
      </c>
      <c r="B72" s="460"/>
      <c r="C72" s="460"/>
      <c r="D72" s="460"/>
      <c r="E72" s="460"/>
      <c r="F72" s="456"/>
      <c r="G72" s="460"/>
      <c r="H72" s="460"/>
      <c r="I72" s="460"/>
      <c r="J72" s="459" t="s">
        <v>978</v>
      </c>
    </row>
    <row r="74" spans="1:10">
      <c r="B74" s="453" t="s">
        <v>965</v>
      </c>
      <c r="E74" s="457" t="s">
        <v>770</v>
      </c>
    </row>
    <row r="75" spans="1:10">
      <c r="C75" s="453" t="s">
        <v>964</v>
      </c>
      <c r="E75" s="468">
        <v>-212.35013137877311</v>
      </c>
    </row>
    <row r="76" spans="1:10">
      <c r="C76" s="453" t="s">
        <v>963</v>
      </c>
      <c r="E76" s="468">
        <v>62.002049044587586</v>
      </c>
    </row>
    <row r="77" spans="1:10">
      <c r="C77" s="453" t="s">
        <v>962</v>
      </c>
      <c r="E77" s="468">
        <v>114.56530844131406</v>
      </c>
    </row>
    <row r="78" spans="1:10">
      <c r="C78" s="453" t="s">
        <v>961</v>
      </c>
      <c r="E78" s="468">
        <v>151.9071728636298</v>
      </c>
    </row>
    <row r="79" spans="1:10">
      <c r="C79" s="453" t="s">
        <v>960</v>
      </c>
      <c r="E79" s="468">
        <v>183.50973330477632</v>
      </c>
    </row>
    <row r="80" spans="1:10">
      <c r="C80" s="453" t="s">
        <v>959</v>
      </c>
      <c r="E80" s="468">
        <v>211.51673372151396</v>
      </c>
    </row>
    <row r="81" spans="1:10">
      <c r="C81" s="453" t="s">
        <v>958</v>
      </c>
      <c r="E81" s="468">
        <v>238.80986006324926</v>
      </c>
    </row>
    <row r="82" spans="1:10">
      <c r="C82" s="453" t="s">
        <v>957</v>
      </c>
      <c r="E82" s="468">
        <v>271.16998476437578</v>
      </c>
    </row>
    <row r="83" spans="1:10">
      <c r="C83" s="453" t="s">
        <v>956</v>
      </c>
      <c r="E83" s="468">
        <v>310.60083870694586</v>
      </c>
    </row>
    <row r="84" spans="1:10">
      <c r="C84" s="453" t="s">
        <v>955</v>
      </c>
      <c r="E84" s="468">
        <v>369.31277498146233</v>
      </c>
    </row>
    <row r="85" spans="1:10">
      <c r="C85" s="453" t="s">
        <v>954</v>
      </c>
      <c r="E85" s="468">
        <v>802.43157040595827</v>
      </c>
    </row>
    <row r="87" spans="1:10">
      <c r="A87" s="460" t="s">
        <v>1044</v>
      </c>
    </row>
    <row r="89" spans="1:10">
      <c r="A89" s="460" t="s">
        <v>1053</v>
      </c>
      <c r="B89" s="460"/>
      <c r="C89" s="460"/>
      <c r="D89" s="460"/>
      <c r="E89" s="460"/>
      <c r="F89" s="456"/>
      <c r="G89" s="460"/>
      <c r="H89" s="460"/>
      <c r="I89" s="460"/>
      <c r="J89" s="459" t="s">
        <v>1048</v>
      </c>
    </row>
    <row r="91" spans="1:10">
      <c r="B91" s="453" t="s">
        <v>976</v>
      </c>
    </row>
    <row r="92" spans="1:10">
      <c r="C92" s="453" t="s">
        <v>1052</v>
      </c>
    </row>
    <row r="93" spans="1:10">
      <c r="C93" s="453" t="s">
        <v>1051</v>
      </c>
    </row>
    <row r="94" spans="1:10">
      <c r="C94" s="453" t="s">
        <v>1050</v>
      </c>
    </row>
    <row r="113" spans="2:13">
      <c r="B113" s="453" t="s">
        <v>968</v>
      </c>
      <c r="E113" s="457" t="s">
        <v>770</v>
      </c>
    </row>
    <row r="114" spans="2:13">
      <c r="C114" s="453" t="s">
        <v>772</v>
      </c>
      <c r="E114" s="467">
        <v>5000</v>
      </c>
    </row>
    <row r="115" spans="2:13">
      <c r="C115" s="453" t="s">
        <v>773</v>
      </c>
      <c r="E115" s="463">
        <v>158.86547849097127</v>
      </c>
    </row>
    <row r="116" spans="2:13" ht="16">
      <c r="C116" s="453" t="s">
        <v>429</v>
      </c>
      <c r="E116" s="463">
        <v>166.11894501760096</v>
      </c>
      <c r="K116" t="s">
        <v>1059</v>
      </c>
      <c r="L116"/>
      <c r="M116"/>
    </row>
    <row r="117" spans="2:13" ht="16">
      <c r="C117" s="453" t="s">
        <v>428</v>
      </c>
      <c r="E117" s="463">
        <v>164.64312755385981</v>
      </c>
      <c r="K117" t="s">
        <v>787</v>
      </c>
      <c r="L117" t="s">
        <v>788</v>
      </c>
      <c r="M117" t="s">
        <v>789</v>
      </c>
    </row>
    <row r="118" spans="2:13" ht="16">
      <c r="C118" s="453" t="s">
        <v>774</v>
      </c>
      <c r="E118" s="466" t="s">
        <v>967</v>
      </c>
      <c r="K118" t="s">
        <v>478</v>
      </c>
      <c r="L118">
        <v>0.50680314043918995</v>
      </c>
      <c r="M118">
        <v>0.70270408874816404</v>
      </c>
    </row>
    <row r="119" spans="2:13" ht="16">
      <c r="C119" s="453" t="s">
        <v>776</v>
      </c>
      <c r="E119" s="463">
        <v>52.967095368050998</v>
      </c>
      <c r="K119" t="s">
        <v>1060</v>
      </c>
      <c r="L119">
        <v>0.23126761177560601</v>
      </c>
      <c r="M119">
        <v>0.47469017143560699</v>
      </c>
    </row>
    <row r="120" spans="2:13" ht="16">
      <c r="C120" s="453" t="s">
        <v>777</v>
      </c>
      <c r="E120" s="463">
        <v>2805.5131917282092</v>
      </c>
      <c r="K120" t="s">
        <v>476</v>
      </c>
      <c r="L120">
        <v>0.121470681708087</v>
      </c>
      <c r="M120">
        <v>0.344023861472954</v>
      </c>
    </row>
    <row r="121" spans="2:13" ht="16">
      <c r="C121" s="453" t="s">
        <v>778</v>
      </c>
      <c r="E121" s="464">
        <v>5.2463090344399006E-2</v>
      </c>
      <c r="K121" t="s">
        <v>474</v>
      </c>
      <c r="L121">
        <v>6.0165399196290201E-2</v>
      </c>
      <c r="M121">
        <v>0.24211752910870099</v>
      </c>
    </row>
    <row r="122" spans="2:13" ht="16">
      <c r="C122" s="453" t="s">
        <v>779</v>
      </c>
      <c r="E122" s="465">
        <v>2.6127884454574204</v>
      </c>
      <c r="K122" t="s">
        <v>477</v>
      </c>
      <c r="L122">
        <v>4.1182103982495701E-2</v>
      </c>
      <c r="M122">
        <v>0.200312060012482</v>
      </c>
    </row>
    <row r="123" spans="2:13" ht="16">
      <c r="C123" s="453" t="s">
        <v>780</v>
      </c>
      <c r="E123" s="464">
        <v>0.31885041987498131</v>
      </c>
      <c r="K123" t="s">
        <v>479</v>
      </c>
      <c r="L123">
        <v>1.05896224527652E-2</v>
      </c>
      <c r="M123">
        <v>0.101576459263058</v>
      </c>
    </row>
    <row r="124" spans="2:13" ht="16">
      <c r="C124" s="453" t="s">
        <v>781</v>
      </c>
      <c r="E124" s="463">
        <v>14.56842550192987</v>
      </c>
      <c r="K124" t="s">
        <v>1061</v>
      </c>
      <c r="L124">
        <v>1.0564171321027299E-2</v>
      </c>
      <c r="M124">
        <v>0.101454321242173</v>
      </c>
    </row>
    <row r="125" spans="2:13" ht="16">
      <c r="C125" s="453" t="s">
        <v>782</v>
      </c>
      <c r="E125" s="463">
        <v>345.81664933334309</v>
      </c>
      <c r="K125" t="s">
        <v>1062</v>
      </c>
      <c r="L125">
        <v>1.5896561366097999E-3</v>
      </c>
      <c r="M125">
        <v>3.9355408742216401E-2</v>
      </c>
    </row>
    <row r="126" spans="2:13" ht="16">
      <c r="C126" s="453" t="s">
        <v>966</v>
      </c>
      <c r="E126" s="463">
        <v>331.24822383141321</v>
      </c>
      <c r="K126" t="s">
        <v>1063</v>
      </c>
      <c r="L126">
        <v>1.0314830615218199E-3</v>
      </c>
      <c r="M126">
        <v>3.1701797108071902E-2</v>
      </c>
    </row>
    <row r="127" spans="2:13" ht="16">
      <c r="C127" s="453" t="s">
        <v>783</v>
      </c>
      <c r="E127" s="463">
        <v>0.74906784629006862</v>
      </c>
      <c r="K127" t="s">
        <v>725</v>
      </c>
      <c r="L127">
        <v>9.0438260270826298E-4</v>
      </c>
      <c r="M127">
        <v>2.9684444867377799E-2</v>
      </c>
    </row>
    <row r="128" spans="2:13" ht="16">
      <c r="K128" t="s">
        <v>743</v>
      </c>
      <c r="L128">
        <v>9.0321518170013895E-4</v>
      </c>
      <c r="M128">
        <v>2.96652796186112E-2</v>
      </c>
    </row>
    <row r="129" spans="1:13" ht="16">
      <c r="A129" s="460" t="s">
        <v>1049</v>
      </c>
      <c r="B129" s="460"/>
      <c r="C129" s="460"/>
      <c r="D129" s="460"/>
      <c r="E129" s="460"/>
      <c r="F129" s="456"/>
      <c r="G129" s="460"/>
      <c r="H129" s="460"/>
      <c r="I129" s="460"/>
      <c r="J129" s="459" t="s">
        <v>1048</v>
      </c>
      <c r="K129" t="s">
        <v>736</v>
      </c>
      <c r="L129">
        <v>8.5316779103895195E-4</v>
      </c>
      <c r="M129">
        <v>-2.8831687201267501E-2</v>
      </c>
    </row>
    <row r="130" spans="1:13" ht="16">
      <c r="K130" t="s">
        <v>1064</v>
      </c>
      <c r="L130">
        <v>8.3363538696047104E-4</v>
      </c>
      <c r="M130">
        <v>2.8499740307989602E-2</v>
      </c>
    </row>
    <row r="131" spans="1:13" ht="16">
      <c r="B131" s="453" t="s">
        <v>965</v>
      </c>
      <c r="E131" s="457" t="s">
        <v>770</v>
      </c>
      <c r="K131" t="s">
        <v>795</v>
      </c>
      <c r="L131">
        <v>7.1009981393829302E-4</v>
      </c>
      <c r="M131">
        <v>-2.6303438876137598E-2</v>
      </c>
    </row>
    <row r="132" spans="1:13" ht="16">
      <c r="C132" s="453" t="s">
        <v>964</v>
      </c>
      <c r="E132" s="463">
        <v>14.56842550192987</v>
      </c>
      <c r="K132" t="s">
        <v>741</v>
      </c>
      <c r="L132">
        <v>7.06834269702391E-4</v>
      </c>
      <c r="M132">
        <v>2.6242888217715501E-2</v>
      </c>
    </row>
    <row r="133" spans="1:13" ht="16">
      <c r="C133" s="453" t="s">
        <v>963</v>
      </c>
      <c r="E133" s="463">
        <v>97.052704658625572</v>
      </c>
      <c r="K133" t="s">
        <v>730</v>
      </c>
      <c r="L133">
        <v>7.00170894096922E-4</v>
      </c>
      <c r="M133">
        <v>-2.61188985487559E-2</v>
      </c>
    </row>
    <row r="134" spans="1:13" ht="16">
      <c r="C134" s="453" t="s">
        <v>962</v>
      </c>
      <c r="E134" s="463">
        <v>119.67595106559853</v>
      </c>
      <c r="K134" t="s">
        <v>809</v>
      </c>
      <c r="L134">
        <v>6.87750439808041E-4</v>
      </c>
      <c r="M134">
        <v>-2.58861980914479E-2</v>
      </c>
    </row>
    <row r="135" spans="1:13" ht="16">
      <c r="C135" s="453" t="s">
        <v>961</v>
      </c>
      <c r="E135" s="463">
        <v>135.90816190937571</v>
      </c>
      <c r="K135" t="s">
        <v>808</v>
      </c>
      <c r="L135">
        <v>6.0756451939635698E-4</v>
      </c>
      <c r="M135">
        <v>-2.43303879492155E-2</v>
      </c>
    </row>
    <row r="136" spans="1:13" ht="16">
      <c r="C136" s="453" t="s">
        <v>960</v>
      </c>
      <c r="E136" s="463">
        <v>150.92026081658412</v>
      </c>
      <c r="K136" t="s">
        <v>732</v>
      </c>
      <c r="L136">
        <v>5.2250497117910103E-4</v>
      </c>
      <c r="M136">
        <v>2.2563062438522501E-2</v>
      </c>
    </row>
    <row r="137" spans="1:13" ht="16">
      <c r="C137" s="453" t="s">
        <v>959</v>
      </c>
      <c r="E137" s="463">
        <v>164.62931761395245</v>
      </c>
      <c r="K137" t="s">
        <v>1065</v>
      </c>
      <c r="L137">
        <v>4.9789553937910902E-4</v>
      </c>
      <c r="M137">
        <v>2.2025305937012199E-2</v>
      </c>
    </row>
    <row r="138" spans="1:13" ht="16">
      <c r="C138" s="453" t="s">
        <v>958</v>
      </c>
      <c r="E138" s="463">
        <v>180.53114174052527</v>
      </c>
      <c r="K138" t="s">
        <v>807</v>
      </c>
      <c r="L138">
        <v>4.70092393512167E-4</v>
      </c>
      <c r="M138">
        <v>-2.14015113520605E-2</v>
      </c>
    </row>
    <row r="139" spans="1:13" ht="16">
      <c r="C139" s="453" t="s">
        <v>957</v>
      </c>
      <c r="E139" s="463">
        <v>195.67178908071779</v>
      </c>
      <c r="K139" t="s">
        <v>752</v>
      </c>
      <c r="L139">
        <v>4.3500388374604699E-4</v>
      </c>
      <c r="M139">
        <v>-2.0587300279491998E-2</v>
      </c>
    </row>
    <row r="140" spans="1:13" ht="16">
      <c r="C140" s="453" t="s">
        <v>956</v>
      </c>
      <c r="E140" s="463">
        <v>213.0574922304888</v>
      </c>
      <c r="K140" t="s">
        <v>728</v>
      </c>
      <c r="L140">
        <v>4.26163636489185E-4</v>
      </c>
      <c r="M140">
        <v>-2.0377036655081501E-2</v>
      </c>
    </row>
    <row r="141" spans="1:13" ht="16">
      <c r="C141" s="453" t="s">
        <v>955</v>
      </c>
      <c r="E141" s="463">
        <v>235.58725358567767</v>
      </c>
      <c r="K141" t="s">
        <v>748</v>
      </c>
      <c r="L141">
        <v>4.0226370806336302E-4</v>
      </c>
      <c r="M141">
        <v>-1.97974045678962E-2</v>
      </c>
    </row>
    <row r="142" spans="1:13" ht="16">
      <c r="C142" s="453" t="s">
        <v>954</v>
      </c>
      <c r="E142" s="463">
        <v>345.81664933334309</v>
      </c>
      <c r="K142" t="s">
        <v>726</v>
      </c>
      <c r="L142">
        <v>3.5554830097733601E-4</v>
      </c>
      <c r="M142">
        <v>-1.8612389640495601E-2</v>
      </c>
    </row>
    <row r="143" spans="1:13" ht="16">
      <c r="K143" t="s">
        <v>796</v>
      </c>
      <c r="L143">
        <v>5.3198365937103002E-3</v>
      </c>
      <c r="M143"/>
    </row>
    <row r="144" spans="1:13">
      <c r="A144" s="460" t="s">
        <v>831</v>
      </c>
    </row>
    <row r="146" spans="1:10">
      <c r="A146" s="460" t="s">
        <v>977</v>
      </c>
      <c r="B146" s="460"/>
      <c r="C146" s="460"/>
      <c r="D146" s="460"/>
      <c r="E146" s="460"/>
      <c r="F146" s="456"/>
      <c r="G146" s="460"/>
      <c r="H146" s="460"/>
      <c r="I146" s="460"/>
      <c r="J146" s="459" t="s">
        <v>969</v>
      </c>
    </row>
    <row r="148" spans="1:10">
      <c r="B148" s="453" t="s">
        <v>976</v>
      </c>
    </row>
    <row r="149" spans="1:10">
      <c r="C149" s="453" t="s">
        <v>1047</v>
      </c>
    </row>
    <row r="150" spans="1:10">
      <c r="C150" s="453" t="s">
        <v>974</v>
      </c>
    </row>
    <row r="151" spans="1:10">
      <c r="C151" s="453" t="s">
        <v>1046</v>
      </c>
    </row>
    <row r="152" spans="1:10">
      <c r="C152" s="453" t="s">
        <v>972</v>
      </c>
    </row>
    <row r="153" spans="1:10">
      <c r="C153" s="453" t="s">
        <v>1045</v>
      </c>
    </row>
    <row r="177" spans="1:10">
      <c r="A177" s="460" t="s">
        <v>970</v>
      </c>
      <c r="B177" s="460"/>
      <c r="C177" s="460"/>
      <c r="D177" s="460"/>
      <c r="E177" s="460"/>
      <c r="F177" s="456"/>
      <c r="G177" s="460"/>
      <c r="H177" s="460"/>
      <c r="I177" s="460"/>
      <c r="J177" s="459" t="s">
        <v>969</v>
      </c>
    </row>
    <row r="179" spans="1:10">
      <c r="B179" s="453" t="s">
        <v>968</v>
      </c>
      <c r="E179" s="457" t="s">
        <v>770</v>
      </c>
    </row>
    <row r="180" spans="1:10">
      <c r="C180" s="453" t="s">
        <v>772</v>
      </c>
      <c r="E180" s="467">
        <v>5000</v>
      </c>
    </row>
    <row r="181" spans="1:10">
      <c r="C181" s="453" t="s">
        <v>773</v>
      </c>
      <c r="E181" s="463">
        <v>271.28781514621591</v>
      </c>
    </row>
    <row r="182" spans="1:10">
      <c r="C182" s="453" t="s">
        <v>429</v>
      </c>
      <c r="E182" s="463">
        <v>285.39073950019832</v>
      </c>
    </row>
    <row r="183" spans="1:10">
      <c r="C183" s="453" t="s">
        <v>428</v>
      </c>
      <c r="E183" s="463">
        <v>271.23151745127723</v>
      </c>
    </row>
    <row r="184" spans="1:10">
      <c r="C184" s="453" t="s">
        <v>774</v>
      </c>
      <c r="E184" s="466" t="s">
        <v>967</v>
      </c>
    </row>
    <row r="185" spans="1:10">
      <c r="C185" s="453" t="s">
        <v>776</v>
      </c>
      <c r="E185" s="463">
        <v>71.159435150975668</v>
      </c>
    </row>
    <row r="186" spans="1:10">
      <c r="C186" s="453" t="s">
        <v>777</v>
      </c>
      <c r="E186" s="463">
        <v>5063.6652110059113</v>
      </c>
    </row>
    <row r="187" spans="1:10">
      <c r="C187" s="453" t="s">
        <v>778</v>
      </c>
      <c r="E187" s="465">
        <v>1.7175058464074588</v>
      </c>
    </row>
    <row r="188" spans="1:10">
      <c r="C188" s="453" t="s">
        <v>779</v>
      </c>
      <c r="E188" s="465">
        <v>8.4922520131978896</v>
      </c>
    </row>
    <row r="189" spans="1:10">
      <c r="C189" s="453" t="s">
        <v>780</v>
      </c>
      <c r="E189" s="464">
        <v>0.24934037900317441</v>
      </c>
    </row>
    <row r="190" spans="1:10">
      <c r="C190" s="453" t="s">
        <v>781</v>
      </c>
      <c r="E190" s="463">
        <v>151.43684078185944</v>
      </c>
    </row>
    <row r="191" spans="1:10">
      <c r="C191" s="453" t="s">
        <v>782</v>
      </c>
      <c r="E191" s="463">
        <v>808.32425445028582</v>
      </c>
    </row>
    <row r="192" spans="1:10">
      <c r="C192" s="453" t="s">
        <v>966</v>
      </c>
      <c r="E192" s="463">
        <v>656.88741366842635</v>
      </c>
    </row>
    <row r="193" spans="1:5">
      <c r="C193" s="453" t="s">
        <v>783</v>
      </c>
      <c r="E193" s="463">
        <v>1.0063463828131853</v>
      </c>
    </row>
    <row r="195" spans="1:5">
      <c r="B195" s="453" t="s">
        <v>965</v>
      </c>
      <c r="E195" s="457" t="s">
        <v>770</v>
      </c>
    </row>
    <row r="196" spans="1:5">
      <c r="C196" s="453" t="s">
        <v>964</v>
      </c>
      <c r="E196" s="463">
        <v>151.43684078185944</v>
      </c>
    </row>
    <row r="197" spans="1:5">
      <c r="C197" s="453" t="s">
        <v>963</v>
      </c>
      <c r="E197" s="463">
        <v>213.39910558003709</v>
      </c>
    </row>
    <row r="198" spans="1:5">
      <c r="C198" s="453" t="s">
        <v>962</v>
      </c>
      <c r="E198" s="463">
        <v>231.48291117010376</v>
      </c>
    </row>
    <row r="199" spans="1:5">
      <c r="C199" s="453" t="s">
        <v>961</v>
      </c>
      <c r="E199" s="463">
        <v>244.4850072277157</v>
      </c>
    </row>
    <row r="200" spans="1:5">
      <c r="C200" s="453" t="s">
        <v>960</v>
      </c>
      <c r="E200" s="463">
        <v>257.67624673451138</v>
      </c>
    </row>
    <row r="201" spans="1:5">
      <c r="C201" s="453" t="s">
        <v>959</v>
      </c>
      <c r="E201" s="463">
        <v>271.21238015714636</v>
      </c>
    </row>
    <row r="202" spans="1:5">
      <c r="C202" s="453" t="s">
        <v>958</v>
      </c>
      <c r="E202" s="463">
        <v>287.45183199689023</v>
      </c>
    </row>
    <row r="203" spans="1:5">
      <c r="C203" s="453" t="s">
        <v>957</v>
      </c>
      <c r="E203" s="463">
        <v>304.9803486982172</v>
      </c>
    </row>
    <row r="204" spans="1:5">
      <c r="C204" s="453" t="s">
        <v>956</v>
      </c>
      <c r="E204" s="463">
        <v>329.88177984056995</v>
      </c>
    </row>
    <row r="205" spans="1:5">
      <c r="C205" s="453" t="s">
        <v>955</v>
      </c>
      <c r="E205" s="463">
        <v>371.28469889748129</v>
      </c>
    </row>
    <row r="206" spans="1:5">
      <c r="C206" s="453" t="s">
        <v>954</v>
      </c>
      <c r="E206" s="463">
        <v>808.32425445028582</v>
      </c>
    </row>
    <row r="208" spans="1:5">
      <c r="A208" s="453" t="s">
        <v>953</v>
      </c>
    </row>
    <row r="209" spans="1:10">
      <c r="F209" s="456" t="s">
        <v>787</v>
      </c>
    </row>
    <row r="212" spans="1:10">
      <c r="A212" s="460" t="s">
        <v>952</v>
      </c>
    </row>
    <row r="214" spans="1:10">
      <c r="A214" s="460" t="s">
        <v>951</v>
      </c>
      <c r="B214" s="460"/>
      <c r="C214" s="460"/>
      <c r="D214" s="460"/>
      <c r="E214" s="460"/>
      <c r="F214" s="456"/>
      <c r="G214" s="460"/>
      <c r="H214" s="460"/>
      <c r="I214" s="460"/>
      <c r="J214" s="459" t="s">
        <v>950</v>
      </c>
    </row>
    <row r="216" spans="1:10">
      <c r="B216" s="453" t="s">
        <v>816</v>
      </c>
    </row>
    <row r="217" spans="1:10">
      <c r="C217" s="453" t="s">
        <v>429</v>
      </c>
      <c r="E217" s="462">
        <v>-0.1585730392347055</v>
      </c>
    </row>
    <row r="218" spans="1:10">
      <c r="C218" s="453" t="s">
        <v>815</v>
      </c>
      <c r="E218" s="462">
        <v>1.585730392347055E-2</v>
      </c>
    </row>
    <row r="219" spans="1:10">
      <c r="E219" s="457"/>
    </row>
    <row r="220" spans="1:10">
      <c r="E220" s="457"/>
    </row>
    <row r="224" spans="1:10">
      <c r="A224" s="460" t="s">
        <v>949</v>
      </c>
      <c r="B224" s="460"/>
      <c r="C224" s="460"/>
      <c r="D224" s="460"/>
      <c r="E224" s="460"/>
      <c r="F224" s="456"/>
      <c r="G224" s="460"/>
      <c r="H224" s="460"/>
      <c r="I224" s="460"/>
      <c r="J224" s="459" t="s">
        <v>948</v>
      </c>
    </row>
    <row r="226" spans="1:10">
      <c r="B226" s="453" t="s">
        <v>816</v>
      </c>
    </row>
    <row r="227" spans="1:10">
      <c r="C227" s="453" t="s">
        <v>429</v>
      </c>
      <c r="E227" s="462">
        <v>-0.36070986380520015</v>
      </c>
    </row>
    <row r="228" spans="1:10">
      <c r="C228" s="453" t="s">
        <v>815</v>
      </c>
      <c r="E228" s="462">
        <v>3.6070986380520018E-2</v>
      </c>
    </row>
    <row r="229" spans="1:10">
      <c r="E229" s="457"/>
    </row>
    <row r="230" spans="1:10">
      <c r="E230" s="457"/>
    </row>
    <row r="234" spans="1:10">
      <c r="A234" s="460" t="s">
        <v>947</v>
      </c>
      <c r="B234" s="460"/>
      <c r="C234" s="460"/>
      <c r="D234" s="460"/>
      <c r="E234" s="460"/>
      <c r="F234" s="456"/>
      <c r="G234" s="460"/>
      <c r="H234" s="460"/>
      <c r="I234" s="460"/>
      <c r="J234" s="459" t="s">
        <v>946</v>
      </c>
    </row>
    <row r="236" spans="1:10">
      <c r="B236" s="453" t="s">
        <v>843</v>
      </c>
    </row>
    <row r="237" spans="1:10">
      <c r="C237" s="453" t="s">
        <v>781</v>
      </c>
      <c r="E237" s="462">
        <v>5.2417649941293276E-2</v>
      </c>
    </row>
    <row r="238" spans="1:10">
      <c r="C238" s="453" t="s">
        <v>782</v>
      </c>
      <c r="E238" s="462">
        <v>0.14000000000000001</v>
      </c>
    </row>
    <row r="239" spans="1:10">
      <c r="E239" s="457"/>
    </row>
    <row r="240" spans="1:10">
      <c r="E240" s="457"/>
    </row>
    <row r="244" spans="1:10">
      <c r="A244" s="460" t="s">
        <v>945</v>
      </c>
      <c r="B244" s="460"/>
      <c r="C244" s="460"/>
      <c r="D244" s="460"/>
      <c r="E244" s="460"/>
      <c r="F244" s="456"/>
      <c r="G244" s="460"/>
      <c r="H244" s="460"/>
      <c r="I244" s="460"/>
      <c r="J244" s="459" t="s">
        <v>944</v>
      </c>
    </row>
    <row r="246" spans="1:10">
      <c r="B246" s="453" t="s">
        <v>816</v>
      </c>
    </row>
    <row r="247" spans="1:10">
      <c r="C247" s="453" t="s">
        <v>429</v>
      </c>
      <c r="E247" s="462">
        <v>0</v>
      </c>
    </row>
    <row r="248" spans="1:10">
      <c r="C248" s="453" t="s">
        <v>815</v>
      </c>
      <c r="E248" s="462">
        <v>0.01</v>
      </c>
    </row>
    <row r="249" spans="1:10">
      <c r="E249" s="457"/>
    </row>
    <row r="250" spans="1:10">
      <c r="E250" s="457"/>
    </row>
    <row r="254" spans="1:10">
      <c r="A254" s="460" t="s">
        <v>943</v>
      </c>
      <c r="B254" s="460"/>
      <c r="C254" s="460"/>
      <c r="D254" s="460"/>
      <c r="E254" s="460"/>
      <c r="F254" s="456"/>
      <c r="G254" s="460"/>
      <c r="H254" s="460"/>
      <c r="I254" s="460"/>
      <c r="J254" s="459" t="s">
        <v>942</v>
      </c>
    </row>
    <row r="256" spans="1:10">
      <c r="B256" s="453" t="s">
        <v>816</v>
      </c>
    </row>
    <row r="257" spans="1:10">
      <c r="C257" s="453" t="s">
        <v>429</v>
      </c>
      <c r="E257" s="462">
        <v>4.1887753137519371E-2</v>
      </c>
    </row>
    <row r="258" spans="1:10">
      <c r="C258" s="453" t="s">
        <v>815</v>
      </c>
      <c r="E258" s="462">
        <v>4.1887753137519372E-3</v>
      </c>
    </row>
    <row r="259" spans="1:10">
      <c r="E259" s="457"/>
    </row>
    <row r="260" spans="1:10">
      <c r="E260" s="457"/>
    </row>
    <row r="264" spans="1:10">
      <c r="A264" s="460" t="s">
        <v>941</v>
      </c>
      <c r="B264" s="460"/>
      <c r="C264" s="460"/>
      <c r="D264" s="460"/>
      <c r="E264" s="460"/>
      <c r="F264" s="456"/>
      <c r="G264" s="460"/>
      <c r="H264" s="460"/>
      <c r="I264" s="460"/>
      <c r="J264" s="459" t="s">
        <v>940</v>
      </c>
    </row>
    <row r="266" spans="1:10">
      <c r="B266" s="453" t="s">
        <v>816</v>
      </c>
    </row>
    <row r="267" spans="1:10">
      <c r="C267" s="453" t="s">
        <v>429</v>
      </c>
      <c r="E267" s="462">
        <v>6.3724808720432194E-2</v>
      </c>
    </row>
    <row r="268" spans="1:10">
      <c r="C268" s="453" t="s">
        <v>815</v>
      </c>
      <c r="E268" s="462">
        <v>6.3724808720432196E-3</v>
      </c>
    </row>
    <row r="269" spans="1:10">
      <c r="E269" s="457"/>
    </row>
    <row r="270" spans="1:10">
      <c r="E270" s="457"/>
    </row>
    <row r="274" spans="1:10">
      <c r="A274" s="460" t="s">
        <v>939</v>
      </c>
      <c r="B274" s="460"/>
      <c r="C274" s="460"/>
      <c r="D274" s="460"/>
      <c r="E274" s="460"/>
      <c r="F274" s="456"/>
      <c r="G274" s="460"/>
      <c r="H274" s="460"/>
      <c r="I274" s="460"/>
      <c r="J274" s="459" t="s">
        <v>938</v>
      </c>
    </row>
    <row r="276" spans="1:10">
      <c r="B276" s="453" t="s">
        <v>816</v>
      </c>
    </row>
    <row r="277" spans="1:10">
      <c r="C277" s="453" t="s">
        <v>429</v>
      </c>
      <c r="E277" s="462">
        <v>0.11357395908527125</v>
      </c>
    </row>
    <row r="278" spans="1:10">
      <c r="C278" s="453" t="s">
        <v>815</v>
      </c>
      <c r="E278" s="462">
        <v>1.1357395908527124E-2</v>
      </c>
    </row>
    <row r="279" spans="1:10">
      <c r="E279" s="457"/>
    </row>
    <row r="280" spans="1:10">
      <c r="E280" s="457"/>
    </row>
    <row r="284" spans="1:10">
      <c r="A284" s="460" t="s">
        <v>937</v>
      </c>
      <c r="B284" s="460"/>
      <c r="C284" s="460"/>
      <c r="D284" s="460"/>
      <c r="E284" s="460"/>
      <c r="F284" s="456"/>
      <c r="G284" s="460"/>
      <c r="H284" s="460"/>
      <c r="I284" s="460"/>
      <c r="J284" s="459" t="s">
        <v>936</v>
      </c>
    </row>
    <row r="286" spans="1:10">
      <c r="B286" s="453" t="s">
        <v>816</v>
      </c>
    </row>
    <row r="287" spans="1:10">
      <c r="C287" s="453" t="s">
        <v>429</v>
      </c>
      <c r="E287" s="462">
        <v>0</v>
      </c>
    </row>
    <row r="288" spans="1:10">
      <c r="C288" s="453" t="s">
        <v>815</v>
      </c>
      <c r="E288" s="462">
        <v>0.01</v>
      </c>
    </row>
    <row r="289" spans="1:10">
      <c r="E289" s="457"/>
    </row>
    <row r="290" spans="1:10">
      <c r="E290" s="457"/>
    </row>
    <row r="294" spans="1:10">
      <c r="A294" s="460" t="s">
        <v>935</v>
      </c>
      <c r="B294" s="460"/>
      <c r="C294" s="460"/>
      <c r="D294" s="460"/>
      <c r="E294" s="460"/>
      <c r="F294" s="456"/>
      <c r="G294" s="460"/>
      <c r="H294" s="460"/>
      <c r="I294" s="460"/>
      <c r="J294" s="459" t="s">
        <v>934</v>
      </c>
    </row>
    <row r="296" spans="1:10">
      <c r="B296" s="453" t="s">
        <v>816</v>
      </c>
    </row>
    <row r="297" spans="1:10">
      <c r="C297" s="453" t="s">
        <v>429</v>
      </c>
      <c r="E297" s="462">
        <v>1.659758263966713</v>
      </c>
    </row>
    <row r="298" spans="1:10">
      <c r="C298" s="453" t="s">
        <v>815</v>
      </c>
      <c r="E298" s="462">
        <v>0.1659758263966713</v>
      </c>
    </row>
    <row r="299" spans="1:10">
      <c r="E299" s="457"/>
    </row>
    <row r="300" spans="1:10">
      <c r="E300" s="457"/>
    </row>
    <row r="304" spans="1:10">
      <c r="A304" s="460" t="s">
        <v>933</v>
      </c>
      <c r="B304" s="460"/>
      <c r="C304" s="460"/>
      <c r="D304" s="460"/>
      <c r="E304" s="460"/>
      <c r="F304" s="456"/>
      <c r="G304" s="460"/>
      <c r="H304" s="460"/>
      <c r="I304" s="460"/>
      <c r="J304" s="459" t="s">
        <v>932</v>
      </c>
    </row>
    <row r="306" spans="1:10">
      <c r="B306" s="453" t="s">
        <v>816</v>
      </c>
    </row>
    <row r="307" spans="1:10">
      <c r="C307" s="453" t="s">
        <v>429</v>
      </c>
      <c r="E307" s="462">
        <v>9.8055503852247483E-2</v>
      </c>
    </row>
    <row r="308" spans="1:10">
      <c r="C308" s="453" t="s">
        <v>815</v>
      </c>
      <c r="E308" s="462">
        <v>9.8055503852247476E-3</v>
      </c>
    </row>
    <row r="309" spans="1:10">
      <c r="E309" s="457"/>
    </row>
    <row r="310" spans="1:10">
      <c r="E310" s="457"/>
    </row>
    <row r="314" spans="1:10">
      <c r="A314" s="460" t="s">
        <v>931</v>
      </c>
      <c r="B314" s="460"/>
      <c r="C314" s="460"/>
      <c r="D314" s="460"/>
      <c r="E314" s="460"/>
      <c r="F314" s="456"/>
      <c r="G314" s="460"/>
      <c r="H314" s="460"/>
      <c r="I314" s="460"/>
      <c r="J314" s="459" t="s">
        <v>930</v>
      </c>
    </row>
    <row r="316" spans="1:10">
      <c r="B316" s="453" t="s">
        <v>816</v>
      </c>
    </row>
    <row r="317" spans="1:10">
      <c r="C317" s="453" t="s">
        <v>429</v>
      </c>
      <c r="E317" s="462">
        <v>1.6786106262748464E-2</v>
      </c>
    </row>
    <row r="318" spans="1:10">
      <c r="C318" s="453" t="s">
        <v>815</v>
      </c>
      <c r="E318" s="462">
        <v>1.6786106262748463E-3</v>
      </c>
    </row>
    <row r="319" spans="1:10">
      <c r="E319" s="457"/>
    </row>
    <row r="320" spans="1:10">
      <c r="E320" s="457"/>
    </row>
    <row r="324" spans="1:10">
      <c r="A324" s="460" t="s">
        <v>929</v>
      </c>
      <c r="B324" s="460"/>
      <c r="C324" s="460"/>
      <c r="D324" s="460"/>
      <c r="E324" s="460"/>
      <c r="F324" s="456"/>
      <c r="G324" s="460"/>
      <c r="H324" s="460"/>
      <c r="I324" s="460"/>
      <c r="J324" s="459" t="s">
        <v>928</v>
      </c>
    </row>
    <row r="326" spans="1:10">
      <c r="B326" s="453" t="s">
        <v>816</v>
      </c>
    </row>
    <row r="327" spans="1:10">
      <c r="C327" s="453" t="s">
        <v>429</v>
      </c>
      <c r="E327" s="462">
        <v>1.733018822509989E-3</v>
      </c>
    </row>
    <row r="328" spans="1:10">
      <c r="C328" s="453" t="s">
        <v>815</v>
      </c>
      <c r="E328" s="462">
        <v>1.733018822509989E-4</v>
      </c>
    </row>
    <row r="329" spans="1:10">
      <c r="E329" s="457"/>
    </row>
    <row r="330" spans="1:10">
      <c r="E330" s="457"/>
    </row>
    <row r="334" spans="1:10">
      <c r="A334" s="460" t="s">
        <v>927</v>
      </c>
      <c r="B334" s="460"/>
      <c r="C334" s="460"/>
      <c r="D334" s="460"/>
      <c r="E334" s="460"/>
      <c r="F334" s="456"/>
      <c r="G334" s="460"/>
      <c r="H334" s="460"/>
      <c r="I334" s="460"/>
      <c r="J334" s="459" t="s">
        <v>926</v>
      </c>
    </row>
    <row r="336" spans="1:10">
      <c r="B336" s="453" t="s">
        <v>816</v>
      </c>
    </row>
    <row r="337" spans="1:10">
      <c r="C337" s="453" t="s">
        <v>429</v>
      </c>
      <c r="E337" s="462">
        <v>7.8882926204694337E-2</v>
      </c>
    </row>
    <row r="338" spans="1:10">
      <c r="C338" s="453" t="s">
        <v>815</v>
      </c>
      <c r="E338" s="462">
        <v>7.8882926204694344E-3</v>
      </c>
    </row>
    <row r="339" spans="1:10">
      <c r="E339" s="457"/>
    </row>
    <row r="340" spans="1:10">
      <c r="E340" s="457"/>
    </row>
    <row r="344" spans="1:10">
      <c r="A344" s="460" t="s">
        <v>925</v>
      </c>
      <c r="B344" s="460"/>
      <c r="C344" s="460"/>
      <c r="D344" s="460"/>
      <c r="E344" s="460"/>
      <c r="F344" s="456"/>
      <c r="G344" s="460"/>
      <c r="H344" s="460"/>
      <c r="I344" s="460"/>
      <c r="J344" s="459" t="s">
        <v>924</v>
      </c>
    </row>
    <row r="346" spans="1:10">
      <c r="B346" s="453" t="s">
        <v>816</v>
      </c>
    </row>
    <row r="347" spans="1:10">
      <c r="C347" s="453" t="s">
        <v>429</v>
      </c>
      <c r="E347" s="462">
        <v>9.6506862561638262E-2</v>
      </c>
    </row>
    <row r="348" spans="1:10">
      <c r="C348" s="453" t="s">
        <v>815</v>
      </c>
      <c r="E348" s="462">
        <v>9.6506862561638266E-3</v>
      </c>
    </row>
    <row r="349" spans="1:10">
      <c r="E349" s="457"/>
    </row>
    <row r="350" spans="1:10">
      <c r="E350" s="457"/>
    </row>
    <row r="354" spans="1:10">
      <c r="A354" s="460" t="s">
        <v>923</v>
      </c>
      <c r="B354" s="460"/>
      <c r="C354" s="460"/>
      <c r="D354" s="460"/>
      <c r="E354" s="460"/>
      <c r="F354" s="456"/>
      <c r="G354" s="460"/>
      <c r="H354" s="460"/>
      <c r="I354" s="460"/>
      <c r="J354" s="459" t="s">
        <v>922</v>
      </c>
    </row>
    <row r="356" spans="1:10">
      <c r="B356" s="453" t="s">
        <v>843</v>
      </c>
    </row>
    <row r="357" spans="1:10">
      <c r="C357" s="453" t="s">
        <v>781</v>
      </c>
      <c r="E357" s="462">
        <v>-0.48</v>
      </c>
    </row>
    <row r="358" spans="1:10">
      <c r="C358" s="453" t="s">
        <v>782</v>
      </c>
      <c r="E358" s="462">
        <v>-0.14000000000000001</v>
      </c>
    </row>
    <row r="359" spans="1:10">
      <c r="E359" s="457"/>
    </row>
    <row r="360" spans="1:10">
      <c r="E360" s="457"/>
    </row>
    <row r="364" spans="1:10">
      <c r="A364" s="460" t="s">
        <v>921</v>
      </c>
      <c r="B364" s="460"/>
      <c r="C364" s="460"/>
      <c r="D364" s="460"/>
      <c r="E364" s="460"/>
      <c r="F364" s="456"/>
      <c r="G364" s="460"/>
      <c r="H364" s="460"/>
      <c r="I364" s="460"/>
      <c r="J364" s="459" t="s">
        <v>920</v>
      </c>
    </row>
    <row r="366" spans="1:10">
      <c r="B366" s="453" t="s">
        <v>816</v>
      </c>
    </row>
    <row r="367" spans="1:10">
      <c r="C367" s="453" t="s">
        <v>429</v>
      </c>
      <c r="E367" s="462">
        <v>-0.12</v>
      </c>
    </row>
    <row r="368" spans="1:10">
      <c r="C368" s="453" t="s">
        <v>815</v>
      </c>
      <c r="E368" s="462">
        <v>1.2E-2</v>
      </c>
    </row>
    <row r="369" spans="1:10">
      <c r="E369" s="457"/>
    </row>
    <row r="370" spans="1:10">
      <c r="E370" s="457"/>
    </row>
    <row r="374" spans="1:10">
      <c r="A374" s="460" t="s">
        <v>919</v>
      </c>
      <c r="B374" s="460"/>
      <c r="C374" s="460"/>
      <c r="D374" s="460"/>
      <c r="E374" s="460"/>
      <c r="F374" s="456"/>
      <c r="G374" s="460"/>
      <c r="H374" s="460"/>
      <c r="I374" s="460"/>
      <c r="J374" s="459" t="s">
        <v>918</v>
      </c>
    </row>
    <row r="376" spans="1:10">
      <c r="B376" s="453" t="s">
        <v>816</v>
      </c>
    </row>
    <row r="377" spans="1:10">
      <c r="C377" s="453" t="s">
        <v>429</v>
      </c>
      <c r="E377" s="462">
        <v>-0.12</v>
      </c>
    </row>
    <row r="378" spans="1:10">
      <c r="C378" s="453" t="s">
        <v>815</v>
      </c>
      <c r="E378" s="462">
        <v>1.2E-2</v>
      </c>
    </row>
    <row r="379" spans="1:10">
      <c r="E379" s="457"/>
    </row>
    <row r="380" spans="1:10">
      <c r="E380" s="457"/>
    </row>
    <row r="384" spans="1:10">
      <c r="A384" s="460" t="s">
        <v>917</v>
      </c>
      <c r="B384" s="460"/>
      <c r="C384" s="460"/>
      <c r="D384" s="460"/>
      <c r="E384" s="460"/>
      <c r="F384" s="456"/>
      <c r="G384" s="460"/>
      <c r="H384" s="460"/>
      <c r="I384" s="460"/>
      <c r="J384" s="459" t="s">
        <v>916</v>
      </c>
    </row>
    <row r="386" spans="1:10">
      <c r="B386" s="453" t="s">
        <v>816</v>
      </c>
    </row>
    <row r="387" spans="1:10">
      <c r="C387" s="453" t="s">
        <v>429</v>
      </c>
      <c r="E387" s="462">
        <v>4.2082793410944196E-2</v>
      </c>
    </row>
    <row r="388" spans="1:10">
      <c r="C388" s="453" t="s">
        <v>815</v>
      </c>
      <c r="E388" s="462">
        <v>4.2082793410944197E-3</v>
      </c>
    </row>
    <row r="389" spans="1:10">
      <c r="E389" s="457"/>
    </row>
    <row r="390" spans="1:10">
      <c r="E390" s="457"/>
    </row>
    <row r="394" spans="1:10">
      <c r="A394" s="460" t="s">
        <v>915</v>
      </c>
      <c r="B394" s="460"/>
      <c r="C394" s="460"/>
      <c r="D394" s="460"/>
      <c r="E394" s="460"/>
      <c r="F394" s="456"/>
      <c r="G394" s="460"/>
      <c r="H394" s="460"/>
      <c r="I394" s="460"/>
      <c r="J394" s="459" t="s">
        <v>914</v>
      </c>
    </row>
    <row r="396" spans="1:10">
      <c r="B396" s="453" t="s">
        <v>816</v>
      </c>
    </row>
    <row r="397" spans="1:10">
      <c r="C397" s="453" t="s">
        <v>429</v>
      </c>
      <c r="E397" s="462">
        <v>9.0447902743732607E-3</v>
      </c>
    </row>
    <row r="398" spans="1:10">
      <c r="C398" s="453" t="s">
        <v>815</v>
      </c>
      <c r="E398" s="462">
        <v>9.0447902743732609E-4</v>
      </c>
    </row>
    <row r="399" spans="1:10">
      <c r="E399" s="457"/>
    </row>
    <row r="400" spans="1:10">
      <c r="E400" s="457"/>
    </row>
    <row r="404" spans="1:10">
      <c r="A404" s="460" t="s">
        <v>913</v>
      </c>
      <c r="B404" s="460"/>
      <c r="C404" s="460"/>
      <c r="D404" s="460"/>
      <c r="E404" s="460"/>
      <c r="F404" s="456"/>
      <c r="G404" s="460"/>
      <c r="H404" s="460"/>
      <c r="I404" s="460"/>
      <c r="J404" s="459" t="s">
        <v>912</v>
      </c>
    </row>
    <row r="406" spans="1:10">
      <c r="B406" s="453" t="s">
        <v>843</v>
      </c>
    </row>
    <row r="407" spans="1:10">
      <c r="C407" s="453" t="s">
        <v>781</v>
      </c>
      <c r="E407" s="462">
        <v>-2.09</v>
      </c>
    </row>
    <row r="408" spans="1:10">
      <c r="C408" s="453" t="s">
        <v>782</v>
      </c>
      <c r="E408" s="462">
        <v>0.42</v>
      </c>
    </row>
    <row r="409" spans="1:10">
      <c r="E409" s="457"/>
    </row>
    <row r="410" spans="1:10">
      <c r="E410" s="457"/>
    </row>
    <row r="414" spans="1:10">
      <c r="A414" s="460" t="s">
        <v>911</v>
      </c>
      <c r="B414" s="460"/>
      <c r="C414" s="460"/>
      <c r="D414" s="460"/>
      <c r="E414" s="460"/>
      <c r="F414" s="456"/>
      <c r="G414" s="460"/>
      <c r="H414" s="460"/>
      <c r="I414" s="460"/>
      <c r="J414" s="459" t="s">
        <v>910</v>
      </c>
    </row>
    <row r="416" spans="1:10">
      <c r="B416" s="453" t="s">
        <v>843</v>
      </c>
    </row>
    <row r="417" spans="1:10">
      <c r="C417" s="453" t="s">
        <v>781</v>
      </c>
      <c r="E417" s="462">
        <v>-0.06</v>
      </c>
    </row>
    <row r="418" spans="1:10">
      <c r="C418" s="453" t="s">
        <v>782</v>
      </c>
      <c r="E418" s="462">
        <v>0.14000000000000001</v>
      </c>
    </row>
    <row r="419" spans="1:10">
      <c r="E419" s="457"/>
    </row>
    <row r="420" spans="1:10">
      <c r="E420" s="457"/>
    </row>
    <row r="424" spans="1:10">
      <c r="A424" s="460" t="s">
        <v>909</v>
      </c>
      <c r="B424" s="460"/>
      <c r="C424" s="460"/>
      <c r="D424" s="460"/>
      <c r="E424" s="460"/>
      <c r="F424" s="456"/>
      <c r="G424" s="460"/>
      <c r="H424" s="460"/>
      <c r="I424" s="460"/>
      <c r="J424" s="459" t="s">
        <v>908</v>
      </c>
    </row>
    <row r="426" spans="1:10">
      <c r="B426" s="453" t="s">
        <v>843</v>
      </c>
    </row>
    <row r="427" spans="1:10">
      <c r="C427" s="453" t="s">
        <v>781</v>
      </c>
      <c r="E427" s="462">
        <v>-0.06</v>
      </c>
    </row>
    <row r="428" spans="1:10">
      <c r="C428" s="453" t="s">
        <v>782</v>
      </c>
      <c r="E428" s="462">
        <v>0.14000000000000001</v>
      </c>
    </row>
    <row r="429" spans="1:10">
      <c r="E429" s="457"/>
    </row>
    <row r="430" spans="1:10">
      <c r="E430" s="457"/>
    </row>
    <row r="434" spans="1:10">
      <c r="A434" s="460" t="s">
        <v>907</v>
      </c>
      <c r="B434" s="460"/>
      <c r="C434" s="460"/>
      <c r="D434" s="460"/>
      <c r="E434" s="460"/>
      <c r="F434" s="456"/>
      <c r="G434" s="460"/>
      <c r="H434" s="460"/>
      <c r="I434" s="460"/>
      <c r="J434" s="459" t="s">
        <v>906</v>
      </c>
    </row>
    <row r="436" spans="1:10">
      <c r="B436" s="453" t="s">
        <v>816</v>
      </c>
    </row>
    <row r="437" spans="1:10">
      <c r="C437" s="453" t="s">
        <v>429</v>
      </c>
      <c r="E437" s="462">
        <v>2.6301030034267651E-2</v>
      </c>
    </row>
    <row r="438" spans="1:10">
      <c r="C438" s="453" t="s">
        <v>815</v>
      </c>
      <c r="E438" s="462">
        <v>2.6301030034267649E-3</v>
      </c>
    </row>
    <row r="439" spans="1:10">
      <c r="E439" s="457"/>
    </row>
    <row r="440" spans="1:10">
      <c r="E440" s="457"/>
    </row>
    <row r="444" spans="1:10">
      <c r="A444" s="460" t="s">
        <v>905</v>
      </c>
      <c r="B444" s="460"/>
      <c r="C444" s="460"/>
      <c r="D444" s="460"/>
      <c r="E444" s="460"/>
      <c r="F444" s="456"/>
      <c r="G444" s="460"/>
      <c r="H444" s="460"/>
      <c r="I444" s="460"/>
      <c r="J444" s="459" t="s">
        <v>904</v>
      </c>
    </row>
    <row r="446" spans="1:10">
      <c r="B446" s="453" t="s">
        <v>816</v>
      </c>
    </row>
    <row r="447" spans="1:10">
      <c r="C447" s="453" t="s">
        <v>429</v>
      </c>
      <c r="E447" s="462">
        <v>1.1211319073083779</v>
      </c>
    </row>
    <row r="448" spans="1:10">
      <c r="C448" s="453" t="s">
        <v>815</v>
      </c>
      <c r="E448" s="462">
        <v>0.11211319073083778</v>
      </c>
    </row>
    <row r="449" spans="1:10">
      <c r="E449" s="457"/>
    </row>
    <row r="450" spans="1:10">
      <c r="E450" s="457"/>
    </row>
    <row r="454" spans="1:10">
      <c r="A454" s="460" t="s">
        <v>903</v>
      </c>
      <c r="B454" s="460"/>
      <c r="C454" s="460"/>
      <c r="D454" s="460"/>
      <c r="E454" s="460"/>
      <c r="F454" s="456"/>
      <c r="G454" s="460"/>
      <c r="H454" s="460"/>
      <c r="I454" s="460"/>
      <c r="J454" s="459" t="s">
        <v>902</v>
      </c>
    </row>
    <row r="456" spans="1:10">
      <c r="B456" s="453" t="s">
        <v>816</v>
      </c>
    </row>
    <row r="457" spans="1:10">
      <c r="C457" s="453" t="s">
        <v>429</v>
      </c>
      <c r="E457" s="462">
        <v>-5.2750473464197603E-2</v>
      </c>
    </row>
    <row r="458" spans="1:10">
      <c r="C458" s="453" t="s">
        <v>815</v>
      </c>
      <c r="E458" s="462">
        <v>5.2750473464197607E-3</v>
      </c>
    </row>
    <row r="459" spans="1:10">
      <c r="E459" s="457"/>
    </row>
    <row r="460" spans="1:10">
      <c r="E460" s="457"/>
    </row>
    <row r="464" spans="1:10">
      <c r="A464" s="460" t="s">
        <v>901</v>
      </c>
      <c r="B464" s="460"/>
      <c r="C464" s="460"/>
      <c r="D464" s="460"/>
      <c r="E464" s="460"/>
      <c r="F464" s="456"/>
      <c r="G464" s="460"/>
      <c r="H464" s="460"/>
      <c r="I464" s="460"/>
      <c r="J464" s="459" t="s">
        <v>900</v>
      </c>
    </row>
    <row r="466" spans="1:10">
      <c r="B466" s="453" t="s">
        <v>816</v>
      </c>
    </row>
    <row r="467" spans="1:10">
      <c r="C467" s="453" t="s">
        <v>429</v>
      </c>
      <c r="E467" s="462">
        <v>-5.2750473464197589E-2</v>
      </c>
    </row>
    <row r="468" spans="1:10">
      <c r="C468" s="453" t="s">
        <v>815</v>
      </c>
      <c r="E468" s="462">
        <v>5.2750473464197589E-3</v>
      </c>
    </row>
    <row r="469" spans="1:10">
      <c r="E469" s="457"/>
    </row>
    <row r="470" spans="1:10">
      <c r="E470" s="457"/>
    </row>
    <row r="474" spans="1:10">
      <c r="A474" s="460" t="s">
        <v>899</v>
      </c>
      <c r="B474" s="460"/>
      <c r="C474" s="460"/>
      <c r="D474" s="460"/>
      <c r="E474" s="460"/>
      <c r="F474" s="456"/>
      <c r="G474" s="460"/>
      <c r="H474" s="460"/>
      <c r="I474" s="460"/>
      <c r="J474" s="459" t="s">
        <v>898</v>
      </c>
    </row>
    <row r="476" spans="1:10">
      <c r="B476" s="453" t="s">
        <v>816</v>
      </c>
    </row>
    <row r="477" spans="1:10">
      <c r="C477" s="453" t="s">
        <v>429</v>
      </c>
      <c r="E477" s="462">
        <v>3.7582989756941008E-3</v>
      </c>
    </row>
    <row r="478" spans="1:10">
      <c r="C478" s="453" t="s">
        <v>815</v>
      </c>
      <c r="E478" s="462">
        <v>1E-3</v>
      </c>
    </row>
    <row r="479" spans="1:10">
      <c r="E479" s="457"/>
    </row>
    <row r="480" spans="1:10">
      <c r="E480" s="457"/>
    </row>
    <row r="484" spans="1:10">
      <c r="A484" s="460" t="s">
        <v>897</v>
      </c>
      <c r="B484" s="460"/>
      <c r="C484" s="460"/>
      <c r="D484" s="460"/>
      <c r="E484" s="460"/>
      <c r="F484" s="456"/>
      <c r="G484" s="460"/>
      <c r="H484" s="460"/>
      <c r="I484" s="460"/>
      <c r="J484" s="459" t="s">
        <v>896</v>
      </c>
    </row>
    <row r="486" spans="1:10">
      <c r="B486" s="453" t="s">
        <v>816</v>
      </c>
    </row>
    <row r="487" spans="1:10">
      <c r="C487" s="453" t="s">
        <v>429</v>
      </c>
      <c r="E487" s="462">
        <v>3.7582989756941012E-3</v>
      </c>
    </row>
    <row r="488" spans="1:10">
      <c r="C488" s="453" t="s">
        <v>815</v>
      </c>
      <c r="E488" s="462">
        <v>3.7582989756941012E-4</v>
      </c>
    </row>
    <row r="489" spans="1:10">
      <c r="E489" s="457"/>
    </row>
    <row r="490" spans="1:10">
      <c r="E490" s="457"/>
    </row>
    <row r="494" spans="1:10">
      <c r="A494" s="460" t="s">
        <v>895</v>
      </c>
      <c r="B494" s="460"/>
      <c r="C494" s="460"/>
      <c r="D494" s="460"/>
      <c r="E494" s="460"/>
      <c r="F494" s="456"/>
      <c r="G494" s="460"/>
      <c r="H494" s="460"/>
      <c r="I494" s="460"/>
      <c r="J494" s="459" t="s">
        <v>894</v>
      </c>
    </row>
    <row r="496" spans="1:10">
      <c r="B496" s="453" t="s">
        <v>816</v>
      </c>
    </row>
    <row r="497" spans="1:10">
      <c r="C497" s="453" t="s">
        <v>429</v>
      </c>
      <c r="E497" s="462">
        <v>-3.9349875028942952E-2</v>
      </c>
    </row>
    <row r="498" spans="1:10">
      <c r="C498" s="453" t="s">
        <v>815</v>
      </c>
      <c r="E498" s="462">
        <v>3.9349875028942948E-3</v>
      </c>
    </row>
    <row r="499" spans="1:10">
      <c r="E499" s="457"/>
    </row>
    <row r="500" spans="1:10">
      <c r="E500" s="457"/>
    </row>
    <row r="504" spans="1:10">
      <c r="A504" s="460" t="s">
        <v>893</v>
      </c>
      <c r="B504" s="460"/>
      <c r="C504" s="460"/>
      <c r="D504" s="460"/>
      <c r="E504" s="460"/>
      <c r="F504" s="456"/>
      <c r="G504" s="460"/>
      <c r="H504" s="460"/>
      <c r="I504" s="460"/>
      <c r="J504" s="459" t="s">
        <v>892</v>
      </c>
    </row>
    <row r="506" spans="1:10">
      <c r="B506" s="453" t="s">
        <v>816</v>
      </c>
    </row>
    <row r="507" spans="1:10">
      <c r="C507" s="453" t="s">
        <v>429</v>
      </c>
      <c r="E507" s="462">
        <v>-3.9349875028942952E-2</v>
      </c>
    </row>
    <row r="508" spans="1:10">
      <c r="C508" s="453" t="s">
        <v>815</v>
      </c>
      <c r="E508" s="462">
        <v>3.9349875028942948E-3</v>
      </c>
    </row>
    <row r="509" spans="1:10">
      <c r="E509" s="457"/>
    </row>
    <row r="510" spans="1:10">
      <c r="E510" s="457"/>
    </row>
    <row r="514" spans="1:10">
      <c r="A514" s="460" t="s">
        <v>891</v>
      </c>
      <c r="B514" s="460"/>
      <c r="C514" s="460"/>
      <c r="D514" s="460"/>
      <c r="E514" s="460"/>
      <c r="F514" s="456"/>
      <c r="G514" s="460"/>
      <c r="H514" s="460"/>
      <c r="I514" s="460"/>
      <c r="J514" s="459" t="s">
        <v>890</v>
      </c>
    </row>
    <row r="516" spans="1:10" ht="126" customHeight="1">
      <c r="C516" s="708" t="s">
        <v>889</v>
      </c>
      <c r="D516" s="708"/>
      <c r="E516" s="708"/>
      <c r="F516" s="708"/>
      <c r="G516" s="708"/>
      <c r="H516" s="708"/>
      <c r="I516" s="708"/>
    </row>
    <row r="518" spans="1:10">
      <c r="B518" s="453" t="s">
        <v>843</v>
      </c>
    </row>
    <row r="519" spans="1:10">
      <c r="C519" s="453" t="s">
        <v>781</v>
      </c>
      <c r="E519" s="462">
        <v>0.02</v>
      </c>
    </row>
    <row r="520" spans="1:10">
      <c r="C520" s="453" t="s">
        <v>782</v>
      </c>
      <c r="E520" s="462">
        <v>0.12</v>
      </c>
    </row>
    <row r="521" spans="1:10">
      <c r="E521" s="457"/>
    </row>
    <row r="522" spans="1:10">
      <c r="E522" s="457"/>
    </row>
    <row r="526" spans="1:10">
      <c r="A526" s="460" t="s">
        <v>888</v>
      </c>
      <c r="B526" s="460"/>
      <c r="C526" s="460"/>
      <c r="D526" s="460"/>
      <c r="E526" s="460"/>
      <c r="F526" s="456"/>
      <c r="G526" s="460"/>
      <c r="H526" s="460"/>
      <c r="I526" s="460"/>
      <c r="J526" s="459" t="s">
        <v>887</v>
      </c>
    </row>
    <row r="528" spans="1:10">
      <c r="B528" s="453" t="s">
        <v>843</v>
      </c>
    </row>
    <row r="529" spans="1:10">
      <c r="C529" s="453" t="s">
        <v>781</v>
      </c>
      <c r="E529" s="462">
        <v>0.02</v>
      </c>
    </row>
    <row r="530" spans="1:10">
      <c r="C530" s="453" t="s">
        <v>782</v>
      </c>
      <c r="E530" s="462">
        <v>0.12</v>
      </c>
    </row>
    <row r="531" spans="1:10">
      <c r="E531" s="457"/>
    </row>
    <row r="532" spans="1:10">
      <c r="E532" s="457"/>
    </row>
    <row r="536" spans="1:10">
      <c r="A536" s="460" t="s">
        <v>886</v>
      </c>
      <c r="B536" s="460"/>
      <c r="C536" s="460"/>
      <c r="D536" s="460"/>
      <c r="E536" s="460"/>
      <c r="F536" s="456"/>
      <c r="G536" s="460"/>
      <c r="H536" s="460"/>
      <c r="I536" s="460"/>
      <c r="J536" s="459" t="s">
        <v>885</v>
      </c>
    </row>
    <row r="538" spans="1:10">
      <c r="B538" s="453" t="s">
        <v>816</v>
      </c>
    </row>
    <row r="539" spans="1:10">
      <c r="C539" s="453" t="s">
        <v>429</v>
      </c>
      <c r="E539" s="461">
        <v>0.30675290302434066</v>
      </c>
    </row>
    <row r="540" spans="1:10">
      <c r="C540" s="453" t="s">
        <v>815</v>
      </c>
      <c r="E540" s="461">
        <v>3.0675290302434065E-2</v>
      </c>
    </row>
    <row r="541" spans="1:10">
      <c r="E541" s="457"/>
    </row>
    <row r="542" spans="1:10">
      <c r="E542" s="457"/>
    </row>
    <row r="546" spans="1:10">
      <c r="A546" s="460" t="s">
        <v>884</v>
      </c>
      <c r="B546" s="460"/>
      <c r="C546" s="460"/>
      <c r="D546" s="460"/>
      <c r="E546" s="460"/>
      <c r="F546" s="456"/>
      <c r="G546" s="460"/>
      <c r="H546" s="460"/>
      <c r="I546" s="460"/>
      <c r="J546" s="459" t="s">
        <v>883</v>
      </c>
    </row>
    <row r="548" spans="1:10">
      <c r="B548" s="453" t="s">
        <v>816</v>
      </c>
    </row>
    <row r="549" spans="1:10">
      <c r="C549" s="453" t="s">
        <v>429</v>
      </c>
      <c r="E549" s="461">
        <v>4.9083316512498865E-2</v>
      </c>
    </row>
    <row r="550" spans="1:10">
      <c r="C550" s="453" t="s">
        <v>815</v>
      </c>
      <c r="E550" s="461">
        <v>4.9083316512498866E-3</v>
      </c>
    </row>
    <row r="551" spans="1:10">
      <c r="E551" s="457"/>
    </row>
    <row r="552" spans="1:10">
      <c r="E552" s="457"/>
    </row>
    <row r="556" spans="1:10">
      <c r="A556" s="460" t="s">
        <v>882</v>
      </c>
      <c r="B556" s="460"/>
      <c r="C556" s="460"/>
      <c r="D556" s="460"/>
      <c r="E556" s="460"/>
      <c r="F556" s="456"/>
      <c r="G556" s="460"/>
      <c r="H556" s="460"/>
      <c r="I556" s="460"/>
      <c r="J556" s="459" t="s">
        <v>881</v>
      </c>
    </row>
    <row r="558" spans="1:10">
      <c r="B558" s="453" t="s">
        <v>816</v>
      </c>
    </row>
    <row r="559" spans="1:10">
      <c r="C559" s="453" t="s">
        <v>429</v>
      </c>
      <c r="E559" s="458">
        <v>7.5992771546960457E-3</v>
      </c>
    </row>
    <row r="560" spans="1:10">
      <c r="C560" s="453" t="s">
        <v>815</v>
      </c>
      <c r="E560" s="458">
        <v>7.5992771546960455E-4</v>
      </c>
    </row>
    <row r="561" spans="1:10">
      <c r="E561" s="457"/>
    </row>
    <row r="562" spans="1:10">
      <c r="E562" s="457"/>
    </row>
    <row r="566" spans="1:10">
      <c r="A566" s="460" t="s">
        <v>880</v>
      </c>
      <c r="B566" s="460"/>
      <c r="C566" s="460"/>
      <c r="D566" s="460"/>
      <c r="E566" s="460"/>
      <c r="F566" s="456"/>
      <c r="G566" s="460"/>
      <c r="H566" s="460"/>
      <c r="I566" s="460"/>
      <c r="J566" s="459" t="s">
        <v>879</v>
      </c>
    </row>
    <row r="568" spans="1:10">
      <c r="B568" s="453" t="s">
        <v>816</v>
      </c>
    </row>
    <row r="569" spans="1:10">
      <c r="C569" s="453" t="s">
        <v>429</v>
      </c>
      <c r="E569" s="462">
        <v>-2.3670347116980586E-3</v>
      </c>
    </row>
    <row r="570" spans="1:10">
      <c r="C570" s="453" t="s">
        <v>815</v>
      </c>
      <c r="E570" s="462">
        <v>1E-3</v>
      </c>
    </row>
    <row r="571" spans="1:10">
      <c r="E571" s="457"/>
    </row>
    <row r="572" spans="1:10">
      <c r="E572" s="457"/>
    </row>
    <row r="576" spans="1:10">
      <c r="A576" s="460" t="s">
        <v>878</v>
      </c>
      <c r="B576" s="460"/>
      <c r="C576" s="460"/>
      <c r="D576" s="460"/>
      <c r="E576" s="460"/>
      <c r="F576" s="456"/>
      <c r="G576" s="460"/>
      <c r="H576" s="460"/>
      <c r="I576" s="460"/>
      <c r="J576" s="459" t="s">
        <v>877</v>
      </c>
    </row>
    <row r="578" spans="1:10">
      <c r="B578" s="453" t="s">
        <v>816</v>
      </c>
    </row>
    <row r="579" spans="1:10">
      <c r="C579" s="453" t="s">
        <v>429</v>
      </c>
      <c r="E579" s="462">
        <v>-2.3670347116980586E-3</v>
      </c>
    </row>
    <row r="580" spans="1:10">
      <c r="C580" s="453" t="s">
        <v>815</v>
      </c>
      <c r="E580" s="462">
        <v>2.3670347116980586E-4</v>
      </c>
    </row>
    <row r="581" spans="1:10">
      <c r="E581" s="457"/>
    </row>
    <row r="582" spans="1:10">
      <c r="E582" s="457"/>
    </row>
    <row r="586" spans="1:10">
      <c r="A586" s="460" t="s">
        <v>876</v>
      </c>
      <c r="B586" s="460"/>
      <c r="C586" s="460"/>
      <c r="D586" s="460"/>
      <c r="E586" s="460"/>
      <c r="F586" s="456"/>
      <c r="G586" s="460"/>
      <c r="H586" s="460"/>
      <c r="I586" s="460"/>
      <c r="J586" s="459" t="s">
        <v>875</v>
      </c>
    </row>
    <row r="588" spans="1:10">
      <c r="B588" s="453" t="s">
        <v>843</v>
      </c>
    </row>
    <row r="589" spans="1:10">
      <c r="C589" s="453" t="s">
        <v>781</v>
      </c>
      <c r="E589" s="462">
        <v>0.11</v>
      </c>
    </row>
    <row r="590" spans="1:10">
      <c r="C590" s="453" t="s">
        <v>782</v>
      </c>
      <c r="E590" s="462">
        <v>0.18</v>
      </c>
    </row>
    <row r="591" spans="1:10">
      <c r="E591" s="457"/>
    </row>
    <row r="592" spans="1:10">
      <c r="E592" s="457"/>
    </row>
    <row r="596" spans="1:10">
      <c r="A596" s="460" t="s">
        <v>874</v>
      </c>
      <c r="B596" s="460"/>
      <c r="C596" s="460"/>
      <c r="D596" s="460"/>
      <c r="E596" s="460"/>
      <c r="F596" s="456"/>
      <c r="G596" s="460"/>
      <c r="H596" s="460"/>
      <c r="I596" s="460"/>
      <c r="J596" s="459" t="s">
        <v>873</v>
      </c>
    </row>
    <row r="598" spans="1:10">
      <c r="B598" s="453" t="s">
        <v>843</v>
      </c>
    </row>
    <row r="599" spans="1:10">
      <c r="C599" s="453" t="s">
        <v>781</v>
      </c>
      <c r="E599" s="462">
        <v>0.13923776980191141</v>
      </c>
    </row>
    <row r="600" spans="1:10">
      <c r="C600" s="453" t="s">
        <v>782</v>
      </c>
      <c r="E600" s="462">
        <v>0.43</v>
      </c>
    </row>
    <row r="601" spans="1:10">
      <c r="E601" s="457"/>
    </row>
    <row r="602" spans="1:10">
      <c r="E602" s="457"/>
    </row>
    <row r="606" spans="1:10">
      <c r="A606" s="460" t="s">
        <v>872</v>
      </c>
      <c r="B606" s="460"/>
      <c r="C606" s="460"/>
      <c r="D606" s="460"/>
      <c r="E606" s="460"/>
      <c r="F606" s="456"/>
      <c r="G606" s="460"/>
      <c r="H606" s="460"/>
      <c r="I606" s="460"/>
      <c r="J606" s="459" t="s">
        <v>871</v>
      </c>
    </row>
    <row r="608" spans="1:10">
      <c r="B608" s="453" t="s">
        <v>816</v>
      </c>
    </row>
    <row r="609" spans="1:10">
      <c r="C609" s="453" t="s">
        <v>429</v>
      </c>
      <c r="E609" s="462">
        <v>-8.0919964099763382E-3</v>
      </c>
    </row>
    <row r="610" spans="1:10">
      <c r="C610" s="453" t="s">
        <v>815</v>
      </c>
      <c r="E610" s="462">
        <v>1E-3</v>
      </c>
    </row>
    <row r="611" spans="1:10">
      <c r="E611" s="457"/>
    </row>
    <row r="612" spans="1:10">
      <c r="E612" s="457"/>
    </row>
    <row r="616" spans="1:10">
      <c r="A616" s="460" t="s">
        <v>870</v>
      </c>
      <c r="B616" s="460"/>
      <c r="C616" s="460"/>
      <c r="D616" s="460"/>
      <c r="E616" s="460"/>
      <c r="F616" s="456"/>
      <c r="G616" s="460"/>
      <c r="H616" s="460"/>
      <c r="I616" s="460"/>
      <c r="J616" s="459" t="s">
        <v>869</v>
      </c>
    </row>
    <row r="618" spans="1:10">
      <c r="B618" s="453" t="s">
        <v>816</v>
      </c>
    </row>
    <row r="619" spans="1:10">
      <c r="C619" s="453" t="s">
        <v>429</v>
      </c>
      <c r="E619" s="462">
        <v>-8.0919964099763382E-3</v>
      </c>
    </row>
    <row r="620" spans="1:10">
      <c r="C620" s="453" t="s">
        <v>815</v>
      </c>
      <c r="E620" s="462">
        <v>8.091996409976338E-4</v>
      </c>
    </row>
    <row r="621" spans="1:10">
      <c r="E621" s="457"/>
    </row>
    <row r="622" spans="1:10">
      <c r="E622" s="457"/>
    </row>
    <row r="626" spans="1:10">
      <c r="A626" s="460" t="s">
        <v>824</v>
      </c>
      <c r="B626" s="460"/>
      <c r="C626" s="460"/>
      <c r="D626" s="460"/>
      <c r="E626" s="460"/>
      <c r="F626" s="456"/>
      <c r="G626" s="460"/>
      <c r="H626" s="460"/>
      <c r="I626" s="460"/>
      <c r="J626" s="459" t="s">
        <v>868</v>
      </c>
    </row>
    <row r="628" spans="1:10">
      <c r="B628" s="453" t="s">
        <v>816</v>
      </c>
    </row>
    <row r="629" spans="1:10">
      <c r="C629" s="453" t="s">
        <v>429</v>
      </c>
      <c r="E629" s="461">
        <v>0.22973515272238387</v>
      </c>
    </row>
    <row r="630" spans="1:10">
      <c r="C630" s="453" t="s">
        <v>815</v>
      </c>
      <c r="E630" s="461">
        <v>2.2973515272238388E-2</v>
      </c>
    </row>
    <row r="631" spans="1:10">
      <c r="E631" s="457"/>
    </row>
    <row r="632" spans="1:10">
      <c r="E632" s="457"/>
    </row>
    <row r="636" spans="1:10">
      <c r="A636" s="460" t="s">
        <v>867</v>
      </c>
      <c r="B636" s="460"/>
      <c r="C636" s="460"/>
      <c r="D636" s="460"/>
      <c r="E636" s="460"/>
      <c r="F636" s="456"/>
      <c r="G636" s="460"/>
      <c r="H636" s="460"/>
      <c r="I636" s="460"/>
      <c r="J636" s="459" t="s">
        <v>866</v>
      </c>
    </row>
    <row r="638" spans="1:10">
      <c r="B638" s="453" t="s">
        <v>816</v>
      </c>
    </row>
    <row r="639" spans="1:10">
      <c r="C639" s="453" t="s">
        <v>429</v>
      </c>
      <c r="E639" s="461">
        <v>9.1363297736570925E-2</v>
      </c>
    </row>
    <row r="640" spans="1:10">
      <c r="C640" s="453" t="s">
        <v>815</v>
      </c>
      <c r="E640" s="461">
        <v>9.1363297736570918E-3</v>
      </c>
    </row>
    <row r="641" spans="1:10">
      <c r="E641" s="457"/>
    </row>
    <row r="642" spans="1:10">
      <c r="E642" s="457"/>
    </row>
    <row r="646" spans="1:10">
      <c r="A646" s="460" t="s">
        <v>865</v>
      </c>
      <c r="B646" s="460"/>
      <c r="C646" s="460"/>
      <c r="D646" s="460"/>
      <c r="E646" s="460"/>
      <c r="F646" s="456"/>
      <c r="G646" s="460"/>
      <c r="H646" s="460"/>
      <c r="I646" s="460"/>
      <c r="J646" s="459" t="s">
        <v>864</v>
      </c>
    </row>
    <row r="648" spans="1:10">
      <c r="B648" s="453" t="s">
        <v>816</v>
      </c>
    </row>
    <row r="649" spans="1:10">
      <c r="C649" s="453" t="s">
        <v>429</v>
      </c>
      <c r="E649" s="458">
        <v>4.1528147123543824E-3</v>
      </c>
    </row>
    <row r="650" spans="1:10">
      <c r="C650" s="453" t="s">
        <v>815</v>
      </c>
      <c r="E650" s="458">
        <v>4.1528147123543824E-4</v>
      </c>
    </row>
    <row r="651" spans="1:10">
      <c r="E651" s="457"/>
    </row>
    <row r="652" spans="1:10">
      <c r="E652" s="457"/>
    </row>
    <row r="656" spans="1:10">
      <c r="A656" s="460" t="s">
        <v>863</v>
      </c>
      <c r="B656" s="460"/>
      <c r="C656" s="460"/>
      <c r="D656" s="460"/>
      <c r="E656" s="460"/>
      <c r="F656" s="456"/>
      <c r="G656" s="460"/>
      <c r="H656" s="460"/>
      <c r="I656" s="460"/>
      <c r="J656" s="459" t="s">
        <v>862</v>
      </c>
    </row>
    <row r="658" spans="1:10">
      <c r="B658" s="453" t="s">
        <v>816</v>
      </c>
    </row>
    <row r="659" spans="1:10">
      <c r="C659" s="453" t="s">
        <v>429</v>
      </c>
      <c r="E659" s="462">
        <v>6.3059441274082376E-3</v>
      </c>
    </row>
    <row r="660" spans="1:10">
      <c r="C660" s="453" t="s">
        <v>815</v>
      </c>
      <c r="E660" s="462">
        <v>6.3059441274082378E-4</v>
      </c>
    </row>
    <row r="661" spans="1:10">
      <c r="E661" s="457"/>
    </row>
    <row r="662" spans="1:10">
      <c r="E662" s="457"/>
    </row>
    <row r="666" spans="1:10">
      <c r="A666" s="460" t="s">
        <v>861</v>
      </c>
      <c r="B666" s="460"/>
      <c r="C666" s="460"/>
      <c r="D666" s="460"/>
      <c r="E666" s="460"/>
      <c r="F666" s="456"/>
      <c r="G666" s="460"/>
      <c r="H666" s="460"/>
      <c r="I666" s="460"/>
      <c r="J666" s="459" t="s">
        <v>860</v>
      </c>
    </row>
    <row r="668" spans="1:10">
      <c r="B668" s="453" t="s">
        <v>816</v>
      </c>
    </row>
    <row r="669" spans="1:10">
      <c r="C669" s="453" t="s">
        <v>429</v>
      </c>
      <c r="E669" s="462">
        <v>-5.716596011945593E-3</v>
      </c>
    </row>
    <row r="670" spans="1:10">
      <c r="C670" s="453" t="s">
        <v>815</v>
      </c>
      <c r="E670" s="462">
        <v>5.7165960119455927E-4</v>
      </c>
    </row>
    <row r="671" spans="1:10">
      <c r="E671" s="457"/>
    </row>
    <row r="672" spans="1:10">
      <c r="E672" s="457"/>
    </row>
    <row r="676" spans="1:10">
      <c r="A676" s="460" t="s">
        <v>859</v>
      </c>
      <c r="B676" s="460"/>
      <c r="C676" s="460"/>
      <c r="D676" s="460"/>
      <c r="E676" s="460"/>
      <c r="F676" s="456"/>
      <c r="G676" s="460"/>
      <c r="H676" s="460"/>
      <c r="I676" s="460"/>
      <c r="J676" s="459" t="s">
        <v>858</v>
      </c>
    </row>
    <row r="678" spans="1:10">
      <c r="B678" s="453" t="s">
        <v>816</v>
      </c>
    </row>
    <row r="679" spans="1:10">
      <c r="C679" s="453" t="s">
        <v>429</v>
      </c>
      <c r="E679" s="462">
        <v>-5.8876063913510281E-2</v>
      </c>
    </row>
    <row r="680" spans="1:10">
      <c r="C680" s="453" t="s">
        <v>815</v>
      </c>
      <c r="E680" s="462">
        <v>5.8876063913510281E-3</v>
      </c>
    </row>
    <row r="681" spans="1:10">
      <c r="E681" s="457"/>
    </row>
    <row r="682" spans="1:10">
      <c r="E682" s="457"/>
    </row>
    <row r="686" spans="1:10">
      <c r="A686" s="460" t="s">
        <v>857</v>
      </c>
      <c r="B686" s="460"/>
      <c r="C686" s="460"/>
      <c r="D686" s="460"/>
      <c r="E686" s="460"/>
      <c r="F686" s="456"/>
      <c r="G686" s="460"/>
      <c r="H686" s="460"/>
      <c r="I686" s="460"/>
      <c r="J686" s="459" t="s">
        <v>856</v>
      </c>
    </row>
    <row r="688" spans="1:10">
      <c r="B688" s="453" t="s">
        <v>816</v>
      </c>
    </row>
    <row r="689" spans="1:10">
      <c r="C689" s="453" t="s">
        <v>429</v>
      </c>
      <c r="E689" s="462">
        <v>-5.8876063913510281E-2</v>
      </c>
    </row>
    <row r="690" spans="1:10">
      <c r="C690" s="453" t="s">
        <v>815</v>
      </c>
      <c r="E690" s="462">
        <v>5.8876063913510281E-3</v>
      </c>
    </row>
    <row r="691" spans="1:10">
      <c r="E691" s="457"/>
    </row>
    <row r="692" spans="1:10">
      <c r="E692" s="457"/>
    </row>
    <row r="696" spans="1:10">
      <c r="A696" s="460" t="s">
        <v>855</v>
      </c>
      <c r="B696" s="460"/>
      <c r="C696" s="460"/>
      <c r="D696" s="460"/>
      <c r="E696" s="460"/>
      <c r="F696" s="456"/>
      <c r="G696" s="460"/>
      <c r="H696" s="460"/>
      <c r="I696" s="460"/>
      <c r="J696" s="459" t="s">
        <v>854</v>
      </c>
    </row>
    <row r="698" spans="1:10">
      <c r="B698" s="453" t="s">
        <v>816</v>
      </c>
    </row>
    <row r="699" spans="1:10">
      <c r="C699" s="453" t="s">
        <v>429</v>
      </c>
      <c r="E699" s="462">
        <v>2.9951923298960192E-2</v>
      </c>
    </row>
    <row r="700" spans="1:10">
      <c r="C700" s="453" t="s">
        <v>815</v>
      </c>
      <c r="E700" s="462">
        <v>2.9951923298960192E-3</v>
      </c>
    </row>
    <row r="701" spans="1:10">
      <c r="E701" s="457"/>
    </row>
    <row r="702" spans="1:10">
      <c r="E702" s="457"/>
    </row>
    <row r="706" spans="1:10">
      <c r="A706" s="460" t="s">
        <v>853</v>
      </c>
      <c r="B706" s="460"/>
      <c r="C706" s="460"/>
      <c r="D706" s="460"/>
      <c r="E706" s="460"/>
      <c r="F706" s="456"/>
      <c r="G706" s="460"/>
      <c r="H706" s="460"/>
      <c r="I706" s="460"/>
      <c r="J706" s="459" t="s">
        <v>852</v>
      </c>
    </row>
    <row r="708" spans="1:10">
      <c r="B708" s="453" t="s">
        <v>843</v>
      </c>
    </row>
    <row r="709" spans="1:10">
      <c r="C709" s="453" t="s">
        <v>781</v>
      </c>
      <c r="E709" s="462">
        <v>0</v>
      </c>
    </row>
    <row r="710" spans="1:10">
      <c r="C710" s="453" t="s">
        <v>782</v>
      </c>
      <c r="E710" s="462">
        <v>0.08</v>
      </c>
    </row>
    <row r="711" spans="1:10">
      <c r="E711" s="457"/>
    </row>
    <row r="712" spans="1:10">
      <c r="E712" s="457"/>
    </row>
    <row r="716" spans="1:10">
      <c r="A716" s="460" t="s">
        <v>851</v>
      </c>
      <c r="B716" s="460"/>
      <c r="C716" s="460"/>
      <c r="D716" s="460"/>
      <c r="E716" s="460"/>
      <c r="F716" s="456"/>
      <c r="G716" s="460"/>
      <c r="H716" s="460"/>
      <c r="I716" s="460"/>
      <c r="J716" s="459" t="s">
        <v>850</v>
      </c>
    </row>
    <row r="718" spans="1:10">
      <c r="B718" s="453" t="s">
        <v>816</v>
      </c>
    </row>
    <row r="719" spans="1:10">
      <c r="C719" s="453" t="s">
        <v>429</v>
      </c>
      <c r="E719" s="462">
        <v>2.8254277389950233E-2</v>
      </c>
    </row>
    <row r="720" spans="1:10">
      <c r="C720" s="453" t="s">
        <v>815</v>
      </c>
      <c r="E720" s="462">
        <v>2.8254277389950233E-3</v>
      </c>
    </row>
    <row r="721" spans="1:10">
      <c r="E721" s="457"/>
    </row>
    <row r="722" spans="1:10">
      <c r="E722" s="457"/>
    </row>
    <row r="726" spans="1:10">
      <c r="A726" s="460" t="s">
        <v>849</v>
      </c>
      <c r="B726" s="460"/>
      <c r="C726" s="460"/>
      <c r="D726" s="460"/>
      <c r="E726" s="460"/>
      <c r="F726" s="456"/>
      <c r="G726" s="460"/>
      <c r="H726" s="460"/>
      <c r="I726" s="460"/>
      <c r="J726" s="459" t="s">
        <v>848</v>
      </c>
    </row>
    <row r="728" spans="1:10">
      <c r="B728" s="453" t="s">
        <v>816</v>
      </c>
    </row>
    <row r="729" spans="1:10">
      <c r="C729" s="453" t="s">
        <v>429</v>
      </c>
      <c r="E729" s="462">
        <v>0.10318678070339327</v>
      </c>
    </row>
    <row r="730" spans="1:10">
      <c r="C730" s="453" t="s">
        <v>815</v>
      </c>
      <c r="E730" s="462">
        <v>1.0318678070339326E-2</v>
      </c>
    </row>
    <row r="731" spans="1:10">
      <c r="E731" s="457"/>
    </row>
    <row r="732" spans="1:10">
      <c r="E732" s="457"/>
    </row>
    <row r="736" spans="1:10">
      <c r="A736" s="460" t="s">
        <v>847</v>
      </c>
      <c r="B736" s="460"/>
      <c r="C736" s="460"/>
      <c r="D736" s="460"/>
      <c r="E736" s="460"/>
      <c r="F736" s="456"/>
      <c r="G736" s="460"/>
      <c r="H736" s="460"/>
      <c r="I736" s="460"/>
      <c r="J736" s="459" t="s">
        <v>846</v>
      </c>
    </row>
    <row r="738" spans="1:10">
      <c r="B738" s="453" t="s">
        <v>816</v>
      </c>
    </row>
    <row r="739" spans="1:10">
      <c r="C739" s="453" t="s">
        <v>429</v>
      </c>
      <c r="E739" s="462">
        <v>1.1774719465622904E-2</v>
      </c>
    </row>
    <row r="740" spans="1:10">
      <c r="C740" s="453" t="s">
        <v>815</v>
      </c>
      <c r="E740" s="462">
        <v>1.1774719465622904E-3</v>
      </c>
    </row>
    <row r="741" spans="1:10">
      <c r="E741" s="457"/>
    </row>
    <row r="742" spans="1:10">
      <c r="E742" s="457"/>
    </row>
    <row r="746" spans="1:10">
      <c r="A746" s="460" t="s">
        <v>845</v>
      </c>
      <c r="B746" s="460"/>
      <c r="C746" s="460"/>
      <c r="D746" s="460"/>
      <c r="E746" s="460"/>
      <c r="F746" s="456"/>
      <c r="G746" s="460"/>
      <c r="H746" s="460"/>
      <c r="I746" s="460"/>
      <c r="J746" s="459" t="s">
        <v>844</v>
      </c>
    </row>
    <row r="748" spans="1:10">
      <c r="B748" s="453" t="s">
        <v>843</v>
      </c>
    </row>
    <row r="749" spans="1:10">
      <c r="C749" s="453" t="s">
        <v>781</v>
      </c>
      <c r="E749" s="462">
        <v>-0.14000000000000001</v>
      </c>
    </row>
    <row r="750" spans="1:10">
      <c r="C750" s="453" t="s">
        <v>782</v>
      </c>
      <c r="E750" s="462">
        <v>0.03</v>
      </c>
    </row>
    <row r="751" spans="1:10">
      <c r="E751" s="457"/>
    </row>
    <row r="752" spans="1:10">
      <c r="E752" s="457"/>
    </row>
    <row r="756" spans="1:10">
      <c r="A756" s="460" t="s">
        <v>842</v>
      </c>
      <c r="B756" s="460"/>
      <c r="C756" s="460"/>
      <c r="D756" s="460"/>
      <c r="E756" s="460"/>
      <c r="F756" s="456"/>
      <c r="G756" s="460"/>
      <c r="H756" s="460"/>
      <c r="I756" s="460"/>
      <c r="J756" s="459" t="s">
        <v>841</v>
      </c>
    </row>
    <row r="758" spans="1:10">
      <c r="B758" s="453" t="s">
        <v>816</v>
      </c>
    </row>
    <row r="759" spans="1:10">
      <c r="C759" s="453" t="s">
        <v>429</v>
      </c>
      <c r="E759" s="462">
        <v>-0.76313160448303363</v>
      </c>
    </row>
    <row r="760" spans="1:10">
      <c r="C760" s="453" t="s">
        <v>815</v>
      </c>
      <c r="E760" s="462">
        <v>7.6313160448303358E-2</v>
      </c>
    </row>
    <row r="761" spans="1:10">
      <c r="E761" s="457"/>
    </row>
    <row r="762" spans="1:10">
      <c r="E762" s="457"/>
    </row>
    <row r="766" spans="1:10">
      <c r="A766" s="460" t="s">
        <v>840</v>
      </c>
      <c r="B766" s="460"/>
      <c r="C766" s="460"/>
      <c r="D766" s="460"/>
      <c r="E766" s="460"/>
      <c r="F766" s="456"/>
      <c r="G766" s="460"/>
      <c r="H766" s="460"/>
      <c r="I766" s="460"/>
      <c r="J766" s="459" t="s">
        <v>839</v>
      </c>
    </row>
    <row r="768" spans="1:10">
      <c r="B768" s="453" t="s">
        <v>816</v>
      </c>
    </row>
    <row r="769" spans="1:10">
      <c r="C769" s="453" t="s">
        <v>429</v>
      </c>
      <c r="E769" s="462">
        <v>-0.76313160448303363</v>
      </c>
    </row>
    <row r="770" spans="1:10">
      <c r="C770" s="453" t="s">
        <v>815</v>
      </c>
      <c r="E770" s="462">
        <v>7.6313160448303358E-2</v>
      </c>
    </row>
    <row r="771" spans="1:10">
      <c r="E771" s="457"/>
    </row>
    <row r="772" spans="1:10">
      <c r="E772" s="457"/>
    </row>
    <row r="776" spans="1:10">
      <c r="A776" s="460" t="s">
        <v>838</v>
      </c>
      <c r="B776" s="460"/>
      <c r="C776" s="460"/>
      <c r="D776" s="460"/>
      <c r="E776" s="460"/>
      <c r="F776" s="456"/>
      <c r="G776" s="460"/>
      <c r="H776" s="460"/>
      <c r="I776" s="460"/>
      <c r="J776" s="459" t="s">
        <v>837</v>
      </c>
    </row>
    <row r="778" spans="1:10">
      <c r="B778" s="453" t="s">
        <v>816</v>
      </c>
    </row>
    <row r="779" spans="1:10">
      <c r="C779" s="453" t="s">
        <v>429</v>
      </c>
      <c r="E779" s="462">
        <v>5.0064988205844128E-3</v>
      </c>
    </row>
    <row r="780" spans="1:10">
      <c r="C780" s="453" t="s">
        <v>815</v>
      </c>
      <c r="E780" s="462">
        <v>5.006498820584413E-4</v>
      </c>
    </row>
    <row r="781" spans="1:10">
      <c r="E781" s="457"/>
    </row>
    <row r="782" spans="1:10">
      <c r="E782" s="457"/>
    </row>
    <row r="786" spans="1:10">
      <c r="A786" s="460" t="s">
        <v>836</v>
      </c>
      <c r="B786" s="460"/>
      <c r="C786" s="460"/>
      <c r="D786" s="460"/>
      <c r="E786" s="460"/>
      <c r="F786" s="456"/>
      <c r="G786" s="460"/>
      <c r="H786" s="460"/>
      <c r="I786" s="460"/>
      <c r="J786" s="459" t="s">
        <v>835</v>
      </c>
    </row>
    <row r="788" spans="1:10">
      <c r="B788" s="453" t="s">
        <v>816</v>
      </c>
    </row>
    <row r="789" spans="1:10">
      <c r="C789" s="453" t="s">
        <v>429</v>
      </c>
      <c r="E789" s="462">
        <v>0.20816666666666667</v>
      </c>
    </row>
    <row r="790" spans="1:10">
      <c r="C790" s="453" t="s">
        <v>815</v>
      </c>
      <c r="E790" s="462">
        <v>2.0816666666666667E-2</v>
      </c>
    </row>
    <row r="791" spans="1:10">
      <c r="E791" s="457"/>
    </row>
    <row r="792" spans="1:10">
      <c r="E792" s="457"/>
    </row>
    <row r="796" spans="1:10">
      <c r="A796" s="460" t="s">
        <v>834</v>
      </c>
      <c r="B796" s="460"/>
      <c r="C796" s="460"/>
      <c r="D796" s="460"/>
      <c r="E796" s="460"/>
      <c r="F796" s="456"/>
      <c r="G796" s="460"/>
      <c r="H796" s="460"/>
      <c r="I796" s="460"/>
      <c r="J796" s="459" t="s">
        <v>833</v>
      </c>
    </row>
    <row r="798" spans="1:10">
      <c r="B798" s="453" t="s">
        <v>816</v>
      </c>
    </row>
    <row r="799" spans="1:10">
      <c r="C799" s="453" t="s">
        <v>429</v>
      </c>
      <c r="E799" s="462">
        <v>0.20816666666666667</v>
      </c>
    </row>
    <row r="800" spans="1:10">
      <c r="C800" s="453" t="s">
        <v>815</v>
      </c>
      <c r="E800" s="462">
        <v>2.0816666666666667E-2</v>
      </c>
    </row>
    <row r="801" spans="1:10">
      <c r="E801" s="457"/>
    </row>
    <row r="802" spans="1:10">
      <c r="E802" s="457"/>
    </row>
    <row r="806" spans="1:10">
      <c r="A806" s="460" t="s">
        <v>818</v>
      </c>
      <c r="B806" s="460"/>
      <c r="C806" s="460"/>
      <c r="D806" s="460"/>
      <c r="E806" s="460"/>
      <c r="F806" s="456"/>
      <c r="G806" s="460"/>
      <c r="H806" s="460"/>
      <c r="I806" s="460"/>
      <c r="J806" s="459" t="s">
        <v>832</v>
      </c>
    </row>
    <row r="808" spans="1:10">
      <c r="B808" s="453" t="s">
        <v>816</v>
      </c>
    </row>
    <row r="809" spans="1:10">
      <c r="C809" s="453" t="s">
        <v>429</v>
      </c>
      <c r="E809" s="458">
        <v>0.10329902063198657</v>
      </c>
    </row>
    <row r="810" spans="1:10">
      <c r="C810" s="453" t="s">
        <v>815</v>
      </c>
      <c r="E810" s="458">
        <v>1.0329902063198657E-2</v>
      </c>
    </row>
    <row r="811" spans="1:10">
      <c r="E811" s="457"/>
    </row>
    <row r="812" spans="1:10">
      <c r="E812" s="457"/>
    </row>
    <row r="816" spans="1:10">
      <c r="A816" s="460" t="s">
        <v>1044</v>
      </c>
    </row>
    <row r="818" spans="1:10">
      <c r="A818" s="460" t="s">
        <v>1043</v>
      </c>
      <c r="B818" s="460"/>
      <c r="C818" s="460"/>
      <c r="D818" s="460"/>
      <c r="E818" s="460"/>
      <c r="F818" s="456"/>
      <c r="G818" s="460"/>
      <c r="H818" s="460"/>
      <c r="I818" s="460"/>
      <c r="J818" s="459" t="s">
        <v>1042</v>
      </c>
    </row>
    <row r="820" spans="1:10">
      <c r="B820" s="453" t="s">
        <v>843</v>
      </c>
    </row>
    <row r="821" spans="1:10">
      <c r="C821" s="453" t="s">
        <v>781</v>
      </c>
      <c r="E821" s="466">
        <v>0.32803418547726437</v>
      </c>
      <c r="G821" s="453" t="s">
        <v>1041</v>
      </c>
    </row>
    <row r="822" spans="1:10">
      <c r="C822" s="453" t="s">
        <v>782</v>
      </c>
      <c r="E822" s="466">
        <v>28.568558393218467</v>
      </c>
      <c r="G822" s="453" t="s">
        <v>1040</v>
      </c>
    </row>
    <row r="823" spans="1:10">
      <c r="E823" s="457"/>
    </row>
    <row r="824" spans="1:10">
      <c r="E824" s="457"/>
    </row>
    <row r="831" spans="1:10">
      <c r="A831" s="460" t="s">
        <v>1039</v>
      </c>
      <c r="B831" s="460"/>
      <c r="C831" s="460"/>
      <c r="D831" s="460"/>
      <c r="E831" s="460"/>
      <c r="F831" s="456"/>
      <c r="G831" s="460"/>
      <c r="H831" s="460"/>
      <c r="I831" s="460"/>
      <c r="J831" s="459" t="s">
        <v>1038</v>
      </c>
    </row>
    <row r="833" spans="1:10">
      <c r="B833" s="453" t="s">
        <v>843</v>
      </c>
    </row>
    <row r="834" spans="1:10">
      <c r="C834" s="453" t="s">
        <v>781</v>
      </c>
      <c r="E834" s="466">
        <v>3.8102587461892048</v>
      </c>
      <c r="G834" s="453" t="s">
        <v>1037</v>
      </c>
    </row>
    <row r="835" spans="1:10">
      <c r="C835" s="453" t="s">
        <v>782</v>
      </c>
      <c r="E835" s="466">
        <v>21.057369474508398</v>
      </c>
      <c r="G835" s="453" t="s">
        <v>1036</v>
      </c>
    </row>
    <row r="836" spans="1:10">
      <c r="E836" s="457"/>
    </row>
    <row r="837" spans="1:10">
      <c r="E837" s="457"/>
    </row>
    <row r="844" spans="1:10">
      <c r="A844" s="460" t="s">
        <v>1035</v>
      </c>
      <c r="B844" s="460"/>
      <c r="C844" s="460"/>
      <c r="D844" s="460"/>
      <c r="E844" s="460"/>
      <c r="F844" s="456"/>
      <c r="G844" s="460"/>
      <c r="H844" s="460"/>
      <c r="I844" s="460"/>
      <c r="J844" s="459" t="s">
        <v>1034</v>
      </c>
    </row>
    <row r="846" spans="1:10">
      <c r="B846" s="453" t="s">
        <v>843</v>
      </c>
    </row>
    <row r="847" spans="1:10">
      <c r="C847" s="453" t="s">
        <v>781</v>
      </c>
      <c r="E847" s="466">
        <v>4.5999999999999996</v>
      </c>
      <c r="G847" s="453" t="s">
        <v>1033</v>
      </c>
    </row>
    <row r="848" spans="1:10">
      <c r="C848" s="453" t="s">
        <v>782</v>
      </c>
      <c r="E848" s="466">
        <v>20.9</v>
      </c>
      <c r="G848" s="453" t="s">
        <v>1032</v>
      </c>
    </row>
    <row r="849" spans="1:10">
      <c r="E849" s="457"/>
    </row>
    <row r="850" spans="1:10">
      <c r="E850" s="457"/>
    </row>
    <row r="857" spans="1:10">
      <c r="A857" s="460" t="s">
        <v>1031</v>
      </c>
      <c r="B857" s="460"/>
      <c r="C857" s="460"/>
      <c r="D857" s="460"/>
      <c r="E857" s="460"/>
      <c r="F857" s="456"/>
      <c r="G857" s="460"/>
      <c r="H857" s="460"/>
      <c r="I857" s="460"/>
      <c r="J857" s="459" t="s">
        <v>1028</v>
      </c>
    </row>
    <row r="859" spans="1:10">
      <c r="B859" s="453" t="s">
        <v>843</v>
      </c>
    </row>
    <row r="860" spans="1:10">
      <c r="C860" s="453" t="s">
        <v>781</v>
      </c>
      <c r="E860" s="466">
        <v>1.98</v>
      </c>
    </row>
    <row r="861" spans="1:10">
      <c r="C861" s="453" t="s">
        <v>782</v>
      </c>
      <c r="E861" s="466">
        <v>11.351391862955033</v>
      </c>
      <c r="G861" s="453" t="s">
        <v>1030</v>
      </c>
    </row>
    <row r="862" spans="1:10">
      <c r="E862" s="457"/>
    </row>
    <row r="863" spans="1:10">
      <c r="A863" s="460" t="s">
        <v>1029</v>
      </c>
      <c r="B863" s="460"/>
      <c r="C863" s="460"/>
      <c r="D863" s="460"/>
      <c r="E863" s="472"/>
      <c r="F863" s="456"/>
      <c r="G863" s="460"/>
      <c r="H863" s="460"/>
      <c r="I863" s="460"/>
      <c r="J863" s="459" t="s">
        <v>1028</v>
      </c>
    </row>
    <row r="872" spans="1:10">
      <c r="A872" s="460" t="s">
        <v>1027</v>
      </c>
      <c r="B872" s="460"/>
      <c r="C872" s="460"/>
      <c r="D872" s="460"/>
      <c r="E872" s="460"/>
      <c r="F872" s="456"/>
      <c r="G872" s="460"/>
      <c r="H872" s="460"/>
      <c r="I872" s="460"/>
      <c r="J872" s="459" t="s">
        <v>1026</v>
      </c>
    </row>
    <row r="874" spans="1:10">
      <c r="B874" s="453" t="s">
        <v>843</v>
      </c>
    </row>
    <row r="875" spans="1:10">
      <c r="C875" s="453" t="s">
        <v>781</v>
      </c>
      <c r="E875" s="466">
        <v>-2.2599999999999998</v>
      </c>
    </row>
    <row r="876" spans="1:10">
      <c r="C876" s="453" t="s">
        <v>782</v>
      </c>
      <c r="E876" s="466">
        <v>27.71</v>
      </c>
    </row>
    <row r="877" spans="1:10">
      <c r="E877" s="457"/>
    </row>
    <row r="878" spans="1:10">
      <c r="E878" s="457"/>
    </row>
    <row r="882" spans="1:10">
      <c r="A882" s="460" t="s">
        <v>1025</v>
      </c>
      <c r="B882" s="460"/>
      <c r="C882" s="460"/>
      <c r="D882" s="460"/>
      <c r="E882" s="460"/>
      <c r="F882" s="456"/>
      <c r="G882" s="460"/>
      <c r="H882" s="460"/>
      <c r="I882" s="460"/>
      <c r="J882" s="459" t="s">
        <v>1024</v>
      </c>
    </row>
    <row r="884" spans="1:10">
      <c r="B884" s="453" t="s">
        <v>843</v>
      </c>
    </row>
    <row r="885" spans="1:10">
      <c r="C885" s="453" t="s">
        <v>781</v>
      </c>
      <c r="E885" s="466">
        <v>-3.5885976822904366</v>
      </c>
      <c r="G885" s="453" t="s">
        <v>1023</v>
      </c>
    </row>
    <row r="886" spans="1:10">
      <c r="C886" s="453" t="s">
        <v>782</v>
      </c>
      <c r="E886" s="466">
        <v>9.4354324089223098</v>
      </c>
      <c r="G886" s="453" t="s">
        <v>1022</v>
      </c>
    </row>
    <row r="887" spans="1:10">
      <c r="E887" s="457"/>
    </row>
    <row r="888" spans="1:10">
      <c r="E888" s="457"/>
    </row>
    <row r="895" spans="1:10">
      <c r="A895" s="460" t="s">
        <v>1021</v>
      </c>
      <c r="B895" s="460"/>
      <c r="C895" s="460"/>
      <c r="D895" s="460"/>
      <c r="E895" s="460"/>
      <c r="F895" s="456"/>
      <c r="G895" s="460"/>
      <c r="H895" s="460"/>
      <c r="I895" s="460"/>
      <c r="J895" s="459" t="s">
        <v>1020</v>
      </c>
    </row>
    <row r="897" spans="1:10">
      <c r="B897" s="453" t="s">
        <v>816</v>
      </c>
    </row>
    <row r="898" spans="1:10">
      <c r="C898" s="453" t="s">
        <v>429</v>
      </c>
      <c r="E898" s="462">
        <v>0.2</v>
      </c>
    </row>
    <row r="899" spans="1:10">
      <c r="C899" s="453" t="s">
        <v>815</v>
      </c>
      <c r="E899" s="462">
        <v>0.02</v>
      </c>
    </row>
    <row r="900" spans="1:10">
      <c r="E900" s="457"/>
    </row>
    <row r="901" spans="1:10">
      <c r="E901" s="457"/>
    </row>
    <row r="905" spans="1:10">
      <c r="A905" s="460" t="s">
        <v>1019</v>
      </c>
      <c r="B905" s="460"/>
      <c r="C905" s="460"/>
      <c r="D905" s="460"/>
      <c r="E905" s="460"/>
      <c r="F905" s="456"/>
      <c r="G905" s="460"/>
      <c r="H905" s="460"/>
      <c r="I905" s="460"/>
      <c r="J905" s="459" t="s">
        <v>1018</v>
      </c>
    </row>
    <row r="907" spans="1:10">
      <c r="B907" s="453" t="s">
        <v>816</v>
      </c>
    </row>
    <row r="908" spans="1:10">
      <c r="C908" s="453" t="s">
        <v>429</v>
      </c>
      <c r="E908" s="462">
        <v>0.2</v>
      </c>
    </row>
    <row r="909" spans="1:10">
      <c r="C909" s="453" t="s">
        <v>815</v>
      </c>
      <c r="E909" s="462">
        <v>0.02</v>
      </c>
    </row>
    <row r="910" spans="1:10">
      <c r="E910" s="457"/>
    </row>
    <row r="911" spans="1:10">
      <c r="E911" s="457"/>
    </row>
    <row r="915" spans="1:10">
      <c r="A915" s="460" t="s">
        <v>1017</v>
      </c>
      <c r="B915" s="460"/>
      <c r="C915" s="460"/>
      <c r="D915" s="460"/>
      <c r="E915" s="460"/>
      <c r="F915" s="456"/>
      <c r="G915" s="460"/>
      <c r="H915" s="460"/>
      <c r="I915" s="460"/>
      <c r="J915" s="459" t="s">
        <v>1016</v>
      </c>
    </row>
    <row r="917" spans="1:10">
      <c r="B917" s="453" t="s">
        <v>816</v>
      </c>
    </row>
    <row r="918" spans="1:10">
      <c r="C918" s="453" t="s">
        <v>429</v>
      </c>
      <c r="E918" s="462">
        <v>0.1</v>
      </c>
    </row>
    <row r="919" spans="1:10">
      <c r="C919" s="453" t="s">
        <v>815</v>
      </c>
      <c r="E919" s="462">
        <v>0.01</v>
      </c>
    </row>
    <row r="920" spans="1:10">
      <c r="E920" s="457"/>
    </row>
    <row r="921" spans="1:10">
      <c r="E921" s="457"/>
    </row>
    <row r="925" spans="1:10">
      <c r="A925" s="460" t="s">
        <v>1015</v>
      </c>
      <c r="B925" s="460"/>
      <c r="C925" s="460"/>
      <c r="D925" s="460"/>
      <c r="E925" s="460"/>
      <c r="F925" s="456"/>
      <c r="G925" s="460"/>
      <c r="H925" s="460"/>
      <c r="I925" s="460"/>
      <c r="J925" s="459" t="s">
        <v>1014</v>
      </c>
    </row>
    <row r="927" spans="1:10">
      <c r="B927" s="453" t="s">
        <v>816</v>
      </c>
    </row>
    <row r="928" spans="1:10">
      <c r="C928" s="453" t="s">
        <v>429</v>
      </c>
      <c r="E928" s="462">
        <v>0.15</v>
      </c>
    </row>
    <row r="929" spans="1:10">
      <c r="C929" s="453" t="s">
        <v>815</v>
      </c>
      <c r="E929" s="462">
        <v>1.4999999999999999E-2</v>
      </c>
    </row>
    <row r="930" spans="1:10">
      <c r="E930" s="457"/>
    </row>
    <row r="931" spans="1:10">
      <c r="E931" s="457"/>
    </row>
    <row r="935" spans="1:10">
      <c r="A935" s="460" t="s">
        <v>1013</v>
      </c>
      <c r="B935" s="460"/>
      <c r="C935" s="460"/>
      <c r="D935" s="460"/>
      <c r="E935" s="460"/>
      <c r="F935" s="456"/>
      <c r="G935" s="460"/>
      <c r="H935" s="460"/>
      <c r="I935" s="460"/>
      <c r="J935" s="459" t="s">
        <v>1012</v>
      </c>
    </row>
    <row r="937" spans="1:10">
      <c r="B937" s="453" t="s">
        <v>816</v>
      </c>
    </row>
    <row r="938" spans="1:10">
      <c r="C938" s="453" t="s">
        <v>429</v>
      </c>
      <c r="E938" s="462">
        <v>0.2</v>
      </c>
    </row>
    <row r="939" spans="1:10">
      <c r="C939" s="453" t="s">
        <v>815</v>
      </c>
      <c r="E939" s="462">
        <v>0.02</v>
      </c>
    </row>
    <row r="940" spans="1:10">
      <c r="E940" s="457"/>
    </row>
    <row r="941" spans="1:10">
      <c r="E941" s="457"/>
    </row>
    <row r="945" spans="1:10">
      <c r="A945" s="460" t="s">
        <v>1011</v>
      </c>
      <c r="B945" s="460"/>
      <c r="C945" s="460"/>
      <c r="D945" s="460"/>
      <c r="E945" s="460"/>
      <c r="F945" s="456"/>
      <c r="G945" s="460"/>
      <c r="H945" s="460"/>
      <c r="I945" s="460"/>
      <c r="J945" s="459" t="s">
        <v>1010</v>
      </c>
    </row>
    <row r="947" spans="1:10">
      <c r="B947" s="453" t="s">
        <v>816</v>
      </c>
    </row>
    <row r="948" spans="1:10">
      <c r="C948" s="453" t="s">
        <v>429</v>
      </c>
      <c r="E948" s="462">
        <v>0.15</v>
      </c>
    </row>
    <row r="949" spans="1:10">
      <c r="C949" s="453" t="s">
        <v>815</v>
      </c>
      <c r="E949" s="462">
        <v>1.4999999999999999E-2</v>
      </c>
    </row>
    <row r="950" spans="1:10">
      <c r="E950" s="457"/>
    </row>
    <row r="951" spans="1:10">
      <c r="E951" s="457"/>
    </row>
    <row r="955" spans="1:10">
      <c r="A955" s="460" t="s">
        <v>831</v>
      </c>
    </row>
    <row r="957" spans="1:10">
      <c r="A957" s="460" t="s">
        <v>830</v>
      </c>
      <c r="B957" s="460"/>
      <c r="C957" s="460"/>
      <c r="D957" s="460"/>
      <c r="E957" s="460"/>
      <c r="F957" s="456"/>
      <c r="G957" s="460"/>
      <c r="H957" s="460"/>
      <c r="I957" s="460"/>
      <c r="J957" s="459" t="s">
        <v>829</v>
      </c>
    </row>
    <row r="959" spans="1:10">
      <c r="B959" s="453" t="s">
        <v>816</v>
      </c>
    </row>
    <row r="960" spans="1:10">
      <c r="C960" s="453" t="s">
        <v>429</v>
      </c>
      <c r="E960" s="461">
        <v>4.9083316512498865E-2</v>
      </c>
    </row>
    <row r="961" spans="1:10">
      <c r="C961" s="453" t="s">
        <v>815</v>
      </c>
      <c r="E961" s="461">
        <v>1.4999999999999999E-2</v>
      </c>
    </row>
    <row r="962" spans="1:10">
      <c r="E962" s="457"/>
    </row>
    <row r="963" spans="1:10">
      <c r="E963" s="457"/>
    </row>
    <row r="967" spans="1:10">
      <c r="A967" s="460" t="s">
        <v>828</v>
      </c>
      <c r="B967" s="460"/>
      <c r="C967" s="460"/>
      <c r="D967" s="460"/>
      <c r="E967" s="460"/>
      <c r="F967" s="456"/>
      <c r="G967" s="460"/>
      <c r="H967" s="460"/>
      <c r="I967" s="460"/>
      <c r="J967" s="459" t="s">
        <v>827</v>
      </c>
    </row>
    <row r="969" spans="1:10">
      <c r="B969" s="453" t="s">
        <v>816</v>
      </c>
    </row>
    <row r="970" spans="1:10">
      <c r="C970" s="453" t="s">
        <v>429</v>
      </c>
      <c r="E970" s="461">
        <v>9.1363297736570925E-2</v>
      </c>
    </row>
    <row r="971" spans="1:10">
      <c r="C971" s="453" t="s">
        <v>815</v>
      </c>
      <c r="E971" s="461">
        <v>0.02</v>
      </c>
    </row>
    <row r="972" spans="1:10">
      <c r="E972" s="457"/>
    </row>
    <row r="973" spans="1:10">
      <c r="E973" s="457"/>
    </row>
    <row r="977" spans="1:10">
      <c r="A977" s="460" t="s">
        <v>826</v>
      </c>
      <c r="B977" s="460"/>
      <c r="C977" s="460"/>
      <c r="D977" s="460"/>
      <c r="E977" s="460"/>
      <c r="F977" s="456"/>
      <c r="G977" s="460"/>
      <c r="H977" s="460"/>
      <c r="I977" s="460"/>
      <c r="J977" s="459" t="s">
        <v>825</v>
      </c>
    </row>
    <row r="979" spans="1:10">
      <c r="B979" s="453" t="s">
        <v>816</v>
      </c>
    </row>
    <row r="980" spans="1:10">
      <c r="C980" s="453" t="s">
        <v>429</v>
      </c>
      <c r="E980" s="461">
        <v>0.30675290302434066</v>
      </c>
    </row>
    <row r="981" spans="1:10">
      <c r="C981" s="453" t="s">
        <v>815</v>
      </c>
      <c r="E981" s="461">
        <v>5.0999999999999997E-2</v>
      </c>
    </row>
    <row r="982" spans="1:10">
      <c r="E982" s="457"/>
    </row>
    <row r="983" spans="1:10">
      <c r="E983" s="457"/>
    </row>
    <row r="987" spans="1:10">
      <c r="A987" s="460" t="s">
        <v>824</v>
      </c>
      <c r="B987" s="460"/>
      <c r="C987" s="460"/>
      <c r="D987" s="460"/>
      <c r="E987" s="460"/>
      <c r="F987" s="456"/>
      <c r="G987" s="460"/>
      <c r="H987" s="460"/>
      <c r="I987" s="460"/>
      <c r="J987" s="459" t="s">
        <v>823</v>
      </c>
    </row>
    <row r="989" spans="1:10">
      <c r="B989" s="453" t="s">
        <v>816</v>
      </c>
    </row>
    <row r="990" spans="1:10">
      <c r="C990" s="453" t="s">
        <v>429</v>
      </c>
      <c r="E990" s="461">
        <v>0.22973515272238387</v>
      </c>
    </row>
    <row r="991" spans="1:10">
      <c r="C991" s="453" t="s">
        <v>815</v>
      </c>
      <c r="E991" s="461">
        <v>3.3000000000000002E-2</v>
      </c>
    </row>
    <row r="992" spans="1:10">
      <c r="E992" s="457"/>
    </row>
    <row r="993" spans="1:10">
      <c r="E993" s="457"/>
    </row>
    <row r="997" spans="1:10">
      <c r="A997" s="460" t="s">
        <v>822</v>
      </c>
      <c r="B997" s="460"/>
      <c r="C997" s="460"/>
      <c r="D997" s="460"/>
      <c r="E997" s="460"/>
      <c r="F997" s="456"/>
      <c r="G997" s="460"/>
      <c r="H997" s="460"/>
      <c r="I997" s="460"/>
      <c r="J997" s="459" t="s">
        <v>821</v>
      </c>
    </row>
    <row r="999" spans="1:10">
      <c r="B999" s="453" t="s">
        <v>816</v>
      </c>
    </row>
    <row r="1000" spans="1:10">
      <c r="C1000" s="453" t="s">
        <v>429</v>
      </c>
      <c r="E1000" s="458">
        <v>7.5992771546960457E-3</v>
      </c>
    </row>
    <row r="1001" spans="1:10">
      <c r="C1001" s="453" t="s">
        <v>815</v>
      </c>
      <c r="E1001" s="458">
        <v>3.0000000000000001E-3</v>
      </c>
    </row>
    <row r="1002" spans="1:10">
      <c r="E1002" s="457"/>
    </row>
    <row r="1003" spans="1:10">
      <c r="E1003" s="457"/>
    </row>
    <row r="1007" spans="1:10">
      <c r="A1007" s="460" t="s">
        <v>820</v>
      </c>
      <c r="B1007" s="460"/>
      <c r="C1007" s="460"/>
      <c r="D1007" s="460"/>
      <c r="E1007" s="460"/>
      <c r="F1007" s="456"/>
      <c r="G1007" s="460"/>
      <c r="H1007" s="460"/>
      <c r="I1007" s="460"/>
      <c r="J1007" s="459" t="s">
        <v>819</v>
      </c>
    </row>
    <row r="1009" spans="1:10">
      <c r="B1009" s="453" t="s">
        <v>816</v>
      </c>
    </row>
    <row r="1010" spans="1:10">
      <c r="C1010" s="453" t="s">
        <v>429</v>
      </c>
      <c r="E1010" s="458">
        <v>4.1528147123543824E-3</v>
      </c>
    </row>
    <row r="1011" spans="1:10">
      <c r="C1011" s="453" t="s">
        <v>815</v>
      </c>
      <c r="E1011" s="458">
        <v>1E-3</v>
      </c>
    </row>
    <row r="1012" spans="1:10">
      <c r="E1012" s="457"/>
    </row>
    <row r="1013" spans="1:10">
      <c r="E1013" s="457"/>
    </row>
    <row r="1017" spans="1:10">
      <c r="A1017" s="460" t="s">
        <v>818</v>
      </c>
      <c r="B1017" s="460"/>
      <c r="C1017" s="460"/>
      <c r="D1017" s="460"/>
      <c r="E1017" s="460"/>
      <c r="F1017" s="456"/>
      <c r="G1017" s="460"/>
      <c r="H1017" s="460"/>
      <c r="I1017" s="460"/>
      <c r="J1017" s="459" t="s">
        <v>817</v>
      </c>
    </row>
    <row r="1019" spans="1:10">
      <c r="B1019" s="453" t="s">
        <v>816</v>
      </c>
    </row>
    <row r="1020" spans="1:10">
      <c r="C1020" s="453" t="s">
        <v>429</v>
      </c>
      <c r="E1020" s="458">
        <v>0.10329902063198657</v>
      </c>
    </row>
    <row r="1021" spans="1:10">
      <c r="C1021" s="453" t="s">
        <v>815</v>
      </c>
      <c r="E1021" s="458">
        <v>1.4999999999999999E-2</v>
      </c>
    </row>
    <row r="1022" spans="1:10">
      <c r="E1022" s="457"/>
    </row>
    <row r="1023" spans="1:10">
      <c r="E1023" s="457"/>
    </row>
    <row r="1027" spans="1:6">
      <c r="A1027" s="453" t="s">
        <v>814</v>
      </c>
    </row>
    <row r="1028" spans="1:6">
      <c r="F1028" s="456" t="s">
        <v>813</v>
      </c>
    </row>
    <row r="1087" spans="1:1">
      <c r="A1087" s="453" t="s">
        <v>812</v>
      </c>
    </row>
  </sheetData>
  <mergeCells count="1">
    <mergeCell ref="C516:I516"/>
  </mergeCells>
  <printOptions gridLinesSet="0"/>
  <pageMargins left="0.75" right="0.75" top="1" bottom="1" header="0.5" footer="0.5"/>
  <pageSetup orientation="portrait" r:id="rId1"/>
  <headerFooter alignWithMargins="0">
    <oddHeader>&amp;f</oddHeader>
    <oddFooter>Page &amp;p</oddFooter>
  </headerFooter>
  <rowBreaks count="29" manualBreakCount="29">
    <brk id="23" max="16383" man="1"/>
    <brk id="71" max="16383" man="1"/>
    <brk id="86" max="16383" man="1"/>
    <brk id="128" max="16383" man="1"/>
    <brk id="143" max="16383" man="1"/>
    <brk id="176" max="16383" man="1"/>
    <brk id="208" max="16383" man="1"/>
    <brk id="252" max="16383" man="1"/>
    <brk id="292" max="16383" man="1"/>
    <brk id="332" max="16383" man="1"/>
    <brk id="372" max="16383" man="1"/>
    <brk id="412" max="16383" man="1"/>
    <brk id="452" max="16383" man="1"/>
    <brk id="492" max="16383" man="1"/>
    <brk id="534" max="16383" man="1"/>
    <brk id="574" max="16383" man="1"/>
    <brk id="614" max="16383" man="1"/>
    <brk id="654" max="16383" man="1"/>
    <brk id="694" max="16383" man="1"/>
    <brk id="734" max="16383" man="1"/>
    <brk id="774" max="16383" man="1"/>
    <brk id="816" max="16383" man="1"/>
    <brk id="862" max="16383" man="1"/>
    <brk id="903" max="16383" man="1"/>
    <brk id="943" max="16383" man="1"/>
    <brk id="985" max="16383" man="1"/>
    <brk id="1027" max="16383" man="1"/>
    <brk id="1058" max="16383" man="1"/>
    <brk id="1087" max="16383" man="1"/>
  </rowBreaks>
  <colBreaks count="1" manualBreakCount="1">
    <brk id="10" max="1048575" man="1"/>
  </colBreaks>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7BCBC-3E9A-3F43-85E7-A81618327338}">
  <sheetPr>
    <tabColor theme="4" tint="-0.249977111117893"/>
  </sheetPr>
  <dimension ref="A1:U249"/>
  <sheetViews>
    <sheetView zoomScale="75" workbookViewId="0">
      <selection activeCell="B88" sqref="B88"/>
    </sheetView>
  </sheetViews>
  <sheetFormatPr baseColWidth="10" defaultColWidth="11.1640625" defaultRowHeight="16"/>
  <cols>
    <col min="1" max="1" width="32.6640625" style="3" bestFit="1" customWidth="1"/>
    <col min="2" max="2" width="18.33203125" style="3" bestFit="1" customWidth="1"/>
    <col min="3" max="3" width="20" style="3" bestFit="1" customWidth="1"/>
    <col min="4" max="4" width="20.6640625" style="3" customWidth="1"/>
    <col min="5" max="5" width="32.6640625" style="3" bestFit="1" customWidth="1"/>
    <col min="6" max="6" width="22.83203125" style="3" bestFit="1" customWidth="1"/>
    <col min="7" max="8" width="20.6640625" style="3" customWidth="1"/>
    <col min="9" max="9" width="27.5" style="3" bestFit="1" customWidth="1"/>
    <col min="10" max="12" width="20.6640625" style="3" customWidth="1"/>
    <col min="13" max="15" width="11.33203125" style="3" bestFit="1" customWidth="1"/>
    <col min="16" max="16" width="15.33203125" style="3" bestFit="1" customWidth="1"/>
    <col min="17" max="16384" width="11.1640625" style="3"/>
  </cols>
  <sheetData>
    <row r="1" spans="1:13" ht="25">
      <c r="A1" s="726" t="s">
        <v>1070</v>
      </c>
      <c r="B1" s="726"/>
      <c r="C1" s="726"/>
      <c r="D1" s="726"/>
      <c r="E1" s="726"/>
      <c r="F1" s="726"/>
      <c r="G1" s="726"/>
    </row>
    <row r="2" spans="1:13">
      <c r="A2" s="73"/>
      <c r="B2" s="73"/>
      <c r="C2" s="73"/>
      <c r="D2" s="73"/>
      <c r="E2" s="73"/>
      <c r="F2" s="73"/>
      <c r="G2" s="73"/>
      <c r="M2" s="477"/>
    </row>
    <row r="3" spans="1:13" ht="20">
      <c r="A3" s="734" t="s">
        <v>95</v>
      </c>
      <c r="B3" s="734"/>
      <c r="C3" s="734"/>
      <c r="D3" s="734"/>
      <c r="E3" s="734"/>
      <c r="F3" s="734"/>
      <c r="G3" s="734"/>
      <c r="M3" s="196"/>
    </row>
    <row r="4" spans="1:13">
      <c r="A4" s="93" t="s">
        <v>89</v>
      </c>
      <c r="B4" s="701" t="s">
        <v>1071</v>
      </c>
      <c r="C4" s="701"/>
      <c r="D4" s="76"/>
      <c r="E4" s="473" t="s">
        <v>102</v>
      </c>
      <c r="F4" s="474" t="s">
        <v>91</v>
      </c>
      <c r="G4" s="499" t="s">
        <v>1118</v>
      </c>
      <c r="M4" s="196"/>
    </row>
    <row r="5" spans="1:13">
      <c r="A5" s="11"/>
      <c r="B5" s="701"/>
      <c r="C5" s="701"/>
      <c r="D5" s="11"/>
      <c r="E5" s="475" t="s">
        <v>129</v>
      </c>
      <c r="F5" s="474" t="s">
        <v>90</v>
      </c>
      <c r="G5" s="515" t="s">
        <v>1195</v>
      </c>
      <c r="M5" s="196"/>
    </row>
    <row r="6" spans="1:13">
      <c r="A6" s="11"/>
      <c r="B6" s="81"/>
      <c r="C6" s="11"/>
      <c r="D6" s="11"/>
      <c r="E6" s="476"/>
      <c r="F6" s="474" t="s">
        <v>92</v>
      </c>
      <c r="G6" s="11"/>
      <c r="M6" s="196"/>
    </row>
    <row r="7" spans="1:13">
      <c r="B7" s="196"/>
      <c r="M7" s="196"/>
    </row>
    <row r="8" spans="1:13">
      <c r="A8" s="706" t="s">
        <v>1207</v>
      </c>
      <c r="B8" s="706"/>
      <c r="C8" s="706"/>
      <c r="D8" s="706"/>
      <c r="E8" s="706"/>
      <c r="F8" s="706"/>
      <c r="G8" s="706"/>
      <c r="M8" s="196"/>
    </row>
    <row r="9" spans="1:13">
      <c r="A9" s="84" t="s">
        <v>1212</v>
      </c>
      <c r="B9" s="84" t="s">
        <v>1213</v>
      </c>
      <c r="C9" s="84" t="s">
        <v>1092</v>
      </c>
      <c r="D9" s="11"/>
      <c r="E9" s="11"/>
      <c r="F9" s="11"/>
      <c r="G9" s="11"/>
      <c r="M9" s="196"/>
    </row>
    <row r="10" spans="1:13">
      <c r="A10" s="723" t="s">
        <v>1112</v>
      </c>
      <c r="B10" s="723"/>
      <c r="C10" s="723"/>
      <c r="D10" s="11"/>
      <c r="E10" s="11"/>
      <c r="F10" s="11"/>
      <c r="G10" s="11"/>
      <c r="M10" s="196"/>
    </row>
    <row r="11" spans="1:13">
      <c r="A11" s="84" t="s">
        <v>1075</v>
      </c>
      <c r="B11" s="80">
        <f>C33</f>
        <v>3.7399654138471239E-2</v>
      </c>
      <c r="C11" s="81">
        <v>0.1</v>
      </c>
      <c r="D11" s="11"/>
      <c r="E11" s="84" t="s">
        <v>1219</v>
      </c>
      <c r="F11" s="479">
        <f ca="1">SUMPRODUCT(B16:B19,C16:C19)</f>
        <v>0.11703710535789645</v>
      </c>
      <c r="G11" s="11"/>
      <c r="M11" s="196"/>
    </row>
    <row r="12" spans="1:13">
      <c r="A12" s="84" t="s">
        <v>1090</v>
      </c>
      <c r="B12" s="80">
        <f>B55</f>
        <v>4.9948162101235365E-2</v>
      </c>
      <c r="C12" s="81">
        <v>0.8</v>
      </c>
      <c r="D12" s="11"/>
      <c r="E12" s="84" t="s">
        <v>1214</v>
      </c>
      <c r="F12" s="501">
        <f>SUMPRODUCT(B11:B13,C11:C13)</f>
        <v>4.7740419139676409E-2</v>
      </c>
      <c r="G12" s="11"/>
      <c r="M12" s="196"/>
    </row>
    <row r="13" spans="1:13" ht="17" thickBot="1">
      <c r="A13" s="84" t="s">
        <v>1208</v>
      </c>
      <c r="B13" s="80">
        <f>B75</f>
        <v>4.0419240448409971E-2</v>
      </c>
      <c r="C13" s="81">
        <v>0.1</v>
      </c>
      <c r="D13" s="11"/>
      <c r="E13" s="84" t="s">
        <v>205</v>
      </c>
      <c r="F13" s="501">
        <f>'Tax Rate'!G18/100</f>
        <v>0.20816666666666667</v>
      </c>
      <c r="G13" s="11"/>
      <c r="M13" s="196"/>
    </row>
    <row r="14" spans="1:13" ht="17" thickBot="1">
      <c r="A14" s="11"/>
      <c r="B14" s="11"/>
      <c r="C14" s="11"/>
      <c r="D14" s="11"/>
      <c r="E14" s="520" t="s">
        <v>1215</v>
      </c>
      <c r="F14" s="521">
        <f ca="1">F11*F18+F12*F19*(1-F13)</f>
        <v>0.10249854928626491</v>
      </c>
      <c r="G14" s="11"/>
      <c r="M14" s="196"/>
    </row>
    <row r="15" spans="1:13">
      <c r="A15" s="723" t="s">
        <v>1113</v>
      </c>
      <c r="B15" s="723"/>
      <c r="C15" s="723"/>
      <c r="D15" s="11"/>
      <c r="E15" s="84"/>
      <c r="F15" s="11"/>
      <c r="G15" s="11"/>
      <c r="M15" s="196"/>
    </row>
    <row r="16" spans="1:13">
      <c r="A16" s="84" t="s">
        <v>1210</v>
      </c>
      <c r="B16" s="80">
        <f ca="1">B84</f>
        <v>5.4223809963488696E-2</v>
      </c>
      <c r="C16" s="81">
        <v>0.15</v>
      </c>
      <c r="D16" s="11"/>
      <c r="E16" s="84" t="s">
        <v>605</v>
      </c>
      <c r="F16" s="418">
        <f>'Multiples Valuation'!D22</f>
        <v>47129.599999999999</v>
      </c>
      <c r="G16" s="11"/>
      <c r="M16" s="196"/>
    </row>
    <row r="17" spans="1:13">
      <c r="A17" s="84" t="s">
        <v>1116</v>
      </c>
      <c r="B17" s="80">
        <f>B90</f>
        <v>0.13805200000000001</v>
      </c>
      <c r="C17" s="81">
        <v>0.6</v>
      </c>
      <c r="D17" s="11"/>
      <c r="E17" s="84" t="s">
        <v>1216</v>
      </c>
      <c r="F17" s="418">
        <f>'Multiples Valuation'!E22-'Multiples Valuation'!F22</f>
        <v>10591</v>
      </c>
      <c r="G17" s="11"/>
      <c r="M17" s="196"/>
    </row>
    <row r="18" spans="1:13">
      <c r="A18" s="84" t="s">
        <v>1211</v>
      </c>
      <c r="B18" s="80">
        <f ca="1">B95</f>
        <v>4.1141746824811538E-2</v>
      </c>
      <c r="C18" s="81">
        <v>0.05</v>
      </c>
      <c r="D18" s="11"/>
      <c r="E18" s="84" t="s">
        <v>1217</v>
      </c>
      <c r="F18" s="158">
        <f>F16/(F16+F17)</f>
        <v>0.81651264886366393</v>
      </c>
      <c r="G18" s="11"/>
      <c r="M18" s="196"/>
    </row>
    <row r="19" spans="1:13">
      <c r="A19" s="84" t="s">
        <v>1123</v>
      </c>
      <c r="B19" s="80">
        <f>B101</f>
        <v>0.12007623261066283</v>
      </c>
      <c r="C19" s="81">
        <v>0.2</v>
      </c>
      <c r="D19" s="11"/>
      <c r="E19" s="84" t="s">
        <v>1218</v>
      </c>
      <c r="F19" s="158">
        <f>1-F18</f>
        <v>0.18348735113633607</v>
      </c>
      <c r="G19" s="11"/>
      <c r="M19" s="196"/>
    </row>
    <row r="20" spans="1:13">
      <c r="A20" s="11"/>
      <c r="B20" s="80"/>
      <c r="C20" s="11"/>
      <c r="D20" s="11"/>
      <c r="E20" s="11"/>
      <c r="F20" s="11"/>
      <c r="G20" s="11"/>
      <c r="M20" s="196"/>
    </row>
    <row r="21" spans="1:13">
      <c r="B21" s="196"/>
      <c r="M21" s="196"/>
    </row>
    <row r="22" spans="1:13">
      <c r="B22" s="196"/>
      <c r="M22" s="196"/>
    </row>
    <row r="23" spans="1:13" ht="20">
      <c r="A23" s="674" t="s">
        <v>1112</v>
      </c>
      <c r="B23" s="674"/>
      <c r="C23" s="674"/>
      <c r="D23" s="674"/>
      <c r="E23" s="674"/>
      <c r="F23" s="674"/>
      <c r="G23" s="674"/>
      <c r="M23" s="196"/>
    </row>
    <row r="24" spans="1:13" ht="20">
      <c r="A24" s="498"/>
      <c r="B24" s="498"/>
      <c r="C24" s="498"/>
      <c r="D24" s="498"/>
      <c r="E24" s="498"/>
      <c r="F24" s="498"/>
      <c r="G24" s="498"/>
      <c r="M24" s="196"/>
    </row>
    <row r="25" spans="1:13" ht="20">
      <c r="A25" s="674" t="s">
        <v>1072</v>
      </c>
      <c r="B25" s="674"/>
      <c r="C25" s="674"/>
      <c r="D25" s="674"/>
      <c r="E25" s="674"/>
      <c r="F25" s="674"/>
      <c r="G25" s="674"/>
      <c r="M25" s="196"/>
    </row>
    <row r="26" spans="1:13">
      <c r="A26" s="11"/>
      <c r="B26" s="84">
        <v>2018</v>
      </c>
      <c r="C26" s="84">
        <v>2019</v>
      </c>
      <c r="D26" s="84">
        <v>2020</v>
      </c>
      <c r="E26" s="84">
        <v>2021</v>
      </c>
      <c r="F26" s="84">
        <v>2022</v>
      </c>
      <c r="G26" s="84"/>
      <c r="M26" s="477"/>
    </row>
    <row r="27" spans="1:13">
      <c r="A27" s="84" t="s">
        <v>356</v>
      </c>
      <c r="B27" s="11">
        <f>Finratios!B44</f>
        <v>9031</v>
      </c>
      <c r="C27" s="11">
        <f>Finratios!C44</f>
        <v>11597</v>
      </c>
      <c r="D27" s="11">
        <f>Finratios!D44</f>
        <v>10322</v>
      </c>
      <c r="E27" s="11">
        <f>Finratios!E44</f>
        <v>9843</v>
      </c>
      <c r="F27" s="11">
        <f>Finratios!F44</f>
        <v>10591</v>
      </c>
      <c r="G27" s="11"/>
      <c r="M27" s="196"/>
    </row>
    <row r="28" spans="1:13">
      <c r="A28" s="84" t="s">
        <v>1073</v>
      </c>
      <c r="B28" s="11">
        <f>'FULL Proforma_Revised &amp; DCF'!B41</f>
        <v>-340</v>
      </c>
      <c r="C28" s="11">
        <f>'FULL Proforma_Revised &amp; DCF'!C41</f>
        <v>-394</v>
      </c>
      <c r="D28" s="11">
        <f>'FULL Proforma_Revised &amp; DCF'!D41</f>
        <v>-445</v>
      </c>
      <c r="E28" s="11">
        <f>'FULL Proforma_Revised &amp; DCF'!E41</f>
        <v>-420</v>
      </c>
      <c r="F28" s="11">
        <f>'FULL Proforma_Revised &amp; DCF'!F41</f>
        <v>-403</v>
      </c>
      <c r="G28" s="11"/>
      <c r="M28" s="196"/>
    </row>
    <row r="29" spans="1:13">
      <c r="A29" s="84" t="s">
        <v>1074</v>
      </c>
      <c r="B29" s="11">
        <f>'FULL Proforma_Revised &amp; DCF'!B42</f>
        <v>22</v>
      </c>
      <c r="C29" s="11">
        <f>'FULL Proforma_Revised &amp; DCF'!C42</f>
        <v>26</v>
      </c>
      <c r="D29" s="11">
        <f>'FULL Proforma_Revised &amp; DCF'!D42</f>
        <v>27</v>
      </c>
      <c r="E29" s="11">
        <f>'FULL Proforma_Revised &amp; DCF'!E42</f>
        <v>28</v>
      </c>
      <c r="F29" s="11">
        <f>'FULL Proforma_Revised &amp; DCF'!F42</f>
        <v>26</v>
      </c>
      <c r="G29" s="11"/>
      <c r="M29" s="477"/>
    </row>
    <row r="30" spans="1:13">
      <c r="A30" s="84" t="s">
        <v>1075</v>
      </c>
      <c r="B30" s="11">
        <f>-B28-B29</f>
        <v>318</v>
      </c>
      <c r="C30" s="11">
        <f>-C28-C29</f>
        <v>368</v>
      </c>
      <c r="D30" s="11">
        <f>-D28-D29</f>
        <v>418</v>
      </c>
      <c r="E30" s="11">
        <f>-E28-E29</f>
        <v>392</v>
      </c>
      <c r="F30" s="11">
        <f>-F28-F29</f>
        <v>377</v>
      </c>
      <c r="G30" s="11"/>
      <c r="M30" s="196"/>
    </row>
    <row r="31" spans="1:13">
      <c r="A31" s="11"/>
      <c r="B31" s="11"/>
      <c r="C31" s="11"/>
      <c r="D31" s="11"/>
      <c r="E31" s="11"/>
      <c r="F31" s="11"/>
      <c r="G31" s="11"/>
      <c r="M31" s="196"/>
    </row>
    <row r="32" spans="1:13">
      <c r="A32" s="84" t="s">
        <v>1076</v>
      </c>
      <c r="B32" s="84"/>
      <c r="C32" s="482">
        <f>C30/AVERAGE(B27,C27)</f>
        <v>3.5679658716307933E-2</v>
      </c>
      <c r="D32" s="482">
        <f>D30/AVERAGE(C27,D27)</f>
        <v>3.8140426114330037E-2</v>
      </c>
      <c r="E32" s="482">
        <f>E30/AVERAGE(D27,E27)</f>
        <v>3.8879246218695762E-2</v>
      </c>
      <c r="F32" s="482">
        <f>F30/AVERAGE(E27,F27)</f>
        <v>3.6899285504551238E-2</v>
      </c>
      <c r="G32" s="11"/>
    </row>
    <row r="33" spans="1:21">
      <c r="A33" s="480" t="s">
        <v>1077</v>
      </c>
      <c r="B33" s="480"/>
      <c r="C33" s="481">
        <f>AVERAGE(C32:F32)</f>
        <v>3.7399654138471239E-2</v>
      </c>
      <c r="D33" s="11"/>
      <c r="E33" s="11"/>
      <c r="F33" s="11"/>
      <c r="G33" s="11"/>
      <c r="N33" s="196"/>
    </row>
    <row r="35" spans="1:21" ht="20">
      <c r="A35" s="674" t="s">
        <v>1078</v>
      </c>
      <c r="B35" s="674"/>
      <c r="C35" s="674"/>
      <c r="D35" s="674"/>
      <c r="E35" s="674"/>
      <c r="F35" s="674"/>
      <c r="G35" s="674"/>
      <c r="H35" s="674"/>
      <c r="I35" s="674"/>
      <c r="J35" s="674"/>
      <c r="K35" s="674"/>
      <c r="L35" s="674"/>
    </row>
    <row r="36" spans="1:21" ht="34">
      <c r="A36" s="483" t="s">
        <v>1079</v>
      </c>
      <c r="B36" s="483" t="s">
        <v>1080</v>
      </c>
      <c r="C36" s="483" t="s">
        <v>1081</v>
      </c>
      <c r="D36" s="484" t="s">
        <v>1082</v>
      </c>
      <c r="E36" s="484" t="s">
        <v>1083</v>
      </c>
      <c r="F36" s="484" t="s">
        <v>1084</v>
      </c>
      <c r="G36" s="483" t="s">
        <v>1085</v>
      </c>
      <c r="H36" s="485" t="s">
        <v>1086</v>
      </c>
      <c r="I36" s="491" t="s">
        <v>1087</v>
      </c>
      <c r="J36" s="492" t="s">
        <v>1091</v>
      </c>
      <c r="K36" s="493" t="s">
        <v>1090</v>
      </c>
      <c r="L36" s="493" t="s">
        <v>1092</v>
      </c>
      <c r="N36" s="35"/>
      <c r="O36" s="35"/>
      <c r="P36" s="35"/>
      <c r="Q36" s="35"/>
      <c r="R36" s="35"/>
      <c r="S36" s="35"/>
      <c r="T36" s="35"/>
      <c r="U36" s="35"/>
    </row>
    <row r="37" spans="1:21" ht="17">
      <c r="A37" s="486">
        <v>45261</v>
      </c>
      <c r="B37" s="487">
        <v>4.1500000000000004</v>
      </c>
      <c r="C37" s="486">
        <v>43417</v>
      </c>
      <c r="D37" s="488">
        <v>350</v>
      </c>
      <c r="E37" s="488">
        <v>350</v>
      </c>
      <c r="F37" s="487">
        <v>99.305999999999997</v>
      </c>
      <c r="G37" s="489" t="s">
        <v>1088</v>
      </c>
      <c r="H37" s="490" t="s">
        <v>1089</v>
      </c>
      <c r="I37" s="488">
        <v>100</v>
      </c>
      <c r="J37" s="447">
        <f t="shared" ref="J37:J53" si="0">YEARFRAC(A37,12/31/2022)-123</f>
        <v>0.91944444444445139</v>
      </c>
      <c r="K37" s="80">
        <f t="shared" ref="K37:K53" si="1">RATE(J37*2,B37/2,-F37,I37)*2</f>
        <v>4.9313106620778445E-2</v>
      </c>
      <c r="L37" s="421">
        <f>E37/SUM($E$37:$E$53)</f>
        <v>3.6458371310803449E-2</v>
      </c>
      <c r="N37" s="35"/>
      <c r="O37" s="35"/>
      <c r="P37" s="35"/>
      <c r="Q37" s="35"/>
      <c r="R37" s="35"/>
      <c r="S37" s="35"/>
      <c r="T37" s="35"/>
      <c r="U37" s="35"/>
    </row>
    <row r="38" spans="1:21" ht="17">
      <c r="A38" s="486">
        <v>45397</v>
      </c>
      <c r="B38" s="487">
        <v>3.6</v>
      </c>
      <c r="C38" s="486">
        <v>43530</v>
      </c>
      <c r="D38" s="488">
        <v>550</v>
      </c>
      <c r="E38" s="488">
        <v>550</v>
      </c>
      <c r="F38" s="487">
        <v>98.222999999999999</v>
      </c>
      <c r="G38" s="489" t="s">
        <v>1088</v>
      </c>
      <c r="H38" s="490" t="s">
        <v>1089</v>
      </c>
      <c r="I38" s="488">
        <v>100</v>
      </c>
      <c r="J38" s="447">
        <f t="shared" si="0"/>
        <v>1.2916666666666714</v>
      </c>
      <c r="K38" s="80">
        <f t="shared" si="1"/>
        <v>5.0382426550797624E-2</v>
      </c>
      <c r="L38" s="421">
        <f t="shared" ref="L38:L53" si="2">E38/SUM($E$37:$E$53)</f>
        <v>5.7291726345548279E-2</v>
      </c>
      <c r="N38" s="35"/>
      <c r="O38" s="35"/>
      <c r="P38" s="35"/>
      <c r="Q38" s="35"/>
      <c r="R38" s="35"/>
      <c r="S38" s="35"/>
      <c r="T38" s="35"/>
      <c r="U38" s="35"/>
    </row>
    <row r="39" spans="1:21" ht="17">
      <c r="A39" s="486">
        <v>45731</v>
      </c>
      <c r="B39" s="487">
        <v>3.75</v>
      </c>
      <c r="C39" s="486">
        <v>41890</v>
      </c>
      <c r="D39" s="488">
        <v>350</v>
      </c>
      <c r="E39" s="488">
        <v>32.159999999999997</v>
      </c>
      <c r="F39" s="487">
        <v>97.816999999999993</v>
      </c>
      <c r="G39" s="489" t="s">
        <v>1088</v>
      </c>
      <c r="H39" s="490" t="s">
        <v>1089</v>
      </c>
      <c r="I39" s="488">
        <v>100</v>
      </c>
      <c r="J39" s="447">
        <f t="shared" si="0"/>
        <v>2.2083333333333286</v>
      </c>
      <c r="K39" s="80">
        <f t="shared" si="1"/>
        <v>4.803701120148092E-2</v>
      </c>
      <c r="L39" s="421">
        <f t="shared" si="2"/>
        <v>3.350003489586968E-3</v>
      </c>
      <c r="N39" s="35"/>
      <c r="O39" s="35"/>
      <c r="P39" s="35"/>
      <c r="Q39" s="35"/>
      <c r="R39" s="35"/>
      <c r="S39" s="35"/>
      <c r="T39" s="35"/>
      <c r="U39" s="35"/>
    </row>
    <row r="40" spans="1:21" ht="17">
      <c r="A40" s="486">
        <v>45731</v>
      </c>
      <c r="B40" s="487">
        <v>3.75</v>
      </c>
      <c r="C40" s="486">
        <v>42713</v>
      </c>
      <c r="D40" s="488">
        <v>317.83</v>
      </c>
      <c r="E40" s="488">
        <v>317.83</v>
      </c>
      <c r="F40" s="487">
        <v>97.816999999999993</v>
      </c>
      <c r="G40" s="489" t="s">
        <v>1088</v>
      </c>
      <c r="H40" s="490" t="s">
        <v>1089</v>
      </c>
      <c r="I40" s="488">
        <v>100</v>
      </c>
      <c r="J40" s="447">
        <f t="shared" si="0"/>
        <v>2.2083333333333286</v>
      </c>
      <c r="K40" s="80">
        <f t="shared" si="1"/>
        <v>4.803701120148092E-2</v>
      </c>
      <c r="L40" s="421">
        <f t="shared" si="2"/>
        <v>3.310732615346474E-2</v>
      </c>
      <c r="N40" s="35"/>
      <c r="O40" s="35"/>
      <c r="P40" s="35"/>
      <c r="Q40" s="35"/>
      <c r="R40" s="35"/>
      <c r="S40" s="35"/>
      <c r="T40" s="35"/>
      <c r="U40" s="35"/>
    </row>
    <row r="41" spans="1:21" ht="17">
      <c r="A41" s="486">
        <v>45778</v>
      </c>
      <c r="B41" s="487">
        <v>5.75</v>
      </c>
      <c r="C41" s="486">
        <v>43935</v>
      </c>
      <c r="D41" s="488">
        <v>1600</v>
      </c>
      <c r="E41" s="488">
        <v>600</v>
      </c>
      <c r="F41" s="487">
        <v>101.446</v>
      </c>
      <c r="G41" s="489" t="s">
        <v>1088</v>
      </c>
      <c r="H41" s="490" t="s">
        <v>1089</v>
      </c>
      <c r="I41" s="488">
        <v>100</v>
      </c>
      <c r="J41" s="447">
        <f t="shared" si="0"/>
        <v>2.3361111111111086</v>
      </c>
      <c r="K41" s="80">
        <f t="shared" si="1"/>
        <v>5.0856972911491591E-2</v>
      </c>
      <c r="L41" s="421">
        <f t="shared" si="2"/>
        <v>6.250006510423449E-2</v>
      </c>
      <c r="N41" s="35"/>
      <c r="O41" s="35"/>
      <c r="P41" s="35"/>
      <c r="Q41" s="35"/>
      <c r="R41" s="35"/>
      <c r="S41" s="35"/>
      <c r="T41" s="35"/>
      <c r="U41" s="35"/>
    </row>
    <row r="42" spans="1:21" ht="17">
      <c r="A42" s="486">
        <v>45931</v>
      </c>
      <c r="B42" s="487">
        <v>3.75</v>
      </c>
      <c r="C42" s="486">
        <v>42256</v>
      </c>
      <c r="D42" s="488">
        <v>350</v>
      </c>
      <c r="E42" s="488">
        <v>350</v>
      </c>
      <c r="F42" s="487">
        <v>96.941000000000003</v>
      </c>
      <c r="G42" s="489" t="s">
        <v>1088</v>
      </c>
      <c r="H42" s="490" t="s">
        <v>1089</v>
      </c>
      <c r="I42" s="488">
        <v>100</v>
      </c>
      <c r="J42" s="447">
        <f t="shared" si="0"/>
        <v>2.75277777777778</v>
      </c>
      <c r="K42" s="80">
        <f t="shared" si="1"/>
        <v>4.952389726841102E-2</v>
      </c>
      <c r="L42" s="421">
        <f t="shared" si="2"/>
        <v>3.6458371310803449E-2</v>
      </c>
      <c r="N42" s="35"/>
      <c r="O42" s="35"/>
      <c r="P42" s="35"/>
      <c r="Q42" s="35"/>
      <c r="R42" s="35"/>
      <c r="S42" s="35"/>
      <c r="T42" s="35"/>
      <c r="U42" s="35"/>
    </row>
    <row r="43" spans="1:21" ht="17">
      <c r="A43" s="486">
        <v>46188</v>
      </c>
      <c r="B43" s="487">
        <v>3.125</v>
      </c>
      <c r="C43" s="486">
        <v>42528</v>
      </c>
      <c r="D43" s="488">
        <v>750</v>
      </c>
      <c r="E43" s="488">
        <v>750</v>
      </c>
      <c r="F43" s="487">
        <v>95.191000000000003</v>
      </c>
      <c r="G43" s="489" t="s">
        <v>1088</v>
      </c>
      <c r="H43" s="490" t="s">
        <v>1089</v>
      </c>
      <c r="I43" s="488">
        <v>100</v>
      </c>
      <c r="J43" s="447">
        <f t="shared" si="0"/>
        <v>3.4583333333333286</v>
      </c>
      <c r="K43" s="80">
        <f t="shared" si="1"/>
        <v>4.6463221283125446E-2</v>
      </c>
      <c r="L43" s="421">
        <f t="shared" si="2"/>
        <v>7.8125081380293102E-2</v>
      </c>
      <c r="N43" s="35"/>
      <c r="O43" s="35"/>
      <c r="P43" s="35"/>
      <c r="Q43" s="35"/>
      <c r="R43" s="35"/>
      <c r="S43" s="35"/>
      <c r="T43" s="35"/>
      <c r="U43" s="35"/>
    </row>
    <row r="44" spans="1:21" ht="17">
      <c r="A44" s="486">
        <v>46675</v>
      </c>
      <c r="B44" s="487">
        <v>5</v>
      </c>
      <c r="C44" s="486">
        <v>44810</v>
      </c>
      <c r="D44" s="488">
        <v>1000</v>
      </c>
      <c r="E44" s="488">
        <v>1000</v>
      </c>
      <c r="F44" s="487">
        <v>100.827</v>
      </c>
      <c r="G44" s="489" t="s">
        <v>1088</v>
      </c>
      <c r="H44" s="490" t="s">
        <v>1089</v>
      </c>
      <c r="I44" s="488">
        <v>100</v>
      </c>
      <c r="J44" s="447">
        <f t="shared" si="0"/>
        <v>4.7916666666666714</v>
      </c>
      <c r="K44" s="80">
        <f t="shared" si="1"/>
        <v>4.8047235565421946E-2</v>
      </c>
      <c r="L44" s="421">
        <f t="shared" si="2"/>
        <v>0.10416677517372414</v>
      </c>
      <c r="N44" s="35"/>
      <c r="O44" s="35"/>
      <c r="P44" s="35"/>
      <c r="Q44" s="35"/>
      <c r="R44" s="35"/>
      <c r="S44" s="35"/>
      <c r="T44" s="35"/>
      <c r="U44" s="35"/>
    </row>
    <row r="45" spans="1:21" ht="17">
      <c r="A45" s="486">
        <v>46858</v>
      </c>
      <c r="B45" s="487">
        <v>4</v>
      </c>
      <c r="C45" s="486">
        <v>43193</v>
      </c>
      <c r="D45" s="488">
        <v>450</v>
      </c>
      <c r="E45" s="488">
        <v>450</v>
      </c>
      <c r="F45" s="487">
        <v>96.998000000000005</v>
      </c>
      <c r="G45" s="489" t="s">
        <v>1088</v>
      </c>
      <c r="H45" s="490" t="s">
        <v>1089</v>
      </c>
      <c r="I45" s="488">
        <v>100</v>
      </c>
      <c r="J45" s="447">
        <f t="shared" si="0"/>
        <v>5.2916666666666572</v>
      </c>
      <c r="K45" s="80">
        <f t="shared" si="1"/>
        <v>4.6464373077569378E-2</v>
      </c>
      <c r="L45" s="421">
        <f t="shared" si="2"/>
        <v>4.6875048828175864E-2</v>
      </c>
      <c r="N45" s="35"/>
      <c r="O45" s="35"/>
      <c r="P45" s="35"/>
      <c r="Q45" s="35"/>
      <c r="R45" s="35"/>
      <c r="S45" s="35"/>
      <c r="T45" s="35"/>
      <c r="U45" s="35"/>
    </row>
    <row r="46" spans="1:21" ht="17">
      <c r="A46" s="486">
        <v>47088</v>
      </c>
      <c r="B46" s="487">
        <v>4.6500000000000004</v>
      </c>
      <c r="C46" s="486">
        <v>43417</v>
      </c>
      <c r="D46" s="488">
        <v>300</v>
      </c>
      <c r="E46" s="488">
        <v>300</v>
      </c>
      <c r="F46" s="487">
        <v>99.361999999999995</v>
      </c>
      <c r="G46" s="489" t="s">
        <v>1088</v>
      </c>
      <c r="H46" s="490" t="s">
        <v>1089</v>
      </c>
      <c r="I46" s="488">
        <v>100</v>
      </c>
      <c r="J46" s="447">
        <f t="shared" si="0"/>
        <v>5.9194444444444514</v>
      </c>
      <c r="K46" s="80">
        <f t="shared" si="1"/>
        <v>4.7750024349108508E-2</v>
      </c>
      <c r="L46" s="421">
        <f t="shared" si="2"/>
        <v>3.1250032552117245E-2</v>
      </c>
      <c r="N46" s="35"/>
      <c r="O46" s="35"/>
      <c r="P46" s="35"/>
      <c r="Q46" s="35"/>
      <c r="R46" s="35"/>
      <c r="S46" s="35"/>
      <c r="T46" s="35"/>
      <c r="U46" s="35"/>
    </row>
    <row r="47" spans="1:21" ht="17">
      <c r="A47" s="486">
        <v>47223</v>
      </c>
      <c r="B47" s="487">
        <v>4.9000000000000004</v>
      </c>
      <c r="C47" s="486">
        <v>45008</v>
      </c>
      <c r="D47" s="488">
        <v>800</v>
      </c>
      <c r="E47" s="488">
        <v>800</v>
      </c>
      <c r="F47" s="487">
        <v>99.445999999999998</v>
      </c>
      <c r="G47" s="489" t="s">
        <v>1088</v>
      </c>
      <c r="H47" s="490" t="s">
        <v>1089</v>
      </c>
      <c r="I47" s="488">
        <v>100</v>
      </c>
      <c r="J47" s="447">
        <f t="shared" si="0"/>
        <v>6.2916666666666572</v>
      </c>
      <c r="K47" s="80">
        <f t="shared" si="1"/>
        <v>5.0037273944457179E-2</v>
      </c>
      <c r="L47" s="421">
        <f t="shared" si="2"/>
        <v>8.3333420138979319E-2</v>
      </c>
      <c r="N47" s="35"/>
      <c r="O47" s="35"/>
      <c r="P47" s="35"/>
      <c r="Q47" s="35"/>
      <c r="R47" s="35"/>
      <c r="S47" s="35"/>
      <c r="T47" s="35"/>
      <c r="U47" s="35"/>
    </row>
    <row r="48" spans="1:21" ht="17">
      <c r="A48" s="486">
        <v>47649</v>
      </c>
      <c r="B48" s="487">
        <v>4.625</v>
      </c>
      <c r="C48" s="486">
        <v>43979</v>
      </c>
      <c r="D48" s="488">
        <v>1000</v>
      </c>
      <c r="E48" s="488">
        <v>1000</v>
      </c>
      <c r="F48" s="487">
        <v>96.866</v>
      </c>
      <c r="G48" s="489" t="s">
        <v>1088</v>
      </c>
      <c r="H48" s="490" t="s">
        <v>1089</v>
      </c>
      <c r="I48" s="488">
        <v>100</v>
      </c>
      <c r="J48" s="447">
        <f t="shared" si="0"/>
        <v>7.4583333333333428</v>
      </c>
      <c r="K48" s="80">
        <f t="shared" si="1"/>
        <v>5.1361182891314139E-2</v>
      </c>
      <c r="L48" s="421">
        <f t="shared" si="2"/>
        <v>0.10416677517372414</v>
      </c>
      <c r="N48" s="35"/>
      <c r="O48" s="35"/>
      <c r="P48" s="35"/>
      <c r="Q48" s="35"/>
      <c r="R48" s="35"/>
      <c r="S48" s="35"/>
      <c r="T48" s="35"/>
      <c r="U48" s="35"/>
    </row>
    <row r="49" spans="1:21" ht="17">
      <c r="A49" s="486">
        <v>47953</v>
      </c>
      <c r="B49" s="487">
        <v>2.85</v>
      </c>
      <c r="C49" s="486">
        <v>44258</v>
      </c>
      <c r="D49" s="488">
        <v>1100</v>
      </c>
      <c r="E49" s="488">
        <v>1100</v>
      </c>
      <c r="F49" s="487">
        <v>85.078999999999994</v>
      </c>
      <c r="G49" s="489" t="s">
        <v>1088</v>
      </c>
      <c r="H49" s="490" t="s">
        <v>1089</v>
      </c>
      <c r="I49" s="488">
        <v>100</v>
      </c>
      <c r="J49" s="447">
        <f t="shared" si="0"/>
        <v>8.2916666666666572</v>
      </c>
      <c r="K49" s="80">
        <f t="shared" si="1"/>
        <v>5.0772197358650968E-2</v>
      </c>
      <c r="L49" s="421">
        <f t="shared" si="2"/>
        <v>0.11458345269109656</v>
      </c>
      <c r="N49" s="35"/>
      <c r="O49" s="35"/>
      <c r="P49" s="35"/>
      <c r="Q49" s="35"/>
      <c r="R49" s="35"/>
      <c r="S49" s="35"/>
      <c r="T49" s="35"/>
      <c r="U49" s="35"/>
    </row>
    <row r="50" spans="1:21" ht="17">
      <c r="A50" s="486">
        <v>48502</v>
      </c>
      <c r="B50" s="487">
        <v>3.5</v>
      </c>
      <c r="C50" s="486">
        <v>44055</v>
      </c>
      <c r="D50" s="488">
        <v>1000</v>
      </c>
      <c r="E50" s="488">
        <v>1000</v>
      </c>
      <c r="F50" s="487">
        <v>87.174000000000007</v>
      </c>
      <c r="G50" s="489" t="s">
        <v>1088</v>
      </c>
      <c r="H50" s="490" t="s">
        <v>1089</v>
      </c>
      <c r="I50" s="488">
        <v>100</v>
      </c>
      <c r="J50" s="447">
        <f t="shared" si="0"/>
        <v>9.7916666666666572</v>
      </c>
      <c r="K50" s="80">
        <f t="shared" si="1"/>
        <v>5.187139105743193E-2</v>
      </c>
      <c r="L50" s="421">
        <f t="shared" si="2"/>
        <v>0.10416677517372414</v>
      </c>
      <c r="N50" s="35"/>
      <c r="O50" s="35"/>
      <c r="P50" s="35"/>
      <c r="Q50" s="35"/>
      <c r="R50" s="35"/>
      <c r="S50" s="35"/>
      <c r="T50" s="35"/>
      <c r="U50" s="35"/>
    </row>
    <row r="51" spans="1:21" ht="17">
      <c r="A51" s="486">
        <v>48867</v>
      </c>
      <c r="B51" s="487">
        <v>2.75</v>
      </c>
      <c r="C51" s="486">
        <v>44447</v>
      </c>
      <c r="D51" s="488">
        <v>700</v>
      </c>
      <c r="E51" s="488">
        <v>700</v>
      </c>
      <c r="F51" s="487">
        <v>81.078000000000003</v>
      </c>
      <c r="G51" s="489" t="s">
        <v>1088</v>
      </c>
      <c r="H51" s="490" t="s">
        <v>1089</v>
      </c>
      <c r="I51" s="488">
        <v>100</v>
      </c>
      <c r="J51" s="447">
        <f t="shared" si="0"/>
        <v>10.791666666666657</v>
      </c>
      <c r="K51" s="80">
        <f t="shared" si="1"/>
        <v>5.045326942938605E-2</v>
      </c>
      <c r="L51" s="421">
        <f t="shared" si="2"/>
        <v>7.2916742621606898E-2</v>
      </c>
      <c r="N51" s="35"/>
      <c r="O51" s="35"/>
      <c r="P51" s="35"/>
      <c r="Q51" s="35"/>
      <c r="R51" s="35"/>
      <c r="S51" s="35"/>
      <c r="T51" s="35"/>
      <c r="U51" s="35"/>
    </row>
    <row r="52" spans="1:21" ht="17">
      <c r="A52" s="486">
        <v>49218</v>
      </c>
      <c r="B52" s="487">
        <v>4.5</v>
      </c>
      <c r="C52" s="486">
        <v>41890</v>
      </c>
      <c r="D52" s="488">
        <v>300</v>
      </c>
      <c r="E52" s="488">
        <v>22.39</v>
      </c>
      <c r="F52" s="487">
        <v>89.257999999999996</v>
      </c>
      <c r="G52" s="489" t="s">
        <v>1088</v>
      </c>
      <c r="H52" s="490" t="s">
        <v>1089</v>
      </c>
      <c r="I52" s="488">
        <v>100</v>
      </c>
      <c r="J52" s="447">
        <f t="shared" si="0"/>
        <v>11.752777777777766</v>
      </c>
      <c r="K52" s="80">
        <f t="shared" si="1"/>
        <v>5.7713959706597547E-2</v>
      </c>
      <c r="L52" s="421">
        <f t="shared" si="2"/>
        <v>2.3322940961396834E-3</v>
      </c>
      <c r="N52" s="35"/>
      <c r="O52" s="35"/>
      <c r="P52" s="35"/>
      <c r="Q52" s="35"/>
      <c r="R52" s="35"/>
      <c r="S52" s="35"/>
      <c r="T52" s="35"/>
      <c r="U52" s="35"/>
    </row>
    <row r="53" spans="1:21" ht="17">
      <c r="A53" s="486">
        <v>49218</v>
      </c>
      <c r="B53" s="487">
        <v>4.5</v>
      </c>
      <c r="C53" s="486">
        <v>42713</v>
      </c>
      <c r="D53" s="488">
        <v>277.61</v>
      </c>
      <c r="E53" s="488">
        <v>277.61</v>
      </c>
      <c r="F53" s="487">
        <v>89.257999999999996</v>
      </c>
      <c r="G53" s="489" t="s">
        <v>1088</v>
      </c>
      <c r="H53" s="490" t="s">
        <v>1089</v>
      </c>
      <c r="I53" s="488">
        <v>100</v>
      </c>
      <c r="J53" s="447">
        <f t="shared" si="0"/>
        <v>11.752777777777766</v>
      </c>
      <c r="K53" s="80">
        <f t="shared" si="1"/>
        <v>5.7713959706597547E-2</v>
      </c>
      <c r="L53" s="421">
        <f t="shared" si="2"/>
        <v>2.891773845597756E-2</v>
      </c>
      <c r="N53" s="35"/>
      <c r="O53" s="35"/>
      <c r="P53" s="35"/>
      <c r="Q53" s="35"/>
      <c r="R53" s="35"/>
      <c r="S53" s="35"/>
      <c r="T53" s="35"/>
      <c r="U53" s="35"/>
    </row>
    <row r="54" spans="1:21">
      <c r="A54" s="494"/>
      <c r="B54" s="494"/>
      <c r="C54" s="494"/>
      <c r="D54" s="494"/>
      <c r="E54" s="494"/>
      <c r="F54" s="494"/>
      <c r="G54" s="494"/>
      <c r="H54" s="494"/>
      <c r="I54" s="494"/>
      <c r="J54" s="494"/>
      <c r="K54" s="494"/>
      <c r="L54" s="494"/>
      <c r="N54" s="35"/>
      <c r="O54" s="35"/>
      <c r="P54" s="35"/>
      <c r="Q54" s="35"/>
      <c r="R54" s="35"/>
      <c r="S54" s="35"/>
      <c r="T54" s="35"/>
      <c r="U54" s="35"/>
    </row>
    <row r="55" spans="1:21">
      <c r="A55" s="495" t="s">
        <v>1076</v>
      </c>
      <c r="B55" s="496">
        <f>SUMPRODUCT(K37:K53,L37:L53)</f>
        <v>4.9948162101235365E-2</v>
      </c>
      <c r="C55" s="494"/>
      <c r="D55" s="494"/>
      <c r="E55" s="494"/>
      <c r="F55" s="494"/>
      <c r="G55" s="494"/>
      <c r="H55" s="494"/>
      <c r="I55" s="494"/>
      <c r="J55" s="494"/>
      <c r="K55" s="494"/>
      <c r="L55" s="494"/>
    </row>
    <row r="57" spans="1:21" ht="20">
      <c r="A57" s="674" t="s">
        <v>1093</v>
      </c>
      <c r="B57" s="674"/>
      <c r="C57" s="674"/>
      <c r="D57" s="674"/>
      <c r="E57" s="674"/>
    </row>
    <row r="58" spans="1:21">
      <c r="A58" s="84"/>
      <c r="B58" s="84" t="s">
        <v>1094</v>
      </c>
      <c r="C58" s="84" t="s">
        <v>1095</v>
      </c>
      <c r="D58" s="84" t="s">
        <v>1092</v>
      </c>
      <c r="E58" s="84" t="s">
        <v>1096</v>
      </c>
    </row>
    <row r="59" spans="1:21">
      <c r="A59" s="84" t="s">
        <v>1097</v>
      </c>
      <c r="B59" s="81">
        <v>0.04</v>
      </c>
      <c r="C59" s="418">
        <v>348</v>
      </c>
      <c r="D59" s="479">
        <f>C59/$C$74</f>
        <v>3.9807824296499657E-2</v>
      </c>
      <c r="E59" s="479">
        <f>B59*D59</f>
        <v>1.5923129718599864E-3</v>
      </c>
    </row>
    <row r="60" spans="1:21">
      <c r="A60" s="84" t="s">
        <v>1098</v>
      </c>
      <c r="B60" s="80">
        <v>3.3000000000000002E-2</v>
      </c>
      <c r="C60" s="418">
        <v>747</v>
      </c>
      <c r="D60" s="479">
        <f t="shared" ref="D60:D73" si="3">C60/$C$74</f>
        <v>8.5449553877831166E-2</v>
      </c>
      <c r="E60" s="479">
        <f t="shared" ref="E60:E73" si="4">B60*D60</f>
        <v>2.8198352779684288E-3</v>
      </c>
    </row>
    <row r="61" spans="1:21">
      <c r="A61" s="84" t="s">
        <v>1099</v>
      </c>
      <c r="B61" s="80">
        <v>3.1E-2</v>
      </c>
      <c r="C61" s="418">
        <v>291</v>
      </c>
      <c r="D61" s="479">
        <f t="shared" si="3"/>
        <v>3.3287577213452296E-2</v>
      </c>
      <c r="E61" s="479">
        <f t="shared" si="4"/>
        <v>1.0319148936170212E-3</v>
      </c>
    </row>
    <row r="62" spans="1:21">
      <c r="A62" s="84" t="s">
        <v>1100</v>
      </c>
      <c r="B62" s="80">
        <v>2.8000000000000001E-2</v>
      </c>
      <c r="C62" s="418">
        <v>324</v>
      </c>
      <c r="D62" s="479">
        <f t="shared" si="3"/>
        <v>3.7062457103637612E-2</v>
      </c>
      <c r="E62" s="479">
        <f t="shared" si="4"/>
        <v>1.0377487989018531E-3</v>
      </c>
    </row>
    <row r="63" spans="1:21">
      <c r="A63" s="84" t="s">
        <v>1101</v>
      </c>
      <c r="B63" s="80">
        <v>4.1000000000000002E-2</v>
      </c>
      <c r="C63" s="418">
        <v>289</v>
      </c>
      <c r="D63" s="479">
        <f t="shared" si="3"/>
        <v>3.3058796614047127E-2</v>
      </c>
      <c r="E63" s="479">
        <f t="shared" si="4"/>
        <v>1.3554106611759322E-3</v>
      </c>
    </row>
    <row r="64" spans="1:21">
      <c r="A64" s="84" t="s">
        <v>1102</v>
      </c>
      <c r="B64" s="80">
        <v>4.2000000000000003E-2</v>
      </c>
      <c r="C64" s="418">
        <v>226</v>
      </c>
      <c r="D64" s="479">
        <f t="shared" si="3"/>
        <v>2.5852207732784259E-2</v>
      </c>
      <c r="E64" s="479">
        <f t="shared" si="4"/>
        <v>1.0857927247769389E-3</v>
      </c>
    </row>
    <row r="65" spans="1:12">
      <c r="A65" s="84" t="s">
        <v>1103</v>
      </c>
      <c r="B65" s="80">
        <v>4.3999999999999997E-2</v>
      </c>
      <c r="C65" s="418">
        <v>349</v>
      </c>
      <c r="D65" s="479">
        <f t="shared" si="3"/>
        <v>3.9922214596202245E-2</v>
      </c>
      <c r="E65" s="479">
        <f t="shared" si="4"/>
        <v>1.7565774422328986E-3</v>
      </c>
    </row>
    <row r="66" spans="1:12">
      <c r="A66" s="84" t="s">
        <v>1104</v>
      </c>
      <c r="B66" s="80">
        <v>4.8000000000000001E-2</v>
      </c>
      <c r="C66" s="418">
        <v>298</v>
      </c>
      <c r="D66" s="479">
        <f t="shared" si="3"/>
        <v>3.4088309311370399E-2</v>
      </c>
      <c r="E66" s="479">
        <f t="shared" si="4"/>
        <v>1.6362388469457793E-3</v>
      </c>
    </row>
    <row r="67" spans="1:12">
      <c r="A67" s="84" t="s">
        <v>1105</v>
      </c>
      <c r="B67" s="80">
        <v>3.9E-2</v>
      </c>
      <c r="C67" s="418">
        <v>531</v>
      </c>
      <c r="D67" s="479">
        <f t="shared" si="3"/>
        <v>6.0741249142072753E-2</v>
      </c>
      <c r="E67" s="479">
        <f t="shared" si="4"/>
        <v>2.3689087165408374E-3</v>
      </c>
    </row>
    <row r="68" spans="1:12">
      <c r="A68" s="84" t="s">
        <v>1106</v>
      </c>
      <c r="B68" s="81">
        <v>0.06</v>
      </c>
      <c r="C68" s="418">
        <v>596</v>
      </c>
      <c r="D68" s="479">
        <f t="shared" si="3"/>
        <v>6.8176618622740798E-2</v>
      </c>
      <c r="E68" s="479">
        <f t="shared" si="4"/>
        <v>4.0905971173644477E-3</v>
      </c>
    </row>
    <row r="69" spans="1:12">
      <c r="A69" s="84" t="s">
        <v>1107</v>
      </c>
      <c r="B69" s="80">
        <v>4.8000000000000001E-2</v>
      </c>
      <c r="C69" s="418">
        <v>988</v>
      </c>
      <c r="D69" s="479">
        <f t="shared" si="3"/>
        <v>0.1130176161061542</v>
      </c>
      <c r="E69" s="479">
        <f t="shared" si="4"/>
        <v>5.4248455730954012E-3</v>
      </c>
    </row>
    <row r="70" spans="1:12">
      <c r="A70" s="84" t="s">
        <v>1108</v>
      </c>
      <c r="B70" s="80">
        <v>3.6999999999999998E-2</v>
      </c>
      <c r="C70" s="418">
        <v>987</v>
      </c>
      <c r="D70" s="479">
        <f t="shared" si="3"/>
        <v>0.11290322580645161</v>
      </c>
      <c r="E70" s="479">
        <f t="shared" si="4"/>
        <v>4.1774193548387096E-3</v>
      </c>
    </row>
    <row r="71" spans="1:12">
      <c r="A71" s="84" t="s">
        <v>1109</v>
      </c>
      <c r="B71" s="81">
        <v>0.03</v>
      </c>
      <c r="C71" s="418">
        <v>1090</v>
      </c>
      <c r="D71" s="479">
        <f t="shared" si="3"/>
        <v>0.12468542667581789</v>
      </c>
      <c r="E71" s="479">
        <f t="shared" si="4"/>
        <v>3.7405628002745365E-3</v>
      </c>
    </row>
    <row r="72" spans="1:12">
      <c r="A72" s="84" t="s">
        <v>1110</v>
      </c>
      <c r="B72" s="80">
        <v>2.8000000000000001E-2</v>
      </c>
      <c r="C72" s="418">
        <v>694</v>
      </c>
      <c r="D72" s="479">
        <f t="shared" si="3"/>
        <v>7.9386867993594137E-2</v>
      </c>
      <c r="E72" s="479">
        <f t="shared" si="4"/>
        <v>2.2228323038206359E-3</v>
      </c>
    </row>
    <row r="73" spans="1:12">
      <c r="A73" s="84" t="s">
        <v>1111</v>
      </c>
      <c r="B73" s="80">
        <v>5.3999999999999999E-2</v>
      </c>
      <c r="C73" s="418">
        <v>984</v>
      </c>
      <c r="D73" s="479">
        <f t="shared" si="3"/>
        <v>0.11256005490734386</v>
      </c>
      <c r="E73" s="479">
        <f t="shared" si="4"/>
        <v>6.0782429649965681E-3</v>
      </c>
    </row>
    <row r="74" spans="1:12">
      <c r="A74" s="84" t="s">
        <v>692</v>
      </c>
      <c r="B74" s="11"/>
      <c r="C74" s="418">
        <f>SUM(C59:C73)</f>
        <v>8742</v>
      </c>
      <c r="D74" s="158">
        <f>SUM(D59:D73)</f>
        <v>1.0000000000000002</v>
      </c>
      <c r="E74" s="479">
        <f>SUM(E59:E73)</f>
        <v>4.0419240448409971E-2</v>
      </c>
    </row>
    <row r="75" spans="1:12">
      <c r="A75" s="480" t="s">
        <v>1076</v>
      </c>
      <c r="B75" s="481">
        <f>SUM(E59:E73)</f>
        <v>4.0419240448409971E-2</v>
      </c>
      <c r="C75" s="11"/>
      <c r="D75" s="11"/>
      <c r="E75" s="11"/>
    </row>
    <row r="78" spans="1:12" ht="20">
      <c r="A78" s="674" t="s">
        <v>1113</v>
      </c>
      <c r="B78" s="674"/>
      <c r="C78" s="674"/>
      <c r="D78" s="674"/>
      <c r="E78" s="674"/>
      <c r="F78" s="674"/>
      <c r="G78" s="674"/>
      <c r="H78" s="674"/>
      <c r="I78" s="674"/>
      <c r="J78" s="674"/>
      <c r="K78" s="674"/>
      <c r="L78" s="674"/>
    </row>
    <row r="80" spans="1:12" ht="20">
      <c r="A80" s="674" t="s">
        <v>1209</v>
      </c>
      <c r="B80" s="674"/>
      <c r="D80" s="706" t="s">
        <v>1173</v>
      </c>
      <c r="E80" s="706"/>
      <c r="F80" s="706"/>
      <c r="G80" s="706"/>
      <c r="I80" s="706" t="s">
        <v>1175</v>
      </c>
      <c r="J80" s="706"/>
      <c r="K80" s="706"/>
      <c r="L80" s="706"/>
    </row>
    <row r="81" spans="1:12">
      <c r="A81" s="84" t="s">
        <v>1114</v>
      </c>
      <c r="B81" s="447">
        <f ca="1">Finratios!H12</f>
        <v>1.8412313371368245</v>
      </c>
      <c r="D81" s="509" t="s">
        <v>1126</v>
      </c>
      <c r="E81" s="509" t="s">
        <v>1174</v>
      </c>
      <c r="F81" s="509" t="s">
        <v>1137</v>
      </c>
      <c r="G81" s="84" t="s">
        <v>349</v>
      </c>
      <c r="I81" s="509" t="s">
        <v>1126</v>
      </c>
      <c r="J81" s="509" t="s">
        <v>108</v>
      </c>
      <c r="K81" s="509" t="s">
        <v>40</v>
      </c>
      <c r="L81" s="84" t="s">
        <v>1191</v>
      </c>
    </row>
    <row r="82" spans="1:12">
      <c r="A82" s="84" t="s">
        <v>1115</v>
      </c>
      <c r="B82" s="447">
        <f>Finratios!F48</f>
        <v>148.90868878357028</v>
      </c>
      <c r="D82" s="504" t="s">
        <v>1138</v>
      </c>
      <c r="E82" s="510">
        <v>314</v>
      </c>
      <c r="F82" s="510">
        <v>-52</v>
      </c>
      <c r="G82" s="516">
        <f>-F82/E82</f>
        <v>0.16560509554140126</v>
      </c>
      <c r="H82" s="478"/>
      <c r="I82" s="510" t="s">
        <v>1127</v>
      </c>
      <c r="J82" s="511">
        <v>626</v>
      </c>
      <c r="K82" s="511" t="s">
        <v>1181</v>
      </c>
      <c r="L82" s="512">
        <f>J82/K82</f>
        <v>9.2140123638504559E-2</v>
      </c>
    </row>
    <row r="83" spans="1:12">
      <c r="A83" s="84" t="s">
        <v>1172</v>
      </c>
      <c r="B83" s="80">
        <f>E128</f>
        <v>4.1858975163197476E-2</v>
      </c>
      <c r="D83" s="504" t="s">
        <v>1139</v>
      </c>
      <c r="E83" s="510">
        <v>309.5</v>
      </c>
      <c r="F83" s="510">
        <v>-51</v>
      </c>
      <c r="G83" s="505">
        <f t="shared" ref="G83:G121" si="5">-F83/E83</f>
        <v>0.16478190630048464</v>
      </c>
      <c r="H83" s="478"/>
      <c r="I83" s="510" t="s">
        <v>1128</v>
      </c>
      <c r="J83" s="511">
        <v>753</v>
      </c>
      <c r="K83" s="511" t="s">
        <v>1182</v>
      </c>
      <c r="L83" s="512">
        <f t="shared" ref="L83:L91" si="6">J83/K83</f>
        <v>0.11020049758524807</v>
      </c>
    </row>
    <row r="84" spans="1:12">
      <c r="A84" s="480" t="s">
        <v>1113</v>
      </c>
      <c r="B84" s="481">
        <f ca="1">B81/B82+B83</f>
        <v>5.4223809963488696E-2</v>
      </c>
      <c r="D84" s="504" t="s">
        <v>1127</v>
      </c>
      <c r="E84" s="510">
        <v>307.5</v>
      </c>
      <c r="F84" s="510">
        <v>-52</v>
      </c>
      <c r="G84" s="516">
        <f t="shared" si="5"/>
        <v>0.16910569105691056</v>
      </c>
      <c r="H84" s="478"/>
      <c r="I84" s="510" t="s">
        <v>1129</v>
      </c>
      <c r="J84" s="511">
        <v>859</v>
      </c>
      <c r="K84" s="511" t="s">
        <v>1183</v>
      </c>
      <c r="L84" s="512">
        <f t="shared" si="6"/>
        <v>0.14123643538309766</v>
      </c>
    </row>
    <row r="85" spans="1:12">
      <c r="D85" s="504" t="s">
        <v>1140</v>
      </c>
      <c r="E85" s="510">
        <v>303.3</v>
      </c>
      <c r="F85" s="510">
        <v>-50</v>
      </c>
      <c r="G85" s="516">
        <f t="shared" si="5"/>
        <v>0.16485328058028353</v>
      </c>
      <c r="H85" s="478"/>
      <c r="I85" s="510" t="s">
        <v>1130</v>
      </c>
      <c r="J85" s="511">
        <v>808</v>
      </c>
      <c r="K85" s="511" t="s">
        <v>1184</v>
      </c>
      <c r="L85" s="512">
        <f t="shared" si="6"/>
        <v>3.3471416735708366E-2</v>
      </c>
    </row>
    <row r="86" spans="1:12" ht="20">
      <c r="A86" s="675" t="s">
        <v>1116</v>
      </c>
      <c r="B86" s="675"/>
      <c r="D86" s="504" t="s">
        <v>1141</v>
      </c>
      <c r="E86" s="510">
        <v>298.7</v>
      </c>
      <c r="F86" s="510">
        <v>-59</v>
      </c>
      <c r="G86" s="516">
        <f t="shared" si="5"/>
        <v>0.19752259792433882</v>
      </c>
      <c r="H86" s="478"/>
      <c r="I86" s="510" t="s">
        <v>1131</v>
      </c>
      <c r="J86" s="511" t="s">
        <v>1176</v>
      </c>
      <c r="K86" s="511" t="s">
        <v>1185</v>
      </c>
      <c r="L86" s="512">
        <f t="shared" si="6"/>
        <v>6.1184265704940032E-2</v>
      </c>
    </row>
    <row r="87" spans="1:12">
      <c r="A87" s="84" t="s">
        <v>1119</v>
      </c>
      <c r="B87" s="501">
        <v>4.4200000000000003E-2</v>
      </c>
      <c r="D87" s="504" t="s">
        <v>1142</v>
      </c>
      <c r="E87" s="510">
        <v>295.39999999999998</v>
      </c>
      <c r="F87" s="510">
        <v>-58</v>
      </c>
      <c r="G87" s="516">
        <f t="shared" si="5"/>
        <v>0.19634394041976982</v>
      </c>
      <c r="H87" s="478"/>
      <c r="I87" s="510" t="s">
        <v>1132</v>
      </c>
      <c r="J87" s="511" t="s">
        <v>1177</v>
      </c>
      <c r="K87" s="511" t="s">
        <v>1186</v>
      </c>
      <c r="L87" s="512">
        <f t="shared" si="6"/>
        <v>8.0477717758271436E-2</v>
      </c>
    </row>
    <row r="88" spans="1:12">
      <c r="A88" s="84" t="s">
        <v>1117</v>
      </c>
      <c r="B88" s="502">
        <v>1.58</v>
      </c>
      <c r="D88" s="504" t="s">
        <v>1128</v>
      </c>
      <c r="E88" s="510">
        <v>289</v>
      </c>
      <c r="F88" s="510">
        <v>-56</v>
      </c>
      <c r="G88" s="516">
        <f t="shared" si="5"/>
        <v>0.19377162629757785</v>
      </c>
      <c r="H88" s="478"/>
      <c r="I88" s="510" t="s">
        <v>1133</v>
      </c>
      <c r="J88" s="511" t="s">
        <v>1178</v>
      </c>
      <c r="K88" s="511" t="s">
        <v>1187</v>
      </c>
      <c r="L88" s="512">
        <f t="shared" si="6"/>
        <v>5.0816334677258393E-2</v>
      </c>
    </row>
    <row r="89" spans="1:12">
      <c r="A89" s="84" t="s">
        <v>1197</v>
      </c>
      <c r="B89" s="501">
        <v>5.9400000000000001E-2</v>
      </c>
      <c r="D89" s="504" t="s">
        <v>1143</v>
      </c>
      <c r="E89" s="510">
        <v>283.5</v>
      </c>
      <c r="F89" s="510">
        <v>-56</v>
      </c>
      <c r="G89" s="516">
        <f t="shared" si="5"/>
        <v>0.19753086419753085</v>
      </c>
      <c r="H89" s="478"/>
      <c r="I89" s="510" t="s">
        <v>1134</v>
      </c>
      <c r="J89" s="511">
        <v>-267</v>
      </c>
      <c r="K89" s="511" t="s">
        <v>1188</v>
      </c>
      <c r="L89" s="512">
        <f t="shared" si="6"/>
        <v>-1.0809278976559653E-2</v>
      </c>
    </row>
    <row r="90" spans="1:12">
      <c r="A90" s="480" t="s">
        <v>1113</v>
      </c>
      <c r="B90" s="503">
        <f>B87+B88*B89</f>
        <v>0.13805200000000001</v>
      </c>
      <c r="D90" s="504" t="s">
        <v>1144</v>
      </c>
      <c r="E90" s="510">
        <v>277.3</v>
      </c>
      <c r="F90" s="510">
        <v>-68</v>
      </c>
      <c r="G90" s="516">
        <f t="shared" si="5"/>
        <v>0.24522178146411827</v>
      </c>
      <c r="H90" s="478"/>
      <c r="I90" s="510" t="s">
        <v>1135</v>
      </c>
      <c r="J90" s="511" t="s">
        <v>1179</v>
      </c>
      <c r="K90" s="511" t="s">
        <v>1189</v>
      </c>
      <c r="L90" s="512">
        <f t="shared" si="6"/>
        <v>4.3008648690956053E-2</v>
      </c>
    </row>
    <row r="91" spans="1:12">
      <c r="D91" s="504" t="s">
        <v>1145</v>
      </c>
      <c r="E91" s="510">
        <v>267.3</v>
      </c>
      <c r="F91" s="510">
        <v>-65</v>
      </c>
      <c r="G91" s="516">
        <f t="shared" si="5"/>
        <v>0.24317246539468762</v>
      </c>
      <c r="H91" s="478"/>
      <c r="I91" s="510" t="s">
        <v>1136</v>
      </c>
      <c r="J91" s="511" t="s">
        <v>1180</v>
      </c>
      <c r="K91" s="511" t="s">
        <v>1190</v>
      </c>
      <c r="L91" s="512">
        <f t="shared" si="6"/>
        <v>9.5023171468869641E-2</v>
      </c>
    </row>
    <row r="92" spans="1:12" ht="21" thickBot="1">
      <c r="A92" s="674" t="s">
        <v>1121</v>
      </c>
      <c r="B92" s="674"/>
      <c r="D92" s="504" t="s">
        <v>1129</v>
      </c>
      <c r="E92" s="510">
        <v>262.39999999999998</v>
      </c>
      <c r="F92" s="510">
        <v>-64</v>
      </c>
      <c r="G92" s="516">
        <f t="shared" si="5"/>
        <v>0.24390243902439027</v>
      </c>
      <c r="H92" s="478"/>
      <c r="I92" s="251" t="s">
        <v>1192</v>
      </c>
      <c r="J92" s="252">
        <f>AVERAGE(L82:L87,L91)</f>
        <v>8.7676232610662819E-2</v>
      </c>
      <c r="K92" s="251"/>
      <c r="L92" s="251"/>
    </row>
    <row r="93" spans="1:12" ht="17" thickTop="1">
      <c r="A93" s="84" t="s">
        <v>1122</v>
      </c>
      <c r="B93" s="447">
        <f ca="1">Finratios!H11</f>
        <v>6.1263635739483018</v>
      </c>
      <c r="D93" s="504" t="s">
        <v>1146</v>
      </c>
      <c r="E93" s="510">
        <v>258.89999999999998</v>
      </c>
      <c r="F93" s="510">
        <v>-64</v>
      </c>
      <c r="G93" s="516">
        <f t="shared" si="5"/>
        <v>0.24719969100038627</v>
      </c>
      <c r="H93" s="478"/>
    </row>
    <row r="94" spans="1:12">
      <c r="A94" s="84" t="s">
        <v>1115</v>
      </c>
      <c r="B94" s="447">
        <f>B82</f>
        <v>148.90868878357028</v>
      </c>
      <c r="D94" s="504" t="s">
        <v>1147</v>
      </c>
      <c r="E94" s="510">
        <v>258</v>
      </c>
      <c r="F94" s="510">
        <v>-76</v>
      </c>
      <c r="G94" s="516">
        <f t="shared" si="5"/>
        <v>0.29457364341085274</v>
      </c>
      <c r="H94" s="478"/>
      <c r="I94" s="706" t="s">
        <v>1125</v>
      </c>
      <c r="J94" s="706"/>
    </row>
    <row r="95" spans="1:12">
      <c r="A95" s="480" t="s">
        <v>1113</v>
      </c>
      <c r="B95" s="500">
        <f ca="1">B93/B94</f>
        <v>4.1141746824811538E-2</v>
      </c>
      <c r="D95" s="504" t="s">
        <v>1148</v>
      </c>
      <c r="E95" s="510">
        <v>270.5</v>
      </c>
      <c r="F95" s="510">
        <v>-117</v>
      </c>
      <c r="G95" s="516">
        <f t="shared" si="5"/>
        <v>0.43253234750462105</v>
      </c>
      <c r="H95" s="478"/>
      <c r="I95" s="198" t="s">
        <v>565</v>
      </c>
      <c r="J95" s="198" t="s">
        <v>1193</v>
      </c>
    </row>
    <row r="96" spans="1:12">
      <c r="D96" s="504" t="s">
        <v>1130</v>
      </c>
      <c r="E96" s="510">
        <v>394</v>
      </c>
      <c r="F96" s="510">
        <v>-117</v>
      </c>
      <c r="G96" s="516">
        <f t="shared" si="5"/>
        <v>0.29695431472081218</v>
      </c>
      <c r="H96" s="478"/>
      <c r="I96" s="53">
        <v>2012</v>
      </c>
      <c r="J96" s="513">
        <v>5.0000000000000001E-4</v>
      </c>
    </row>
    <row r="97" spans="1:12" ht="20">
      <c r="A97" s="674" t="s">
        <v>1123</v>
      </c>
      <c r="B97" s="674"/>
      <c r="D97" s="504" t="s">
        <v>1149</v>
      </c>
      <c r="E97" s="510">
        <v>390</v>
      </c>
      <c r="F97" s="510">
        <v>-115</v>
      </c>
      <c r="G97" s="516">
        <f t="shared" si="5"/>
        <v>0.29487179487179488</v>
      </c>
      <c r="H97" s="478"/>
      <c r="I97" s="53">
        <v>2013</v>
      </c>
      <c r="J97" s="513">
        <v>6.9999999999999999E-4</v>
      </c>
    </row>
    <row r="98" spans="1:12">
      <c r="A98" s="11" t="s">
        <v>1119</v>
      </c>
      <c r="B98" s="80">
        <f>B87</f>
        <v>4.4200000000000003E-2</v>
      </c>
      <c r="D98" s="504" t="s">
        <v>1150</v>
      </c>
      <c r="E98" s="510">
        <v>383</v>
      </c>
      <c r="F98" s="510">
        <v>-125</v>
      </c>
      <c r="G98" s="516">
        <f t="shared" si="5"/>
        <v>0.32637075718015668</v>
      </c>
      <c r="H98" s="478"/>
      <c r="I98" s="53">
        <v>2014</v>
      </c>
      <c r="J98" s="513">
        <v>5.0000000000000001E-4</v>
      </c>
    </row>
    <row r="99" spans="1:12">
      <c r="A99" s="11" t="s">
        <v>1124</v>
      </c>
      <c r="B99" s="80">
        <f>J92</f>
        <v>8.7676232610662819E-2</v>
      </c>
      <c r="D99" s="504" t="s">
        <v>1151</v>
      </c>
      <c r="E99" s="510">
        <v>376.6</v>
      </c>
      <c r="F99" s="510">
        <v>-122</v>
      </c>
      <c r="G99" s="516">
        <f t="shared" si="5"/>
        <v>0.32395114179500795</v>
      </c>
      <c r="H99" s="478"/>
      <c r="I99" s="53">
        <v>2015</v>
      </c>
      <c r="J99" s="513">
        <v>2.0999999999999999E-3</v>
      </c>
    </row>
    <row r="100" spans="1:12">
      <c r="A100" s="11" t="s">
        <v>1125</v>
      </c>
      <c r="B100" s="80">
        <f>I108</f>
        <v>1.18E-2</v>
      </c>
      <c r="D100" s="504" t="s">
        <v>1131</v>
      </c>
      <c r="E100" s="510">
        <v>369.9</v>
      </c>
      <c r="F100" s="510">
        <v>-120</v>
      </c>
      <c r="G100" s="516">
        <f t="shared" si="5"/>
        <v>0.32441200324412006</v>
      </c>
      <c r="H100" s="478"/>
      <c r="I100" s="53">
        <v>2016</v>
      </c>
      <c r="J100" s="513">
        <v>5.1000000000000004E-3</v>
      </c>
    </row>
    <row r="101" spans="1:12">
      <c r="A101" s="480" t="s">
        <v>1113</v>
      </c>
      <c r="B101" s="481">
        <f>B98+B99-B100</f>
        <v>0.12007623261066283</v>
      </c>
      <c r="D101" s="504" t="s">
        <v>1152</v>
      </c>
      <c r="E101" s="510">
        <v>363.3</v>
      </c>
      <c r="F101" s="510">
        <v>-118</v>
      </c>
      <c r="G101" s="516">
        <f t="shared" si="5"/>
        <v>0.32480044040737682</v>
      </c>
      <c r="H101" s="478"/>
      <c r="I101" s="53">
        <v>2017</v>
      </c>
      <c r="J101" s="513">
        <v>1.3899999999999999E-2</v>
      </c>
    </row>
    <row r="102" spans="1:12">
      <c r="D102" s="504" t="s">
        <v>1153</v>
      </c>
      <c r="E102" s="510">
        <v>357.3</v>
      </c>
      <c r="F102" s="510">
        <v>-144</v>
      </c>
      <c r="G102" s="516">
        <f t="shared" si="5"/>
        <v>0.40302267002518888</v>
      </c>
      <c r="H102" s="478"/>
      <c r="I102" s="53">
        <v>2018</v>
      </c>
      <c r="J102" s="513">
        <v>2.3699999999999999E-2</v>
      </c>
    </row>
    <row r="103" spans="1:12">
      <c r="D103" s="504" t="s">
        <v>1154</v>
      </c>
      <c r="E103" s="510">
        <v>350.6</v>
      </c>
      <c r="F103" s="510">
        <v>-142</v>
      </c>
      <c r="G103" s="516">
        <f t="shared" si="5"/>
        <v>0.40501996577296062</v>
      </c>
      <c r="H103" s="478"/>
      <c r="I103" s="53">
        <v>2019</v>
      </c>
      <c r="J103" s="513">
        <v>1.55E-2</v>
      </c>
    </row>
    <row r="104" spans="1:12">
      <c r="D104" s="504" t="s">
        <v>1132</v>
      </c>
      <c r="E104" s="510">
        <v>345.7</v>
      </c>
      <c r="F104" s="510">
        <v>-139</v>
      </c>
      <c r="G104" s="516">
        <f t="shared" si="5"/>
        <v>0.40208273069135092</v>
      </c>
      <c r="H104" s="478"/>
      <c r="I104" s="53">
        <v>2020</v>
      </c>
      <c r="J104" s="513">
        <v>8.9999999999999998E-4</v>
      </c>
    </row>
    <row r="105" spans="1:12">
      <c r="D105" s="504" t="s">
        <v>1155</v>
      </c>
      <c r="E105" s="510">
        <v>342.8</v>
      </c>
      <c r="F105" s="510">
        <v>-139</v>
      </c>
      <c r="G105" s="516">
        <f t="shared" si="5"/>
        <v>0.4054842473745624</v>
      </c>
      <c r="H105" s="478"/>
      <c r="I105" s="53">
        <v>2021</v>
      </c>
      <c r="J105" s="513">
        <v>5.9999999999999995E-4</v>
      </c>
    </row>
    <row r="106" spans="1:12">
      <c r="D106" s="504" t="s">
        <v>1156</v>
      </c>
      <c r="E106" s="510">
        <v>336.4</v>
      </c>
      <c r="F106" s="510">
        <v>-159</v>
      </c>
      <c r="G106" s="516">
        <f t="shared" si="5"/>
        <v>0.47265160523186683</v>
      </c>
      <c r="H106" s="478"/>
      <c r="I106" s="53">
        <v>2022</v>
      </c>
      <c r="J106" s="513">
        <v>4.4200000000000003E-2</v>
      </c>
    </row>
    <row r="107" spans="1:12">
      <c r="D107" s="504" t="s">
        <v>1157</v>
      </c>
      <c r="E107" s="510">
        <v>332.5</v>
      </c>
      <c r="F107" s="510">
        <v>-157</v>
      </c>
      <c r="G107" s="516">
        <f t="shared" si="5"/>
        <v>0.47218045112781953</v>
      </c>
      <c r="H107" s="478"/>
      <c r="I107" s="86" t="s">
        <v>1194</v>
      </c>
      <c r="J107" s="497"/>
    </row>
    <row r="108" spans="1:12" ht="17" thickBot="1">
      <c r="D108" s="504" t="s">
        <v>1133</v>
      </c>
      <c r="E108" s="510">
        <v>330.4</v>
      </c>
      <c r="F108" s="510">
        <v>-157</v>
      </c>
      <c r="G108" s="516">
        <f t="shared" si="5"/>
        <v>0.47518159806295401</v>
      </c>
      <c r="H108" s="478"/>
      <c r="I108" s="514">
        <f>AVERAGE(J96:J103,J106)</f>
        <v>1.18E-2</v>
      </c>
      <c r="J108" s="497"/>
    </row>
    <row r="109" spans="1:12" ht="17" thickTop="1">
      <c r="D109" s="504" t="s">
        <v>1158</v>
      </c>
      <c r="E109" s="510">
        <v>327.39999999999998</v>
      </c>
      <c r="F109" s="510">
        <v>-156</v>
      </c>
      <c r="G109" s="516">
        <f t="shared" si="5"/>
        <v>0.4764813683567502</v>
      </c>
      <c r="H109" s="478"/>
    </row>
    <row r="110" spans="1:12">
      <c r="D110" s="504" t="s">
        <v>1159</v>
      </c>
      <c r="E110" s="510">
        <v>325.60000000000002</v>
      </c>
      <c r="F110" s="510">
        <v>0</v>
      </c>
      <c r="G110" s="516">
        <f t="shared" si="5"/>
        <v>0</v>
      </c>
      <c r="H110" s="478"/>
      <c r="I110" s="706" t="s">
        <v>1120</v>
      </c>
      <c r="J110" s="706"/>
      <c r="K110" s="706"/>
      <c r="L110" s="706"/>
    </row>
    <row r="111" spans="1:12">
      <c r="D111" s="504" t="s">
        <v>1160</v>
      </c>
      <c r="E111" s="510">
        <v>326.8</v>
      </c>
      <c r="F111" s="510">
        <v>0</v>
      </c>
      <c r="G111" s="516">
        <f t="shared" si="5"/>
        <v>0</v>
      </c>
      <c r="H111" s="478"/>
      <c r="I111" s="480" t="s">
        <v>1196</v>
      </c>
      <c r="J111" s="91">
        <v>1.58</v>
      </c>
      <c r="K111" s="11"/>
      <c r="L111" s="11"/>
    </row>
    <row r="112" spans="1:12">
      <c r="D112" s="504" t="s">
        <v>1134</v>
      </c>
      <c r="E112" s="510">
        <v>326.2</v>
      </c>
      <c r="F112" s="510">
        <v>0</v>
      </c>
      <c r="G112" s="516">
        <f t="shared" si="5"/>
        <v>0</v>
      </c>
      <c r="H112" s="478"/>
      <c r="I112" s="84" t="s">
        <v>1200</v>
      </c>
      <c r="J112" s="11"/>
      <c r="K112" s="11"/>
      <c r="L112" s="11"/>
    </row>
    <row r="113" spans="4:12">
      <c r="D113" s="504" t="s">
        <v>1161</v>
      </c>
      <c r="E113" s="510">
        <v>326.7</v>
      </c>
      <c r="F113" s="510">
        <v>0</v>
      </c>
      <c r="G113" s="516">
        <f t="shared" si="5"/>
        <v>0</v>
      </c>
      <c r="H113" s="478"/>
      <c r="I113" s="11"/>
      <c r="J113" s="11"/>
      <c r="K113" s="11" t="s">
        <v>1206</v>
      </c>
      <c r="L113" s="517">
        <f>VAR(K119:K249)</f>
        <v>1.742408497236389E-3</v>
      </c>
    </row>
    <row r="114" spans="4:12">
      <c r="D114" s="504" t="s">
        <v>1162</v>
      </c>
      <c r="E114" s="510">
        <v>329.1</v>
      </c>
      <c r="F114" s="510">
        <v>0</v>
      </c>
      <c r="G114" s="516">
        <f t="shared" si="5"/>
        <v>0</v>
      </c>
      <c r="H114" s="478"/>
      <c r="I114" s="11"/>
      <c r="J114" s="11"/>
      <c r="K114" s="11" t="s">
        <v>1205</v>
      </c>
      <c r="L114" s="517">
        <f>_xlfn.COVARIANCE.S(K119:K249,L119:L249)</f>
        <v>2.6208787182909108E-3</v>
      </c>
    </row>
    <row r="115" spans="4:12">
      <c r="D115" s="504" t="s">
        <v>1163</v>
      </c>
      <c r="E115" s="510">
        <v>329.3</v>
      </c>
      <c r="F115" s="510">
        <v>0</v>
      </c>
      <c r="G115" s="516">
        <f t="shared" si="5"/>
        <v>0</v>
      </c>
      <c r="H115" s="478"/>
      <c r="I115" s="480" t="s">
        <v>1203</v>
      </c>
      <c r="J115" s="518">
        <f>SLOPE(K119:K249,L119:L249)</f>
        <v>0.33375807395859747</v>
      </c>
      <c r="K115" s="480" t="s">
        <v>1204</v>
      </c>
      <c r="L115" s="519">
        <f>L113/L114</f>
        <v>0.66481843859322987</v>
      </c>
    </row>
    <row r="116" spans="4:12">
      <c r="D116" s="504" t="s">
        <v>1135</v>
      </c>
      <c r="E116" s="510">
        <v>329.8</v>
      </c>
      <c r="F116" s="510">
        <v>0</v>
      </c>
      <c r="G116" s="516">
        <f t="shared" si="5"/>
        <v>0</v>
      </c>
      <c r="H116" s="478"/>
      <c r="I116" s="11"/>
      <c r="J116" s="11"/>
      <c r="K116" s="11"/>
      <c r="L116" s="11"/>
    </row>
    <row r="117" spans="4:12">
      <c r="D117" s="504" t="s">
        <v>1164</v>
      </c>
      <c r="E117" s="510">
        <v>330</v>
      </c>
      <c r="F117" s="510">
        <v>0</v>
      </c>
      <c r="G117" s="516">
        <f t="shared" si="5"/>
        <v>0</v>
      </c>
      <c r="H117" s="478"/>
      <c r="I117" s="84" t="s">
        <v>1198</v>
      </c>
      <c r="J117" s="84" t="s">
        <v>1199</v>
      </c>
      <c r="K117" s="84" t="s">
        <v>1201</v>
      </c>
      <c r="L117" s="84" t="s">
        <v>1202</v>
      </c>
    </row>
    <row r="118" spans="4:12">
      <c r="D118" s="504" t="s">
        <v>1165</v>
      </c>
      <c r="E118" s="510">
        <v>329.5</v>
      </c>
      <c r="F118" s="510">
        <v>-98</v>
      </c>
      <c r="G118" s="516">
        <f t="shared" si="5"/>
        <v>0.29742033383915023</v>
      </c>
      <c r="H118" s="478"/>
      <c r="I118" s="447">
        <v>1312.41003417968</v>
      </c>
      <c r="J118" s="447">
        <v>30.530782699584901</v>
      </c>
      <c r="K118" s="11" t="s">
        <v>359</v>
      </c>
      <c r="L118" s="11" t="s">
        <v>359</v>
      </c>
    </row>
    <row r="119" spans="4:12">
      <c r="D119" s="504" t="s">
        <v>1166</v>
      </c>
      <c r="E119" s="510">
        <v>325.7</v>
      </c>
      <c r="F119" s="510">
        <v>-97</v>
      </c>
      <c r="G119" s="516">
        <f t="shared" si="5"/>
        <v>0.29782007982806263</v>
      </c>
      <c r="H119" s="478"/>
      <c r="I119" s="447">
        <v>1365.68005371093</v>
      </c>
      <c r="J119" s="447">
        <v>31.266357421875</v>
      </c>
      <c r="K119" s="479">
        <f>LN(I119/I118)</f>
        <v>3.9787344672044776E-2</v>
      </c>
      <c r="L119" s="479">
        <f>LN(J119/J118)</f>
        <v>2.3807233253938843E-2</v>
      </c>
    </row>
    <row r="120" spans="4:12">
      <c r="D120" s="504" t="s">
        <v>1136</v>
      </c>
      <c r="E120" s="510">
        <v>317.89999999999998</v>
      </c>
      <c r="F120" s="510">
        <v>-126</v>
      </c>
      <c r="G120" s="516">
        <f t="shared" si="5"/>
        <v>0.39635105379050017</v>
      </c>
      <c r="H120" s="478"/>
      <c r="I120" s="447">
        <v>1408.46997070312</v>
      </c>
      <c r="J120" s="447">
        <v>33.641994476318303</v>
      </c>
      <c r="K120" s="479">
        <f t="shared" ref="K120:K183" si="7">LN(I120/I119)</f>
        <v>3.0851475632998081E-2</v>
      </c>
      <c r="L120" s="479">
        <f t="shared" ref="L120:L183" si="8">LN(J120/J119)</f>
        <v>7.3232445442737507E-2</v>
      </c>
    </row>
    <row r="121" spans="4:12">
      <c r="D121" s="504" t="s">
        <v>1167</v>
      </c>
      <c r="E121" s="510">
        <v>311</v>
      </c>
      <c r="F121" s="510">
        <v>-124</v>
      </c>
      <c r="G121" s="516">
        <f t="shared" si="5"/>
        <v>0.3987138263665595</v>
      </c>
      <c r="I121" s="447">
        <v>1397.91003417968</v>
      </c>
      <c r="J121" s="447">
        <v>34.744140625</v>
      </c>
      <c r="K121" s="479">
        <f t="shared" si="7"/>
        <v>-7.5256995449905564E-3</v>
      </c>
      <c r="L121" s="479">
        <f t="shared" si="8"/>
        <v>3.2235820506236135E-2</v>
      </c>
    </row>
    <row r="122" spans="4:12">
      <c r="D122" s="86" t="s">
        <v>1168</v>
      </c>
      <c r="E122" s="86"/>
      <c r="F122" s="497"/>
      <c r="G122" s="497"/>
      <c r="I122" s="447">
        <v>1310.32995605468</v>
      </c>
      <c r="J122" s="447">
        <v>34.406398773193303</v>
      </c>
      <c r="K122" s="479">
        <f t="shared" si="7"/>
        <v>-6.4699308158625082E-2</v>
      </c>
      <c r="L122" s="479">
        <f t="shared" si="8"/>
        <v>-9.7683847556396357E-3</v>
      </c>
    </row>
    <row r="123" spans="4:12">
      <c r="D123" s="86" t="s">
        <v>1169</v>
      </c>
      <c r="E123" s="506">
        <f>(G121/G82)^(1/39)-1</f>
        <v>2.2784875988983488E-2</v>
      </c>
      <c r="F123" s="497"/>
      <c r="G123" s="497"/>
      <c r="I123" s="447">
        <v>1362.16003417968</v>
      </c>
      <c r="J123" s="447">
        <v>34.958320617675703</v>
      </c>
      <c r="K123" s="479">
        <f t="shared" si="7"/>
        <v>3.8792719873700157E-2</v>
      </c>
      <c r="L123" s="479">
        <f t="shared" si="8"/>
        <v>1.5913954451547575E-2</v>
      </c>
    </row>
    <row r="124" spans="4:12">
      <c r="D124" s="86" t="s">
        <v>1170</v>
      </c>
      <c r="E124" s="506">
        <f>(1+E123)^4-1</f>
        <v>9.4301992042030047E-2</v>
      </c>
      <c r="F124" s="497"/>
      <c r="G124" s="497"/>
      <c r="I124" s="447">
        <v>1379.31994628906</v>
      </c>
      <c r="J124" s="447">
        <v>32.479133605957003</v>
      </c>
      <c r="K124" s="479">
        <f t="shared" si="7"/>
        <v>1.2518884940286449E-2</v>
      </c>
      <c r="L124" s="479">
        <f t="shared" si="8"/>
        <v>-7.3558672137410672E-2</v>
      </c>
    </row>
    <row r="125" spans="4:12">
      <c r="D125" s="86"/>
      <c r="E125" s="506"/>
      <c r="F125" s="497"/>
      <c r="G125" s="497"/>
      <c r="I125" s="447">
        <v>1406.57995605468</v>
      </c>
      <c r="J125" s="447">
        <v>33.6028022766113</v>
      </c>
      <c r="K125" s="479">
        <f t="shared" si="7"/>
        <v>1.9570609701867608E-2</v>
      </c>
      <c r="L125" s="479">
        <f t="shared" si="8"/>
        <v>3.4011624336843835E-2</v>
      </c>
    </row>
    <row r="126" spans="4:12">
      <c r="D126" s="86" t="s">
        <v>1171</v>
      </c>
      <c r="E126" s="506"/>
      <c r="F126" s="497"/>
      <c r="G126" s="497"/>
      <c r="I126" s="447">
        <v>1440.67004394531</v>
      </c>
      <c r="J126" s="447">
        <v>34.990287780761697</v>
      </c>
      <c r="K126" s="479">
        <f t="shared" si="7"/>
        <v>2.3947118796258066E-2</v>
      </c>
      <c r="L126" s="479">
        <f t="shared" si="8"/>
        <v>4.0461066422050579E-2</v>
      </c>
    </row>
    <row r="127" spans="4:12">
      <c r="D127" s="86" t="s">
        <v>1169</v>
      </c>
      <c r="E127" s="506">
        <f>(G121/G101)^(1/20)-1</f>
        <v>1.0304376586460329E-2</v>
      </c>
      <c r="F127" s="497"/>
      <c r="G127" s="497"/>
      <c r="I127" s="447">
        <v>1412.16003417968</v>
      </c>
      <c r="J127" s="447">
        <v>32.645660400390597</v>
      </c>
      <c r="K127" s="479">
        <f t="shared" si="7"/>
        <v>-1.9987842358053832E-2</v>
      </c>
      <c r="L127" s="479">
        <f t="shared" si="8"/>
        <v>-6.9358596812992376E-2</v>
      </c>
    </row>
    <row r="128" spans="4:12" ht="17" thickBot="1">
      <c r="D128" s="251" t="s">
        <v>1170</v>
      </c>
      <c r="E128" s="507">
        <f>(1+E127)^4-1</f>
        <v>4.1858975163197476E-2</v>
      </c>
      <c r="F128" s="508"/>
      <c r="G128" s="508"/>
      <c r="I128" s="447">
        <v>1416.18005371093</v>
      </c>
      <c r="J128" s="447">
        <v>32.475635528564403</v>
      </c>
      <c r="K128" s="479">
        <f t="shared" si="7"/>
        <v>2.8426724604567314E-3</v>
      </c>
      <c r="L128" s="479">
        <f t="shared" si="8"/>
        <v>-5.2218020462489571E-3</v>
      </c>
    </row>
    <row r="129" spans="9:12" ht="17" thickTop="1">
      <c r="I129" s="447">
        <v>1426.18994140625</v>
      </c>
      <c r="J129" s="447">
        <v>33.475395202636697</v>
      </c>
      <c r="K129" s="479">
        <f t="shared" si="7"/>
        <v>7.0433681007187002E-3</v>
      </c>
      <c r="L129" s="479">
        <f t="shared" si="8"/>
        <v>3.0320565267643745E-2</v>
      </c>
    </row>
    <row r="130" spans="9:12">
      <c r="I130" s="447">
        <v>1498.10998535156</v>
      </c>
      <c r="J130" s="447">
        <v>35.909465789794901</v>
      </c>
      <c r="K130" s="479">
        <f t="shared" si="7"/>
        <v>4.9197791998744425E-2</v>
      </c>
      <c r="L130" s="479">
        <f t="shared" si="8"/>
        <v>7.0190234352509234E-2</v>
      </c>
    </row>
    <row r="131" spans="9:12">
      <c r="I131" s="447">
        <v>1514.68005371093</v>
      </c>
      <c r="J131" s="447">
        <v>35.433437347412102</v>
      </c>
      <c r="K131" s="479">
        <f t="shared" si="7"/>
        <v>1.0999927126351169E-2</v>
      </c>
      <c r="L131" s="479">
        <f t="shared" si="8"/>
        <v>-1.3344999601880301E-2</v>
      </c>
    </row>
    <row r="132" spans="9:12">
      <c r="I132" s="447">
        <v>1569.18994140625</v>
      </c>
      <c r="J132" s="447">
        <v>38.058799743652301</v>
      </c>
      <c r="K132" s="479">
        <f t="shared" si="7"/>
        <v>3.535529432970981E-2</v>
      </c>
      <c r="L132" s="479">
        <f t="shared" si="8"/>
        <v>7.1476393308717204E-2</v>
      </c>
    </row>
    <row r="133" spans="9:12">
      <c r="I133" s="447">
        <v>1597.56994628906</v>
      </c>
      <c r="J133" s="447">
        <v>38.806819915771399</v>
      </c>
      <c r="K133" s="479">
        <f t="shared" si="7"/>
        <v>1.7924165836650761E-2</v>
      </c>
      <c r="L133" s="479">
        <f t="shared" si="8"/>
        <v>1.9463676737445056E-2</v>
      </c>
    </row>
    <row r="134" spans="9:12">
      <c r="I134" s="447">
        <v>1630.73999023437</v>
      </c>
      <c r="J134" s="447">
        <v>37.860527038574197</v>
      </c>
      <c r="K134" s="479">
        <f t="shared" si="7"/>
        <v>2.055020238351004E-2</v>
      </c>
      <c r="L134" s="479">
        <f t="shared" si="8"/>
        <v>-2.4686935801025271E-2</v>
      </c>
    </row>
    <row r="135" spans="9:12">
      <c r="I135" s="447">
        <v>1606.28002929687</v>
      </c>
      <c r="J135" s="447">
        <v>36.525325775146399</v>
      </c>
      <c r="K135" s="479">
        <f t="shared" si="7"/>
        <v>-1.5112928770280188E-2</v>
      </c>
      <c r="L135" s="479">
        <f t="shared" si="8"/>
        <v>-3.5903189572924842E-2</v>
      </c>
    </row>
    <row r="136" spans="9:12">
      <c r="I136" s="447">
        <v>1685.72998046875</v>
      </c>
      <c r="J136" s="447">
        <v>37.611053466796797</v>
      </c>
      <c r="K136" s="479">
        <f t="shared" si="7"/>
        <v>4.8277728051791001E-2</v>
      </c>
      <c r="L136" s="479">
        <f t="shared" si="8"/>
        <v>2.9292105539980951E-2</v>
      </c>
    </row>
    <row r="137" spans="9:12">
      <c r="I137" s="447">
        <v>1632.96997070312</v>
      </c>
      <c r="J137" s="447">
        <v>36.181510925292898</v>
      </c>
      <c r="K137" s="479">
        <f t="shared" si="7"/>
        <v>-3.1798268037948392E-2</v>
      </c>
      <c r="L137" s="479">
        <f t="shared" si="8"/>
        <v>-3.8749741938886091E-2</v>
      </c>
    </row>
    <row r="138" spans="9:12">
      <c r="I138" s="447">
        <v>1681.55004882812</v>
      </c>
      <c r="J138" s="447">
        <v>38.21577835083</v>
      </c>
      <c r="K138" s="479">
        <f t="shared" si="7"/>
        <v>2.9315591366424979E-2</v>
      </c>
      <c r="L138" s="479">
        <f t="shared" si="8"/>
        <v>5.4700235730335632E-2</v>
      </c>
    </row>
    <row r="139" spans="9:12">
      <c r="I139" s="447">
        <v>1756.5400390625</v>
      </c>
      <c r="J139" s="447">
        <v>40.9597778320312</v>
      </c>
      <c r="K139" s="479">
        <f t="shared" si="7"/>
        <v>4.3629971112836896E-2</v>
      </c>
      <c r="L139" s="479">
        <f t="shared" si="8"/>
        <v>6.9342080528038891E-2</v>
      </c>
    </row>
    <row r="140" spans="9:12">
      <c r="I140" s="447">
        <v>1805.81005859375</v>
      </c>
      <c r="J140" s="447">
        <v>42.722457885742102</v>
      </c>
      <c r="K140" s="479">
        <f t="shared" si="7"/>
        <v>2.766328977323541E-2</v>
      </c>
      <c r="L140" s="479">
        <f t="shared" si="8"/>
        <v>4.2134171081618217E-2</v>
      </c>
    </row>
    <row r="141" spans="9:12">
      <c r="I141" s="447">
        <v>1848.35998535156</v>
      </c>
      <c r="J141" s="447">
        <v>45.002326965332003</v>
      </c>
      <c r="K141" s="479">
        <f t="shared" si="7"/>
        <v>2.3289474482052198E-2</v>
      </c>
      <c r="L141" s="479">
        <f t="shared" si="8"/>
        <v>5.1989470998612557E-2</v>
      </c>
    </row>
    <row r="142" spans="9:12">
      <c r="I142" s="447">
        <v>1782.58996582031</v>
      </c>
      <c r="J142" s="447">
        <v>44.956741333007798</v>
      </c>
      <c r="K142" s="479">
        <f t="shared" si="7"/>
        <v>-3.6231407776019409E-2</v>
      </c>
      <c r="L142" s="479">
        <f t="shared" si="8"/>
        <v>-1.0134750634564794E-3</v>
      </c>
    </row>
    <row r="143" spans="9:12">
      <c r="I143" s="447">
        <v>1859.44995117187</v>
      </c>
      <c r="J143" s="447">
        <v>49.452419281005803</v>
      </c>
      <c r="K143" s="479">
        <f t="shared" si="7"/>
        <v>4.2213375072274337E-2</v>
      </c>
      <c r="L143" s="479">
        <f t="shared" si="8"/>
        <v>9.5310256943066038E-2</v>
      </c>
    </row>
    <row r="144" spans="9:12">
      <c r="I144" s="447">
        <v>1872.33996582031</v>
      </c>
      <c r="J144" s="447">
        <v>51.246467590332003</v>
      </c>
      <c r="K144" s="479">
        <f t="shared" si="7"/>
        <v>6.9082484269455359E-3</v>
      </c>
      <c r="L144" s="479">
        <f t="shared" si="8"/>
        <v>3.5635709922676576E-2</v>
      </c>
    </row>
    <row r="145" spans="9:12">
      <c r="I145" s="447">
        <v>1883.94995117187</v>
      </c>
      <c r="J145" s="447">
        <v>52.993717193603501</v>
      </c>
      <c r="K145" s="479">
        <f t="shared" si="7"/>
        <v>6.181643365583361E-3</v>
      </c>
      <c r="L145" s="479">
        <f t="shared" si="8"/>
        <v>3.3526672431985455E-2</v>
      </c>
    </row>
    <row r="146" spans="9:12">
      <c r="I146" s="447">
        <v>1923.56994628906</v>
      </c>
      <c r="J146" s="447">
        <v>56.369285583496001</v>
      </c>
      <c r="K146" s="479">
        <f t="shared" si="7"/>
        <v>2.0812196013359548E-2</v>
      </c>
      <c r="L146" s="479">
        <f t="shared" si="8"/>
        <v>6.1751065304181986E-2</v>
      </c>
    </row>
    <row r="147" spans="9:12">
      <c r="I147" s="447">
        <v>1960.22998046875</v>
      </c>
      <c r="J147" s="447">
        <v>58.837779998779297</v>
      </c>
      <c r="K147" s="479">
        <f t="shared" si="7"/>
        <v>1.8878996713561854E-2</v>
      </c>
      <c r="L147" s="479">
        <f t="shared" si="8"/>
        <v>4.2859737252407951E-2</v>
      </c>
    </row>
    <row r="148" spans="9:12">
      <c r="I148" s="447">
        <v>1930.67004394531</v>
      </c>
      <c r="J148" s="447">
        <v>59.397705078125</v>
      </c>
      <c r="K148" s="479">
        <f t="shared" si="7"/>
        <v>-1.519468763799277E-2</v>
      </c>
      <c r="L148" s="479">
        <f t="shared" si="8"/>
        <v>9.4714250088871639E-3</v>
      </c>
    </row>
    <row r="149" spans="9:12">
      <c r="I149" s="447">
        <v>2003.36999511718</v>
      </c>
      <c r="J149" s="447">
        <v>63.7026977539062</v>
      </c>
      <c r="K149" s="479">
        <f t="shared" si="7"/>
        <v>3.6963644407986891E-2</v>
      </c>
      <c r="L149" s="479">
        <f t="shared" si="8"/>
        <v>6.9971322032240796E-2</v>
      </c>
    </row>
    <row r="150" spans="9:12">
      <c r="I150" s="447">
        <v>1972.2900390625</v>
      </c>
      <c r="J150" s="447">
        <v>64.351867675781193</v>
      </c>
      <c r="K150" s="479">
        <f t="shared" si="7"/>
        <v>-1.5635436105286147E-2</v>
      </c>
      <c r="L150" s="479">
        <f t="shared" si="8"/>
        <v>1.0139044725532747E-2</v>
      </c>
    </row>
    <row r="151" spans="9:12">
      <c r="I151" s="447">
        <v>2018.05004882812</v>
      </c>
      <c r="J151" s="447">
        <v>69.737533569335895</v>
      </c>
      <c r="K151" s="479">
        <f t="shared" si="7"/>
        <v>2.2936398829561999E-2</v>
      </c>
      <c r="L151" s="479">
        <f t="shared" si="8"/>
        <v>8.0372717206979416E-2</v>
      </c>
    </row>
    <row r="152" spans="9:12">
      <c r="I152" s="447">
        <v>2067.56005859375</v>
      </c>
      <c r="J152" s="447">
        <v>72.536270141601506</v>
      </c>
      <c r="K152" s="479">
        <f t="shared" si="7"/>
        <v>2.4237473563309096E-2</v>
      </c>
      <c r="L152" s="479">
        <f t="shared" si="8"/>
        <v>3.9348040039997756E-2</v>
      </c>
    </row>
    <row r="153" spans="9:12">
      <c r="I153" s="447">
        <v>2058.89990234375</v>
      </c>
      <c r="J153" s="447">
        <v>72.023223876953097</v>
      </c>
      <c r="K153" s="479">
        <f t="shared" si="7"/>
        <v>-4.1973842211260083E-3</v>
      </c>
      <c r="L153" s="479">
        <f t="shared" si="8"/>
        <v>-7.0980937252788602E-3</v>
      </c>
    </row>
    <row r="154" spans="9:12">
      <c r="I154" s="447">
        <v>1994.98999023437</v>
      </c>
      <c r="J154" s="447">
        <v>68.764976501464801</v>
      </c>
      <c r="K154" s="479">
        <f t="shared" si="7"/>
        <v>-3.1532779266427995E-2</v>
      </c>
      <c r="L154" s="479">
        <f t="shared" si="8"/>
        <v>-4.6294068009023047E-2</v>
      </c>
    </row>
    <row r="155" spans="9:12">
      <c r="I155" s="447">
        <v>2104.5</v>
      </c>
      <c r="J155" s="447">
        <v>76.702934265136705</v>
      </c>
      <c r="K155" s="479">
        <f t="shared" si="7"/>
        <v>5.3438876325629742E-2</v>
      </c>
      <c r="L155" s="479">
        <f t="shared" si="8"/>
        <v>0.10924541118746779</v>
      </c>
    </row>
    <row r="156" spans="9:12">
      <c r="I156" s="447">
        <v>2067.88989257812</v>
      </c>
      <c r="J156" s="447">
        <v>74.317657470703097</v>
      </c>
      <c r="K156" s="479">
        <f t="shared" si="7"/>
        <v>-1.7549197433965477E-2</v>
      </c>
      <c r="L156" s="479">
        <f t="shared" si="8"/>
        <v>-3.1591389523695043E-2</v>
      </c>
    </row>
    <row r="157" spans="9:12">
      <c r="I157" s="447">
        <v>2085.51000976562</v>
      </c>
      <c r="J157" s="447">
        <v>74.067855834960895</v>
      </c>
      <c r="K157" s="479">
        <f t="shared" si="7"/>
        <v>8.4847225446355364E-3</v>
      </c>
      <c r="L157" s="479">
        <f t="shared" si="8"/>
        <v>-3.36693072202391E-3</v>
      </c>
    </row>
    <row r="158" spans="9:12">
      <c r="I158" s="447">
        <v>2107.38989257812</v>
      </c>
      <c r="J158" s="447">
        <v>72.161766052246094</v>
      </c>
      <c r="K158" s="479">
        <f t="shared" si="7"/>
        <v>1.0436729675336851E-2</v>
      </c>
      <c r="L158" s="479">
        <f t="shared" si="8"/>
        <v>-2.6071294214669246E-2</v>
      </c>
    </row>
    <row r="159" spans="9:12">
      <c r="I159" s="447">
        <v>2063.11010742187</v>
      </c>
      <c r="J159" s="447">
        <v>69.044151306152301</v>
      </c>
      <c r="K159" s="479">
        <f t="shared" si="7"/>
        <v>-2.1235558871758788E-2</v>
      </c>
      <c r="L159" s="479">
        <f t="shared" si="8"/>
        <v>-4.4164175603989241E-2</v>
      </c>
    </row>
    <row r="160" spans="9:12">
      <c r="I160" s="447">
        <v>2103.84008789062</v>
      </c>
      <c r="J160" s="447">
        <v>67.392074584960895</v>
      </c>
      <c r="K160" s="479">
        <f t="shared" si="7"/>
        <v>1.9549682990019603E-2</v>
      </c>
      <c r="L160" s="479">
        <f t="shared" si="8"/>
        <v>-2.4218750723330577E-2</v>
      </c>
    </row>
    <row r="161" spans="9:12">
      <c r="I161" s="447">
        <v>1972.18005371093</v>
      </c>
      <c r="J161" s="447">
        <v>65.582214355468693</v>
      </c>
      <c r="K161" s="479">
        <f t="shared" si="7"/>
        <v>-6.4624730993125365E-2</v>
      </c>
      <c r="L161" s="479">
        <f t="shared" si="8"/>
        <v>-2.7222886684446355E-2</v>
      </c>
    </row>
    <row r="162" spans="9:12">
      <c r="I162" s="447">
        <v>1920.03002929687</v>
      </c>
      <c r="J162" s="447">
        <v>63.516700744628899</v>
      </c>
      <c r="K162" s="479">
        <f t="shared" si="7"/>
        <v>-2.6798730963461605E-2</v>
      </c>
      <c r="L162" s="479">
        <f t="shared" si="8"/>
        <v>-3.2001661387988926E-2</v>
      </c>
    </row>
    <row r="163" spans="9:12">
      <c r="I163" s="447">
        <v>2079.36010742187</v>
      </c>
      <c r="J163" s="447">
        <v>71.507507324218693</v>
      </c>
      <c r="K163" s="479">
        <f t="shared" si="7"/>
        <v>7.971937954339893E-2</v>
      </c>
      <c r="L163" s="479">
        <f t="shared" si="8"/>
        <v>0.11849956655800684</v>
      </c>
    </row>
    <row r="164" spans="9:12">
      <c r="I164" s="447">
        <v>2080.40991210937</v>
      </c>
      <c r="J164" s="447">
        <v>66.040618896484304</v>
      </c>
      <c r="K164" s="479">
        <f t="shared" si="7"/>
        <v>5.0474170680518693E-4</v>
      </c>
      <c r="L164" s="479">
        <f t="shared" si="8"/>
        <v>-7.9532451181873381E-2</v>
      </c>
    </row>
    <row r="165" spans="9:12">
      <c r="I165" s="447">
        <v>2043.93994140625</v>
      </c>
      <c r="J165" s="447">
        <v>62.6488227844238</v>
      </c>
      <c r="K165" s="479">
        <f t="shared" si="7"/>
        <v>-1.7685658390254856E-2</v>
      </c>
      <c r="L165" s="479">
        <f t="shared" si="8"/>
        <v>-5.2725099734589838E-2</v>
      </c>
    </row>
    <row r="166" spans="9:12">
      <c r="I166" s="447">
        <v>1940.23999023437</v>
      </c>
      <c r="J166" s="447">
        <v>57.266098022460902</v>
      </c>
      <c r="K166" s="479">
        <f t="shared" si="7"/>
        <v>-5.2067617305499352E-2</v>
      </c>
      <c r="L166" s="479">
        <f t="shared" si="8"/>
        <v>-8.9836099739540806E-2</v>
      </c>
    </row>
    <row r="167" spans="9:12">
      <c r="I167" s="447">
        <v>1932.22998046875</v>
      </c>
      <c r="J167" s="447">
        <v>63.686111450195298</v>
      </c>
      <c r="K167" s="479">
        <f t="shared" si="7"/>
        <v>-4.1369055149898665E-3</v>
      </c>
      <c r="L167" s="479">
        <f t="shared" si="8"/>
        <v>0.10625771712318781</v>
      </c>
    </row>
    <row r="168" spans="9:12">
      <c r="I168" s="447">
        <v>2059.73999023437</v>
      </c>
      <c r="J168" s="447">
        <v>66.767562866210895</v>
      </c>
      <c r="K168" s="479">
        <f t="shared" si="7"/>
        <v>6.3904990286826474E-2</v>
      </c>
      <c r="L168" s="479">
        <f t="shared" si="8"/>
        <v>4.7250868575642313E-2</v>
      </c>
    </row>
    <row r="169" spans="9:12">
      <c r="I169" s="447">
        <v>2065.30004882812</v>
      </c>
      <c r="J169" s="447">
        <v>65.7451171875</v>
      </c>
      <c r="K169" s="479">
        <f t="shared" si="7"/>
        <v>2.6957614511553935E-3</v>
      </c>
      <c r="L169" s="479">
        <f t="shared" si="8"/>
        <v>-1.54319717802191E-2</v>
      </c>
    </row>
    <row r="170" spans="9:12">
      <c r="I170" s="447">
        <v>2096.94995117187</v>
      </c>
      <c r="J170" s="447">
        <v>61.946174621582003</v>
      </c>
      <c r="K170" s="479">
        <f t="shared" si="7"/>
        <v>1.5208366810524062E-2</v>
      </c>
      <c r="L170" s="479">
        <f t="shared" si="8"/>
        <v>-5.95195482735041E-2</v>
      </c>
    </row>
    <row r="171" spans="9:12">
      <c r="I171" s="447">
        <v>2098.86010742187</v>
      </c>
      <c r="J171" s="447">
        <v>62.6194458007812</v>
      </c>
      <c r="K171" s="479">
        <f t="shared" si="7"/>
        <v>9.1050660315349649E-4</v>
      </c>
      <c r="L171" s="479">
        <f t="shared" si="8"/>
        <v>1.0810008945241286E-2</v>
      </c>
    </row>
    <row r="172" spans="9:12">
      <c r="I172" s="447">
        <v>2173.60009765625</v>
      </c>
      <c r="J172" s="447">
        <v>67.556625366210895</v>
      </c>
      <c r="K172" s="479">
        <f t="shared" si="7"/>
        <v>3.4990432691056436E-2</v>
      </c>
      <c r="L172" s="479">
        <f t="shared" si="8"/>
        <v>7.5890274853579326E-2</v>
      </c>
    </row>
    <row r="173" spans="9:12">
      <c r="I173" s="447">
        <v>2170.94995117187</v>
      </c>
      <c r="J173" s="447">
        <v>67.208030700683594</v>
      </c>
      <c r="K173" s="479">
        <f t="shared" si="7"/>
        <v>-1.2199867803544366E-3</v>
      </c>
      <c r="L173" s="479">
        <f t="shared" si="8"/>
        <v>-5.1733956540782403E-3</v>
      </c>
    </row>
    <row r="174" spans="9:12">
      <c r="I174" s="447">
        <v>2168.27001953125</v>
      </c>
      <c r="J174" s="447">
        <v>63.439170837402301</v>
      </c>
      <c r="K174" s="479">
        <f t="shared" si="7"/>
        <v>-1.2352137017512979E-3</v>
      </c>
      <c r="L174" s="479">
        <f t="shared" si="8"/>
        <v>-5.7711237650629216E-2</v>
      </c>
    </row>
    <row r="175" spans="9:12">
      <c r="I175" s="447">
        <v>2126.14990234375</v>
      </c>
      <c r="J175" s="447">
        <v>65.008850097656193</v>
      </c>
      <c r="K175" s="479">
        <f t="shared" si="7"/>
        <v>-1.9616837043472765E-2</v>
      </c>
      <c r="L175" s="479">
        <f t="shared" si="8"/>
        <v>2.4441908763053698E-2</v>
      </c>
    </row>
    <row r="176" spans="9:12">
      <c r="I176" s="447">
        <v>2198.81005859375</v>
      </c>
      <c r="J176" s="447">
        <v>74.547279357910099</v>
      </c>
      <c r="K176" s="479">
        <f t="shared" si="7"/>
        <v>3.3603545044434316E-2</v>
      </c>
      <c r="L176" s="479">
        <f t="shared" si="8"/>
        <v>0.13691013037589894</v>
      </c>
    </row>
    <row r="177" spans="9:12">
      <c r="I177" s="447">
        <v>2238.830078125</v>
      </c>
      <c r="J177" s="447">
        <v>78.543167114257798</v>
      </c>
      <c r="K177" s="479">
        <f t="shared" si="7"/>
        <v>1.8037111299279089E-2</v>
      </c>
      <c r="L177" s="479">
        <f t="shared" si="8"/>
        <v>5.2214826841903816E-2</v>
      </c>
    </row>
    <row r="178" spans="9:12">
      <c r="I178" s="447">
        <v>2278.8701171875</v>
      </c>
      <c r="J178" s="447">
        <v>80.367095947265597</v>
      </c>
      <c r="K178" s="479">
        <f t="shared" si="7"/>
        <v>1.7726314621062854E-2</v>
      </c>
      <c r="L178" s="479">
        <f t="shared" si="8"/>
        <v>2.2956464836545901E-2</v>
      </c>
    </row>
    <row r="179" spans="9:12">
      <c r="I179" s="447">
        <v>2363.63989257812</v>
      </c>
      <c r="J179" s="447">
        <v>82.637527465820298</v>
      </c>
      <c r="K179" s="479">
        <f t="shared" si="7"/>
        <v>3.6523000738274816E-2</v>
      </c>
      <c r="L179" s="479">
        <f t="shared" si="8"/>
        <v>2.785906699448884E-2</v>
      </c>
    </row>
    <row r="180" spans="9:12">
      <c r="I180" s="447">
        <v>2362.71997070312</v>
      </c>
      <c r="J180" s="447">
        <v>89.773872375488196</v>
      </c>
      <c r="K180" s="479">
        <f t="shared" si="7"/>
        <v>-3.8927289213133893E-4</v>
      </c>
      <c r="L180" s="479">
        <f t="shared" si="8"/>
        <v>8.2830074445879726E-2</v>
      </c>
    </row>
    <row r="181" spans="9:12">
      <c r="I181" s="447">
        <v>2384.19995117187</v>
      </c>
      <c r="J181" s="447">
        <v>90.002639770507798</v>
      </c>
      <c r="K181" s="479">
        <f t="shared" si="7"/>
        <v>9.0501324781984208E-3</v>
      </c>
      <c r="L181" s="479">
        <f t="shared" si="8"/>
        <v>2.5450212129328777E-3</v>
      </c>
    </row>
    <row r="182" spans="9:12">
      <c r="I182" s="447">
        <v>2411.80004882812</v>
      </c>
      <c r="J182" s="447">
        <v>102.61368560791</v>
      </c>
      <c r="K182" s="479">
        <f t="shared" si="7"/>
        <v>1.1509759110980618E-2</v>
      </c>
      <c r="L182" s="479">
        <f t="shared" si="8"/>
        <v>0.13113231114906165</v>
      </c>
    </row>
    <row r="183" spans="9:12">
      <c r="I183" s="447">
        <v>2423.40991210937</v>
      </c>
      <c r="J183" s="447">
        <v>95.921478271484304</v>
      </c>
      <c r="K183" s="479">
        <f t="shared" si="7"/>
        <v>4.8022260405038786E-3</v>
      </c>
      <c r="L183" s="479">
        <f t="shared" si="8"/>
        <v>-6.7441389727889781E-2</v>
      </c>
    </row>
    <row r="184" spans="9:12">
      <c r="I184" s="447">
        <v>2470.30004882812</v>
      </c>
      <c r="J184" s="447">
        <v>99.631736755371094</v>
      </c>
      <c r="K184" s="479">
        <f t="shared" ref="K184:K247" si="9">LN(I184/I183)</f>
        <v>1.916401754710087E-2</v>
      </c>
      <c r="L184" s="479">
        <f t="shared" ref="L184:L247" si="10">LN(J184/J183)</f>
        <v>3.7950833852415003E-2</v>
      </c>
    </row>
    <row r="185" spans="9:12">
      <c r="I185" s="447">
        <v>2471.64990234375</v>
      </c>
      <c r="J185" s="447">
        <v>99.048408508300696</v>
      </c>
      <c r="K185" s="479">
        <f t="shared" si="9"/>
        <v>5.4628377969689467E-4</v>
      </c>
      <c r="L185" s="479">
        <f t="shared" si="10"/>
        <v>-5.8720505004592046E-3</v>
      </c>
    </row>
    <row r="186" spans="9:12">
      <c r="I186" s="447">
        <v>2519.36010742187</v>
      </c>
      <c r="J186" s="447">
        <v>105.788513183593</v>
      </c>
      <c r="K186" s="479">
        <f t="shared" si="9"/>
        <v>1.911903935235321E-2</v>
      </c>
      <c r="L186" s="479">
        <f t="shared" si="10"/>
        <v>6.583323702971848E-2</v>
      </c>
    </row>
    <row r="187" spans="9:12">
      <c r="I187" s="447">
        <v>2575.26000976562</v>
      </c>
      <c r="J187" s="447">
        <v>114.63460540771401</v>
      </c>
      <c r="K187" s="479">
        <f t="shared" si="9"/>
        <v>2.1945560031841664E-2</v>
      </c>
      <c r="L187" s="479">
        <f t="shared" si="10"/>
        <v>8.0307783119915377E-2</v>
      </c>
    </row>
    <row r="188" spans="9:12">
      <c r="I188" s="447">
        <v>2647.580078125</v>
      </c>
      <c r="J188" s="447">
        <v>121.849639892578</v>
      </c>
      <c r="K188" s="479">
        <f t="shared" si="9"/>
        <v>2.7695541046636397E-2</v>
      </c>
      <c r="L188" s="479">
        <f t="shared" si="10"/>
        <v>6.1038099126753273E-2</v>
      </c>
    </row>
    <row r="189" spans="9:12">
      <c r="I189" s="447">
        <v>2673.61010742187</v>
      </c>
      <c r="J189" s="447">
        <v>130.56779479980401</v>
      </c>
      <c r="K189" s="479">
        <f t="shared" si="9"/>
        <v>9.7836145748694675E-3</v>
      </c>
      <c r="L189" s="479">
        <f t="shared" si="10"/>
        <v>6.9104767517720225E-2</v>
      </c>
    </row>
    <row r="190" spans="9:12">
      <c r="I190" s="447">
        <v>2823.81005859375</v>
      </c>
      <c r="J190" s="447">
        <v>141.73626708984301</v>
      </c>
      <c r="K190" s="479">
        <f t="shared" si="9"/>
        <v>5.4657398358330465E-2</v>
      </c>
      <c r="L190" s="479">
        <f t="shared" si="10"/>
        <v>8.207546446339184E-2</v>
      </c>
    </row>
    <row r="191" spans="9:12">
      <c r="I191" s="447">
        <v>2713.830078125</v>
      </c>
      <c r="J191" s="447">
        <v>135.839431762695</v>
      </c>
      <c r="K191" s="479">
        <f t="shared" si="9"/>
        <v>-3.9726107598083898E-2</v>
      </c>
      <c r="L191" s="479">
        <f t="shared" si="10"/>
        <v>-4.2494517296700368E-2</v>
      </c>
    </row>
    <row r="192" spans="9:12">
      <c r="I192" s="447">
        <v>2640.8701171875</v>
      </c>
      <c r="J192" s="447">
        <v>131.11308288574199</v>
      </c>
      <c r="K192" s="479">
        <f t="shared" si="9"/>
        <v>-2.725249736693992E-2</v>
      </c>
      <c r="L192" s="479">
        <f t="shared" si="10"/>
        <v>-3.5413360448016393E-2</v>
      </c>
    </row>
    <row r="193" spans="9:12">
      <c r="I193" s="447">
        <v>2648.05004882812</v>
      </c>
      <c r="J193" s="447">
        <v>131.78805541992099</v>
      </c>
      <c r="K193" s="479">
        <f t="shared" si="9"/>
        <v>2.7150858118227014E-3</v>
      </c>
      <c r="L193" s="479">
        <f t="shared" si="10"/>
        <v>5.1348124361297841E-3</v>
      </c>
    </row>
    <row r="194" spans="9:12">
      <c r="I194" s="447">
        <v>2705.27001953125</v>
      </c>
      <c r="J194" s="447">
        <v>130.51528930664</v>
      </c>
      <c r="K194" s="479">
        <f t="shared" si="9"/>
        <v>2.1378191183068131E-2</v>
      </c>
      <c r="L194" s="479">
        <f t="shared" si="10"/>
        <v>-9.7046120676143877E-3</v>
      </c>
    </row>
    <row r="195" spans="9:12">
      <c r="I195" s="447">
        <v>2718.3701171875</v>
      </c>
      <c r="J195" s="447">
        <v>122.426231384277</v>
      </c>
      <c r="K195" s="479">
        <f t="shared" si="9"/>
        <v>4.830749386570285E-3</v>
      </c>
      <c r="L195" s="479">
        <f t="shared" si="10"/>
        <v>-6.3981723525500314E-2</v>
      </c>
    </row>
    <row r="196" spans="9:12">
      <c r="I196" s="447">
        <v>2816.2900390625</v>
      </c>
      <c r="J196" s="447">
        <v>123.62533569335901</v>
      </c>
      <c r="K196" s="479">
        <f t="shared" si="9"/>
        <v>3.5387950737524286E-2</v>
      </c>
      <c r="L196" s="479">
        <f t="shared" si="10"/>
        <v>9.746849543171239E-3</v>
      </c>
    </row>
    <row r="197" spans="9:12">
      <c r="I197" s="447">
        <v>2901.52001953125</v>
      </c>
      <c r="J197" s="447">
        <v>122.30052947998</v>
      </c>
      <c r="K197" s="479">
        <f t="shared" si="9"/>
        <v>2.9814314524382428E-2</v>
      </c>
      <c r="L197" s="479">
        <f t="shared" si="10"/>
        <v>-1.0774133318003561E-2</v>
      </c>
    </row>
    <row r="198" spans="9:12">
      <c r="I198" s="447">
        <v>2913.97998046875</v>
      </c>
      <c r="J198" s="447">
        <v>128.09681701660099</v>
      </c>
      <c r="K198" s="479">
        <f t="shared" si="9"/>
        <v>4.2850932863336272E-3</v>
      </c>
      <c r="L198" s="479">
        <f t="shared" si="10"/>
        <v>4.6304988910760049E-2</v>
      </c>
    </row>
    <row r="199" spans="9:12">
      <c r="I199" s="447">
        <v>2711.73999023437</v>
      </c>
      <c r="J199" s="447">
        <v>113.407836914062</v>
      </c>
      <c r="K199" s="479">
        <f t="shared" si="9"/>
        <v>-7.1929345954298729E-2</v>
      </c>
      <c r="L199" s="479">
        <f t="shared" si="10"/>
        <v>-0.12179586345302391</v>
      </c>
    </row>
    <row r="200" spans="9:12">
      <c r="I200" s="447">
        <v>2760.169921875</v>
      </c>
      <c r="J200" s="447">
        <v>111.60326385498</v>
      </c>
      <c r="K200" s="479">
        <f t="shared" si="9"/>
        <v>1.7701752056119548E-2</v>
      </c>
      <c r="L200" s="479">
        <f t="shared" si="10"/>
        <v>-1.6040201963455254E-2</v>
      </c>
    </row>
    <row r="201" spans="9:12">
      <c r="I201" s="447">
        <v>2506.85009765625</v>
      </c>
      <c r="J201" s="447">
        <v>105.69797515869099</v>
      </c>
      <c r="K201" s="479">
        <f t="shared" si="9"/>
        <v>-9.6265219857899015E-2</v>
      </c>
      <c r="L201" s="479">
        <f t="shared" si="10"/>
        <v>-5.436455933220552E-2</v>
      </c>
    </row>
    <row r="202" spans="9:12">
      <c r="I202" s="447">
        <v>2704.10009765625</v>
      </c>
      <c r="J202" s="447">
        <v>111.51058197021401</v>
      </c>
      <c r="K202" s="479">
        <f t="shared" si="9"/>
        <v>7.574215198675599E-2</v>
      </c>
      <c r="L202" s="479">
        <f t="shared" si="10"/>
        <v>5.3533755759668497E-2</v>
      </c>
    </row>
    <row r="203" spans="9:12">
      <c r="I203" s="447">
        <v>2784.48999023437</v>
      </c>
      <c r="J203" s="447">
        <v>121.967445373535</v>
      </c>
      <c r="K203" s="479">
        <f t="shared" si="9"/>
        <v>2.9295553365400444E-2</v>
      </c>
      <c r="L203" s="479">
        <f t="shared" si="10"/>
        <v>8.9634675964893065E-2</v>
      </c>
    </row>
    <row r="204" spans="9:12">
      <c r="I204" s="447">
        <v>2834.39990234375</v>
      </c>
      <c r="J204" s="447">
        <v>122.186866760253</v>
      </c>
      <c r="K204" s="479">
        <f t="shared" si="9"/>
        <v>1.7765510890230492E-2</v>
      </c>
      <c r="L204" s="479">
        <f t="shared" si="10"/>
        <v>1.7973997171960034E-3</v>
      </c>
    </row>
    <row r="205" spans="9:12">
      <c r="I205" s="447">
        <v>2945.830078125</v>
      </c>
      <c r="J205" s="447">
        <v>133.25392150878901</v>
      </c>
      <c r="K205" s="479">
        <f t="shared" si="9"/>
        <v>3.8560397417570821E-2</v>
      </c>
      <c r="L205" s="479">
        <f t="shared" si="10"/>
        <v>8.6704924680922543E-2</v>
      </c>
    </row>
    <row r="206" spans="9:12">
      <c r="I206" s="447">
        <v>2752.06005859375</v>
      </c>
      <c r="J206" s="447">
        <v>121.942657470703</v>
      </c>
      <c r="K206" s="479">
        <f t="shared" si="9"/>
        <v>-6.8040894082873976E-2</v>
      </c>
      <c r="L206" s="479">
        <f t="shared" si="10"/>
        <v>-8.8705578815449201E-2</v>
      </c>
    </row>
    <row r="207" spans="9:12">
      <c r="I207" s="447">
        <v>2941.76000976562</v>
      </c>
      <c r="J207" s="447">
        <v>137.550857543945</v>
      </c>
      <c r="K207" s="479">
        <f t="shared" si="9"/>
        <v>6.6658301563024477E-2</v>
      </c>
      <c r="L207" s="479">
        <f t="shared" si="10"/>
        <v>0.12044280826038035</v>
      </c>
    </row>
    <row r="208" spans="9:12">
      <c r="I208" s="447">
        <v>2980.3798828125</v>
      </c>
      <c r="J208" s="447">
        <v>136.34487915039</v>
      </c>
      <c r="K208" s="479">
        <f t="shared" si="9"/>
        <v>1.3042724833707034E-2</v>
      </c>
      <c r="L208" s="479">
        <f t="shared" si="10"/>
        <v>-8.806169833802141E-3</v>
      </c>
    </row>
    <row r="209" spans="9:12">
      <c r="I209" s="447">
        <v>2926.4599609375</v>
      </c>
      <c r="J209" s="447">
        <v>123.59868621826099</v>
      </c>
      <c r="K209" s="479">
        <f t="shared" si="9"/>
        <v>-1.8257281743262237E-2</v>
      </c>
      <c r="L209" s="479">
        <f t="shared" si="10"/>
        <v>-9.8147636268520064E-2</v>
      </c>
    </row>
    <row r="210" spans="9:12">
      <c r="I210" s="447">
        <v>2976.73999023437</v>
      </c>
      <c r="J210" s="447">
        <v>122.391242980957</v>
      </c>
      <c r="K210" s="479">
        <f t="shared" si="9"/>
        <v>1.7035250591070184E-2</v>
      </c>
      <c r="L210" s="479">
        <f t="shared" si="10"/>
        <v>-9.8170924194183884E-3</v>
      </c>
    </row>
    <row r="211" spans="9:12">
      <c r="I211" s="447">
        <v>3037.56005859375</v>
      </c>
      <c r="J211" s="447">
        <v>124.536567687988</v>
      </c>
      <c r="K211" s="479">
        <f t="shared" si="9"/>
        <v>2.0225842153319185E-2</v>
      </c>
      <c r="L211" s="479">
        <f t="shared" si="10"/>
        <v>1.737656590235041E-2</v>
      </c>
    </row>
    <row r="212" spans="9:12">
      <c r="I212" s="447">
        <v>3140.97998046875</v>
      </c>
      <c r="J212" s="447">
        <v>138.12684631347599</v>
      </c>
      <c r="K212" s="479">
        <f t="shared" si="9"/>
        <v>3.3480266071378155E-2</v>
      </c>
      <c r="L212" s="479">
        <f t="shared" si="10"/>
        <v>0.10357305001013657</v>
      </c>
    </row>
    <row r="213" spans="9:12">
      <c r="I213" s="447">
        <v>3230.78002929687</v>
      </c>
      <c r="J213" s="447">
        <v>149.55059814453099</v>
      </c>
      <c r="K213" s="479">
        <f t="shared" si="9"/>
        <v>2.8188756298540639E-2</v>
      </c>
      <c r="L213" s="479">
        <f t="shared" si="10"/>
        <v>7.9462345538980489E-2</v>
      </c>
    </row>
    <row r="214" spans="9:12">
      <c r="I214" s="447">
        <v>3225.52001953125</v>
      </c>
      <c r="J214" s="447">
        <v>138.32171630859301</v>
      </c>
      <c r="K214" s="479">
        <f t="shared" si="9"/>
        <v>-1.6294196024410239E-3</v>
      </c>
      <c r="L214" s="479">
        <f t="shared" si="10"/>
        <v>-7.8052535152953559E-2</v>
      </c>
    </row>
    <row r="215" spans="9:12">
      <c r="I215" s="447">
        <v>2954.21997070312</v>
      </c>
      <c r="J215" s="447">
        <v>122.46102905273401</v>
      </c>
      <c r="K215" s="479">
        <f t="shared" si="9"/>
        <v>-8.7859536908389449E-2</v>
      </c>
      <c r="L215" s="479">
        <f t="shared" si="10"/>
        <v>-0.12178940035522157</v>
      </c>
    </row>
    <row r="216" spans="9:12">
      <c r="I216" s="447">
        <v>2584.59008789062</v>
      </c>
      <c r="J216" s="447">
        <v>74.177772521972599</v>
      </c>
      <c r="K216" s="479">
        <f t="shared" si="9"/>
        <v>-0.13366772467037477</v>
      </c>
      <c r="L216" s="479">
        <f t="shared" si="10"/>
        <v>-0.50132830559159336</v>
      </c>
    </row>
    <row r="217" spans="9:12">
      <c r="I217" s="447">
        <v>2912.42993164062</v>
      </c>
      <c r="J217" s="447">
        <v>90.171463012695298</v>
      </c>
      <c r="K217" s="479">
        <f t="shared" si="9"/>
        <v>0.11942083876017691</v>
      </c>
      <c r="L217" s="479">
        <f t="shared" si="10"/>
        <v>0.19524845883220565</v>
      </c>
    </row>
    <row r="218" spans="9:12">
      <c r="I218" s="447">
        <v>3044.31005859375</v>
      </c>
      <c r="J218" s="447">
        <v>87.752082824707003</v>
      </c>
      <c r="K218" s="479">
        <f t="shared" si="9"/>
        <v>4.428653294909863E-2</v>
      </c>
      <c r="L218" s="479">
        <f t="shared" si="10"/>
        <v>-2.7197404471109535E-2</v>
      </c>
    </row>
    <row r="219" spans="9:12">
      <c r="I219" s="447">
        <v>3100.2900390625</v>
      </c>
      <c r="J219" s="447">
        <v>85.0054931640625</v>
      </c>
      <c r="K219" s="479">
        <f t="shared" si="9"/>
        <v>1.8221374356719156E-2</v>
      </c>
      <c r="L219" s="479">
        <f t="shared" si="10"/>
        <v>-3.1799718096640013E-2</v>
      </c>
    </row>
    <row r="220" spans="9:12">
      <c r="I220" s="447">
        <v>3271.1201171875</v>
      </c>
      <c r="J220" s="447">
        <v>83.121551513671804</v>
      </c>
      <c r="K220" s="479">
        <f t="shared" si="9"/>
        <v>5.3636801634505855E-2</v>
      </c>
      <c r="L220" s="479">
        <f t="shared" si="10"/>
        <v>-2.2411867296084072E-2</v>
      </c>
    </row>
    <row r="221" spans="9:12">
      <c r="I221" s="447">
        <v>3500.31005859375</v>
      </c>
      <c r="J221" s="447">
        <v>102.040306091308</v>
      </c>
      <c r="K221" s="479">
        <f t="shared" si="9"/>
        <v>6.7719083004357333E-2</v>
      </c>
      <c r="L221" s="479">
        <f t="shared" si="10"/>
        <v>0.20506388042227153</v>
      </c>
    </row>
    <row r="222" spans="9:12">
      <c r="I222" s="447">
        <v>3363</v>
      </c>
      <c r="J222" s="447">
        <v>91.797599792480398</v>
      </c>
      <c r="K222" s="479">
        <f t="shared" si="9"/>
        <v>-4.0018119983178092E-2</v>
      </c>
      <c r="L222" s="479">
        <f t="shared" si="10"/>
        <v>-0.10578174175470856</v>
      </c>
    </row>
    <row r="223" spans="9:12">
      <c r="I223" s="447">
        <v>3269.9599609375</v>
      </c>
      <c r="J223" s="447">
        <v>92.095062255859304</v>
      </c>
      <c r="K223" s="479">
        <f t="shared" si="9"/>
        <v>-2.8055692285554126E-2</v>
      </c>
      <c r="L223" s="479">
        <f t="shared" si="10"/>
        <v>3.2351777337021968E-3</v>
      </c>
    </row>
    <row r="224" spans="9:12">
      <c r="I224" s="447">
        <v>3621.6298828125</v>
      </c>
      <c r="J224" s="447">
        <v>125.797813415527</v>
      </c>
      <c r="K224" s="479">
        <f t="shared" si="9"/>
        <v>0.10214642790660017</v>
      </c>
      <c r="L224" s="479">
        <f t="shared" si="10"/>
        <v>0.31185463371375766</v>
      </c>
    </row>
    <row r="225" spans="9:12">
      <c r="I225" s="447">
        <v>3756.07006835937</v>
      </c>
      <c r="J225" s="447">
        <v>130.80511474609301</v>
      </c>
      <c r="K225" s="479">
        <f t="shared" si="9"/>
        <v>3.6449047840590304E-2</v>
      </c>
      <c r="L225" s="479">
        <f t="shared" si="10"/>
        <v>3.9032579141297499E-2</v>
      </c>
    </row>
    <row r="226" spans="9:12">
      <c r="I226" s="447">
        <v>3714.23999023437</v>
      </c>
      <c r="J226" s="447">
        <v>115.327056884765</v>
      </c>
      <c r="K226" s="479">
        <f t="shared" si="9"/>
        <v>-1.1199137650888501E-2</v>
      </c>
      <c r="L226" s="479">
        <f t="shared" si="10"/>
        <v>-0.12593647698747945</v>
      </c>
    </row>
    <row r="227" spans="9:12">
      <c r="I227" s="447">
        <v>3811.14990234375</v>
      </c>
      <c r="J227" s="447">
        <v>146.81864929199199</v>
      </c>
      <c r="K227" s="479">
        <f t="shared" si="9"/>
        <v>2.5756876672538152E-2</v>
      </c>
      <c r="L227" s="479">
        <f t="shared" si="10"/>
        <v>0.24142608205096416</v>
      </c>
    </row>
    <row r="228" spans="9:12">
      <c r="I228" s="447">
        <v>3972.88989257812</v>
      </c>
      <c r="J228" s="447">
        <v>146.85832214355401</v>
      </c>
      <c r="K228" s="479">
        <f t="shared" si="9"/>
        <v>4.1562807282545348E-2</v>
      </c>
      <c r="L228" s="479">
        <f t="shared" si="10"/>
        <v>2.7018020248173929E-4</v>
      </c>
    </row>
    <row r="229" spans="9:12">
      <c r="I229" s="447">
        <v>4181.169921875</v>
      </c>
      <c r="J229" s="447">
        <v>147.26484680175699</v>
      </c>
      <c r="K229" s="479">
        <f t="shared" si="9"/>
        <v>5.1097330468057679E-2</v>
      </c>
      <c r="L229" s="479">
        <f t="shared" si="10"/>
        <v>2.764317537653097E-3</v>
      </c>
    </row>
    <row r="230" spans="9:12">
      <c r="I230" s="447">
        <v>4204.10986328125</v>
      </c>
      <c r="J230" s="447">
        <v>142.36659240722599</v>
      </c>
      <c r="K230" s="479">
        <f t="shared" si="9"/>
        <v>5.4714927167232698E-3</v>
      </c>
      <c r="L230" s="479">
        <f t="shared" si="10"/>
        <v>-3.3827277053355989E-2</v>
      </c>
    </row>
    <row r="231" spans="9:12">
      <c r="I231" s="447">
        <v>4297.5</v>
      </c>
      <c r="J231" s="447">
        <v>135.36624145507801</v>
      </c>
      <c r="K231" s="479">
        <f t="shared" si="9"/>
        <v>2.1970872566122474E-2</v>
      </c>
      <c r="L231" s="479">
        <f t="shared" si="10"/>
        <v>-5.0421362736892003E-2</v>
      </c>
    </row>
    <row r="232" spans="9:12">
      <c r="I232" s="447">
        <v>4395.259765625</v>
      </c>
      <c r="J232" s="447">
        <v>144.74630737304599</v>
      </c>
      <c r="K232" s="479">
        <f t="shared" si="9"/>
        <v>2.2493175922251307E-2</v>
      </c>
      <c r="L232" s="479">
        <f t="shared" si="10"/>
        <v>6.6998600916168036E-2</v>
      </c>
    </row>
    <row r="233" spans="9:12">
      <c r="I233" s="447">
        <v>4522.68017578125</v>
      </c>
      <c r="J233" s="447">
        <v>133.99790954589801</v>
      </c>
      <c r="K233" s="479">
        <f t="shared" si="9"/>
        <v>2.8578143159792575E-2</v>
      </c>
      <c r="L233" s="479">
        <f t="shared" si="10"/>
        <v>-7.715840632603832E-2</v>
      </c>
    </row>
    <row r="234" spans="9:12">
      <c r="I234" s="447">
        <v>4307.5400390625</v>
      </c>
      <c r="J234" s="447">
        <v>146.83847045898401</v>
      </c>
      <c r="K234" s="479">
        <f t="shared" si="9"/>
        <v>-4.8737792782833161E-2</v>
      </c>
      <c r="L234" s="479">
        <f t="shared" si="10"/>
        <v>9.1508942770425039E-2</v>
      </c>
    </row>
    <row r="235" spans="9:12">
      <c r="I235" s="447">
        <v>4605.3798828125</v>
      </c>
      <c r="J235" s="447">
        <v>158.66766357421801</v>
      </c>
      <c r="K235" s="479">
        <f t="shared" si="9"/>
        <v>6.6858175283989296E-2</v>
      </c>
      <c r="L235" s="479">
        <f t="shared" si="10"/>
        <v>7.7478706378455095E-2</v>
      </c>
    </row>
    <row r="236" spans="9:12">
      <c r="I236" s="447">
        <v>4567</v>
      </c>
      <c r="J236" s="447">
        <v>146.31295776367099</v>
      </c>
      <c r="K236" s="479">
        <f t="shared" si="9"/>
        <v>-8.3686256552052661E-3</v>
      </c>
      <c r="L236" s="479">
        <f t="shared" si="10"/>
        <v>-8.1063974657154772E-2</v>
      </c>
    </row>
    <row r="237" spans="9:12">
      <c r="I237" s="447">
        <v>4766.18017578125</v>
      </c>
      <c r="J237" s="447">
        <v>163.84355163574199</v>
      </c>
      <c r="K237" s="479">
        <f t="shared" si="9"/>
        <v>4.2688648161396649E-2</v>
      </c>
      <c r="L237" s="479">
        <f t="shared" si="10"/>
        <v>0.11316414516323255</v>
      </c>
    </row>
    <row r="238" spans="9:12">
      <c r="I238" s="447">
        <v>4515.5498046875</v>
      </c>
      <c r="J238" s="447">
        <v>159.75834655761699</v>
      </c>
      <c r="K238" s="479">
        <f t="shared" si="9"/>
        <v>-5.4018229999283421E-2</v>
      </c>
      <c r="L238" s="479">
        <f t="shared" si="10"/>
        <v>-2.5249679565635369E-2</v>
      </c>
    </row>
    <row r="239" spans="9:12">
      <c r="I239" s="447">
        <v>4373.93994140625</v>
      </c>
      <c r="J239" s="447">
        <v>168.70211791992099</v>
      </c>
      <c r="K239" s="479">
        <f t="shared" si="9"/>
        <v>-3.1862761021711462E-2</v>
      </c>
      <c r="L239" s="479">
        <f t="shared" si="10"/>
        <v>5.447220431469512E-2</v>
      </c>
    </row>
    <row r="240" spans="9:12">
      <c r="I240" s="447">
        <v>4530.41015625</v>
      </c>
      <c r="J240" s="447">
        <v>174.26473999023401</v>
      </c>
      <c r="K240" s="479">
        <f t="shared" si="9"/>
        <v>3.5148286271522736E-2</v>
      </c>
      <c r="L240" s="479">
        <f t="shared" si="10"/>
        <v>3.2441093282205478E-2</v>
      </c>
    </row>
    <row r="241" spans="9:12">
      <c r="I241" s="447">
        <v>4131.93017578125</v>
      </c>
      <c r="J241" s="447">
        <v>176.019760131835</v>
      </c>
      <c r="K241" s="479">
        <f t="shared" si="9"/>
        <v>-9.2067824907422324E-2</v>
      </c>
      <c r="L241" s="479">
        <f t="shared" si="10"/>
        <v>1.002062510059093E-2</v>
      </c>
    </row>
    <row r="242" spans="9:12">
      <c r="I242" s="447">
        <v>4132.14990234375</v>
      </c>
      <c r="J242" s="447">
        <v>170.129959106445</v>
      </c>
      <c r="K242" s="479">
        <f t="shared" si="9"/>
        <v>5.3176290760624664E-5</v>
      </c>
      <c r="L242" s="479">
        <f t="shared" si="10"/>
        <v>-3.4033651884788338E-2</v>
      </c>
    </row>
    <row r="243" spans="9:12">
      <c r="I243" s="447">
        <v>3785.3798828125</v>
      </c>
      <c r="J243" s="447">
        <v>135.10871887207</v>
      </c>
      <c r="K243" s="479">
        <f t="shared" si="9"/>
        <v>-8.7651581804817913E-2</v>
      </c>
      <c r="L243" s="479">
        <f t="shared" si="10"/>
        <v>-0.23048283101094585</v>
      </c>
    </row>
    <row r="244" spans="9:12">
      <c r="I244" s="447">
        <v>4130.2900390625</v>
      </c>
      <c r="J244" s="447">
        <v>157.76756286621</v>
      </c>
      <c r="K244" s="479">
        <f t="shared" si="9"/>
        <v>8.7201384689715875E-2</v>
      </c>
      <c r="L244" s="479">
        <f t="shared" si="10"/>
        <v>0.15504304944938924</v>
      </c>
    </row>
    <row r="245" spans="9:12">
      <c r="I245" s="447">
        <v>3955</v>
      </c>
      <c r="J245" s="447">
        <v>152.72122192382801</v>
      </c>
      <c r="K245" s="479">
        <f t="shared" si="9"/>
        <v>-4.3367030663405449E-2</v>
      </c>
      <c r="L245" s="479">
        <f t="shared" si="10"/>
        <v>-3.2508648307728753E-2</v>
      </c>
    </row>
    <row r="246" spans="9:12">
      <c r="I246" s="447">
        <v>3585.6201171875</v>
      </c>
      <c r="J246" s="447">
        <v>139.46302795410099</v>
      </c>
      <c r="K246" s="479">
        <f t="shared" si="9"/>
        <v>-9.804916662099257E-2</v>
      </c>
      <c r="L246" s="479">
        <f t="shared" si="10"/>
        <v>-9.0814646911230437E-2</v>
      </c>
    </row>
    <row r="247" spans="9:12">
      <c r="I247" s="447">
        <v>3871.97998046875</v>
      </c>
      <c r="J247" s="447">
        <v>159.33656311035099</v>
      </c>
      <c r="K247" s="479">
        <f t="shared" si="9"/>
        <v>7.6834564468855629E-2</v>
      </c>
      <c r="L247" s="479">
        <f t="shared" si="10"/>
        <v>0.13321918063796978</v>
      </c>
    </row>
    <row r="248" spans="9:12">
      <c r="I248" s="447">
        <v>4080.11010742187</v>
      </c>
      <c r="J248" s="447">
        <v>164.55123901367099</v>
      </c>
      <c r="K248" s="479">
        <f>LN(I248/I247)</f>
        <v>5.2357976097647786E-2</v>
      </c>
      <c r="L248" s="479">
        <f>LN(J248/J247)</f>
        <v>3.2203290885377836E-2</v>
      </c>
    </row>
    <row r="249" spans="9:12">
      <c r="I249" s="447">
        <v>3839.5</v>
      </c>
      <c r="J249" s="447">
        <v>148.54087829589801</v>
      </c>
      <c r="K249" s="479">
        <f>LN(I249/I248)</f>
        <v>-6.0781825376666994E-2</v>
      </c>
      <c r="L249" s="479">
        <f>LN(J249/J248)</f>
        <v>-0.10236180998886309</v>
      </c>
    </row>
  </sheetData>
  <mergeCells count="19">
    <mergeCell ref="A35:L35"/>
    <mergeCell ref="A10:C10"/>
    <mergeCell ref="A15:C15"/>
    <mergeCell ref="A8:G8"/>
    <mergeCell ref="A1:G1"/>
    <mergeCell ref="A3:G3"/>
    <mergeCell ref="B4:C5"/>
    <mergeCell ref="A23:G23"/>
    <mergeCell ref="A25:G25"/>
    <mergeCell ref="I80:L80"/>
    <mergeCell ref="I94:J94"/>
    <mergeCell ref="I110:L110"/>
    <mergeCell ref="A78:L78"/>
    <mergeCell ref="A57:E57"/>
    <mergeCell ref="A80:B80"/>
    <mergeCell ref="A86:B86"/>
    <mergeCell ref="A92:B92"/>
    <mergeCell ref="A97:B97"/>
    <mergeCell ref="D80:G80"/>
  </mergeCells>
  <phoneticPr fontId="40" type="noConversion"/>
  <hyperlinks>
    <hyperlink ref="F4" r:id="rId1" xr:uid="{78152505-77DA-4D43-95CB-B19BCF6E694C}"/>
    <hyperlink ref="F6" r:id="rId2" xr:uid="{FB2A8A4C-C695-4B4C-BF24-B0F9AD5E5BA5}"/>
    <hyperlink ref="F5" r:id="rId3" xr:uid="{7D1424A6-3430-554E-9FF1-068A336F87A2}"/>
    <hyperlink ref="G4" r:id="rId4" xr:uid="{2F779027-5FA4-E241-9F14-6943F59ABCC0}"/>
    <hyperlink ref="G5" r:id="rId5" xr:uid="{0B18D295-DAF2-BA43-89A1-3A01769025D9}"/>
  </hyperlinks>
  <pageMargins left="0.7" right="0.7" top="0.75" bottom="0.75" header="0.3" footer="0.3"/>
  <legacyDrawing r:id="rId6"/>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D13BE-7452-F748-90B7-CD0A318A137A}">
  <sheetPr>
    <tabColor theme="8" tint="0.79998168889431442"/>
  </sheetPr>
  <dimension ref="A1:W52"/>
  <sheetViews>
    <sheetView zoomScale="90" workbookViewId="0">
      <selection activeCell="H26" sqref="H26"/>
    </sheetView>
  </sheetViews>
  <sheetFormatPr baseColWidth="10" defaultColWidth="10.83203125" defaultRowHeight="16"/>
  <cols>
    <col min="1" max="1" width="39.83203125" style="3" bestFit="1" customWidth="1"/>
    <col min="2" max="2" width="2.33203125" style="3" bestFit="1" customWidth="1"/>
    <col min="3" max="3" width="19.5" style="3" bestFit="1" customWidth="1"/>
    <col min="4" max="4" width="10.83203125" style="3" customWidth="1"/>
    <col min="5" max="5" width="19.33203125" style="3" bestFit="1" customWidth="1"/>
    <col min="6" max="7" width="10.83203125" style="3" customWidth="1"/>
    <col min="8" max="8" width="19" style="3" bestFit="1" customWidth="1"/>
    <col min="9" max="9" width="2.6640625" style="3" bestFit="1" customWidth="1"/>
    <col min="10" max="15" width="10.83203125" style="3" customWidth="1"/>
    <col min="16" max="16" width="14" style="72" bestFit="1" customWidth="1"/>
    <col min="17" max="17" width="19" style="3" bestFit="1" customWidth="1"/>
    <col min="18" max="18" width="2.6640625" style="3" bestFit="1" customWidth="1"/>
    <col min="19" max="19" width="19" style="3" bestFit="1" customWidth="1"/>
    <col min="20" max="16384" width="10.83203125" style="3"/>
  </cols>
  <sheetData>
    <row r="1" spans="1:23" ht="25">
      <c r="A1" s="735" t="s">
        <v>180</v>
      </c>
      <c r="B1" s="735"/>
      <c r="C1" s="735"/>
      <c r="D1" s="735"/>
      <c r="E1" s="735"/>
      <c r="F1" s="735"/>
      <c r="G1" s="735"/>
      <c r="H1" s="735"/>
      <c r="I1" s="735"/>
      <c r="J1" s="735"/>
      <c r="K1" s="735"/>
      <c r="L1" s="735"/>
      <c r="M1" s="735"/>
      <c r="N1" s="735"/>
      <c r="O1" s="735"/>
      <c r="P1" s="735"/>
      <c r="Q1" s="735"/>
      <c r="R1" s="735"/>
      <c r="S1" s="735"/>
    </row>
    <row r="3" spans="1:23">
      <c r="A3" s="736" t="s">
        <v>95</v>
      </c>
      <c r="B3" s="736"/>
      <c r="C3" s="736"/>
      <c r="D3" s="736"/>
      <c r="E3" s="736"/>
      <c r="F3" s="736"/>
      <c r="G3" s="736"/>
      <c r="P3" s="3"/>
    </row>
    <row r="4" spans="1:23">
      <c r="A4" s="98" t="s">
        <v>89</v>
      </c>
      <c r="B4" s="76"/>
      <c r="C4" s="76" t="s">
        <v>202</v>
      </c>
      <c r="D4" s="76"/>
      <c r="E4" s="93" t="s">
        <v>200</v>
      </c>
      <c r="F4" s="76" t="s">
        <v>201</v>
      </c>
      <c r="G4" s="76"/>
      <c r="P4" s="3"/>
    </row>
    <row r="5" spans="1:23">
      <c r="E5" s="73"/>
      <c r="F5" s="73"/>
      <c r="G5" s="73"/>
      <c r="H5" s="73"/>
      <c r="I5" s="73"/>
      <c r="J5" s="73"/>
      <c r="K5" s="73"/>
    </row>
    <row r="6" spans="1:23">
      <c r="A6" s="86" t="s">
        <v>178</v>
      </c>
      <c r="B6" s="85" t="s">
        <v>169</v>
      </c>
      <c r="C6" s="706" t="s">
        <v>177</v>
      </c>
      <c r="D6" s="706"/>
      <c r="E6" s="706"/>
      <c r="F6" s="706"/>
      <c r="G6" s="706"/>
      <c r="H6" s="706"/>
      <c r="I6" s="85" t="s">
        <v>172</v>
      </c>
      <c r="J6" s="706" t="s">
        <v>176</v>
      </c>
      <c r="K6" s="706"/>
      <c r="L6" s="706"/>
      <c r="M6" s="706"/>
      <c r="N6" s="706"/>
      <c r="O6" s="706"/>
      <c r="P6" s="706"/>
      <c r="Q6" s="706"/>
      <c r="R6" s="86" t="s">
        <v>172</v>
      </c>
      <c r="S6" s="86" t="s">
        <v>175</v>
      </c>
    </row>
    <row r="7" spans="1:23">
      <c r="A7" s="11"/>
      <c r="C7" s="11"/>
      <c r="D7" s="11"/>
      <c r="E7" s="11"/>
      <c r="F7" s="11"/>
      <c r="G7" s="11"/>
      <c r="H7" s="11"/>
      <c r="J7" s="11"/>
      <c r="K7" s="11"/>
      <c r="L7" s="11"/>
      <c r="M7" s="11"/>
      <c r="N7" s="11"/>
      <c r="O7" s="11"/>
      <c r="P7" s="77"/>
      <c r="Q7" s="11"/>
      <c r="S7" s="54"/>
      <c r="T7" s="70"/>
      <c r="U7" s="70"/>
      <c r="V7" s="70"/>
      <c r="W7" s="70"/>
    </row>
    <row r="8" spans="1:23" ht="16" customHeight="1">
      <c r="A8" s="78"/>
      <c r="C8" s="52">
        <v>2018</v>
      </c>
      <c r="D8" s="52">
        <v>2019</v>
      </c>
      <c r="E8" s="52">
        <v>2020</v>
      </c>
      <c r="F8" s="52">
        <v>2021</v>
      </c>
      <c r="G8" s="52">
        <v>2022</v>
      </c>
      <c r="H8" s="52" t="s">
        <v>301</v>
      </c>
      <c r="I8" s="82"/>
      <c r="J8" s="52">
        <v>2018</v>
      </c>
      <c r="K8" s="52">
        <v>2019</v>
      </c>
      <c r="L8" s="52">
        <v>2020</v>
      </c>
      <c r="M8" s="52">
        <v>2021</v>
      </c>
      <c r="N8" s="52">
        <v>2022</v>
      </c>
      <c r="O8" s="52">
        <v>2023</v>
      </c>
      <c r="P8" s="83" t="s">
        <v>204</v>
      </c>
      <c r="Q8" s="52" t="s">
        <v>304</v>
      </c>
      <c r="R8" s="82"/>
      <c r="S8" s="52" t="s">
        <v>301</v>
      </c>
      <c r="W8" s="71"/>
    </row>
    <row r="9" spans="1:23">
      <c r="A9" s="92" t="s">
        <v>170</v>
      </c>
      <c r="C9" s="11"/>
      <c r="D9" s="11"/>
      <c r="E9" s="11"/>
      <c r="F9" s="11"/>
      <c r="G9" s="11"/>
      <c r="H9" s="53" t="s">
        <v>174</v>
      </c>
      <c r="J9" s="11"/>
      <c r="K9" s="11"/>
      <c r="L9" s="11"/>
      <c r="M9" s="11"/>
      <c r="N9" s="11"/>
      <c r="O9" s="11"/>
      <c r="P9" s="155" t="s">
        <v>174</v>
      </c>
      <c r="Q9" s="53" t="s">
        <v>174</v>
      </c>
      <c r="R9" s="51"/>
      <c r="S9" s="53" t="s">
        <v>174</v>
      </c>
      <c r="W9" s="71"/>
    </row>
    <row r="10" spans="1:23">
      <c r="A10" s="93" t="s">
        <v>134</v>
      </c>
      <c r="C10" s="79">
        <v>198.66</v>
      </c>
      <c r="D10" s="79">
        <v>202.75</v>
      </c>
      <c r="E10" s="79">
        <v>177.48</v>
      </c>
      <c r="F10" s="79">
        <v>203.44</v>
      </c>
      <c r="G10" s="79">
        <v>243.73</v>
      </c>
      <c r="H10" s="87">
        <f>(G10/C10)^(1/(G8-C8))-1</f>
        <v>5.2445557726182201E-2</v>
      </c>
      <c r="J10" s="80">
        <v>0.75700000000000001</v>
      </c>
      <c r="K10" s="80">
        <v>0.75800000000000001</v>
      </c>
      <c r="L10" s="80">
        <v>0.28599999999999998</v>
      </c>
      <c r="M10" s="80">
        <v>0.47099999999999997</v>
      </c>
      <c r="N10" s="80">
        <v>0.65300000000000002</v>
      </c>
      <c r="O10" s="81">
        <v>0.75</v>
      </c>
      <c r="P10" s="88">
        <f>(O10-N10)/N10</f>
        <v>0.1485451761102603</v>
      </c>
      <c r="Q10" s="89">
        <v>0</v>
      </c>
      <c r="R10" s="90"/>
      <c r="S10" s="89">
        <v>0.05</v>
      </c>
      <c r="W10" s="71"/>
    </row>
    <row r="11" spans="1:23">
      <c r="A11" s="93" t="s">
        <v>173</v>
      </c>
      <c r="C11" s="79">
        <v>165.91</v>
      </c>
      <c r="D11" s="79">
        <v>161.91</v>
      </c>
      <c r="E11" s="79">
        <v>132.56</v>
      </c>
      <c r="F11" s="79">
        <v>142.01</v>
      </c>
      <c r="G11" s="79">
        <v>166.06</v>
      </c>
      <c r="H11" s="87">
        <f>(G11/C11)^(1/(G8-C8))-1</f>
        <v>2.2594956741417427E-4</v>
      </c>
      <c r="J11" s="80">
        <v>0.71599999999999997</v>
      </c>
      <c r="K11" s="80">
        <v>0.71699999999999997</v>
      </c>
      <c r="L11" s="80">
        <v>0.33800000000000002</v>
      </c>
      <c r="M11" s="80">
        <v>0.44500000000000001</v>
      </c>
      <c r="N11" s="80">
        <v>0.56999999999999995</v>
      </c>
      <c r="O11" s="81">
        <v>0.71</v>
      </c>
      <c r="P11" s="88">
        <f>(O11-N11)/N11</f>
        <v>0.24561403508771934</v>
      </c>
      <c r="Q11" s="89">
        <v>0</v>
      </c>
      <c r="R11" s="90"/>
      <c r="S11" s="89">
        <v>0.05</v>
      </c>
      <c r="W11" s="71"/>
    </row>
    <row r="12" spans="1:23">
      <c r="A12" s="84"/>
      <c r="C12" s="79"/>
      <c r="D12" s="79"/>
      <c r="E12" s="79"/>
      <c r="F12" s="79"/>
      <c r="G12" s="79"/>
      <c r="H12" s="87"/>
      <c r="J12" s="11"/>
      <c r="K12" s="11"/>
      <c r="L12" s="11"/>
      <c r="M12" s="11"/>
      <c r="N12" s="11"/>
      <c r="O12" s="11"/>
      <c r="P12" s="88"/>
      <c r="Q12" s="91"/>
      <c r="R12" s="90"/>
      <c r="S12" s="91"/>
      <c r="W12" s="71"/>
    </row>
    <row r="13" spans="1:23">
      <c r="A13" s="94" t="s">
        <v>171</v>
      </c>
      <c r="C13" s="79"/>
      <c r="D13" s="79"/>
      <c r="E13" s="79"/>
      <c r="F13" s="79"/>
      <c r="G13" s="79"/>
      <c r="H13" s="87"/>
      <c r="J13" s="11"/>
      <c r="K13" s="11"/>
      <c r="L13" s="11"/>
      <c r="M13" s="11"/>
      <c r="N13" s="11"/>
      <c r="O13" s="11"/>
      <c r="P13" s="88"/>
      <c r="Q13" s="91"/>
      <c r="R13" s="90"/>
      <c r="S13" s="91"/>
      <c r="W13" s="71"/>
    </row>
    <row r="14" spans="1:23">
      <c r="A14" s="93" t="s">
        <v>134</v>
      </c>
      <c r="C14" s="79">
        <v>159.94</v>
      </c>
      <c r="D14" s="79">
        <v>161.79</v>
      </c>
      <c r="E14" s="79">
        <v>129.96</v>
      </c>
      <c r="F14" s="79">
        <v>147.84</v>
      </c>
      <c r="G14" s="79">
        <v>177.47</v>
      </c>
      <c r="H14" s="87">
        <f>(G14/C14)^(1/(G8-C8))-1</f>
        <v>2.6341676057762164E-2</v>
      </c>
      <c r="J14" s="80">
        <v>0.74099999999999999</v>
      </c>
      <c r="K14" s="80">
        <v>0.73899999999999999</v>
      </c>
      <c r="L14" s="80">
        <v>0.372</v>
      </c>
      <c r="M14" s="80">
        <v>0.55200000000000005</v>
      </c>
      <c r="N14" s="80">
        <v>0.67</v>
      </c>
      <c r="O14" s="81">
        <v>0.74</v>
      </c>
      <c r="P14" s="88">
        <f>(O14-N14)/N14</f>
        <v>0.10447761194029843</v>
      </c>
      <c r="Q14" s="89">
        <v>0</v>
      </c>
      <c r="R14" s="90"/>
      <c r="S14" s="89">
        <v>0.05</v>
      </c>
      <c r="W14" s="71"/>
    </row>
    <row r="15" spans="1:23">
      <c r="A15" s="93" t="s">
        <v>173</v>
      </c>
      <c r="C15" s="79">
        <v>161.47999999999999</v>
      </c>
      <c r="D15" s="79">
        <v>157.31</v>
      </c>
      <c r="E15" s="79">
        <v>131.63</v>
      </c>
      <c r="F15" s="79">
        <v>138.71</v>
      </c>
      <c r="G15" s="79">
        <v>160.21</v>
      </c>
      <c r="H15" s="87">
        <f>(G15/C15)^(1/(G8-C8))-1</f>
        <v>-1.9720133531307971E-3</v>
      </c>
      <c r="J15" s="80">
        <v>0.70899999999999996</v>
      </c>
      <c r="K15" s="80">
        <v>0.70899999999999996</v>
      </c>
      <c r="L15" s="80">
        <v>0.315</v>
      </c>
      <c r="M15" s="80">
        <v>0.42399999999999999</v>
      </c>
      <c r="N15" s="80">
        <v>0.56999999999999995</v>
      </c>
      <c r="O15" s="81">
        <v>0.71</v>
      </c>
      <c r="P15" s="88">
        <f>(O15-N15)/N15</f>
        <v>0.24561403508771934</v>
      </c>
      <c r="Q15" s="89">
        <v>0</v>
      </c>
      <c r="R15" s="90"/>
      <c r="S15" s="89">
        <v>0.05</v>
      </c>
      <c r="W15" s="71"/>
    </row>
    <row r="16" spans="1:23">
      <c r="A16" s="95"/>
      <c r="W16" s="71"/>
    </row>
    <row r="17" spans="1:23" ht="17" thickBot="1">
      <c r="A17" s="95"/>
      <c r="W17" s="71"/>
    </row>
    <row r="18" spans="1:23">
      <c r="A18" s="137" t="s">
        <v>179</v>
      </c>
      <c r="B18" s="138"/>
      <c r="C18" s="138"/>
      <c r="D18" s="138"/>
      <c r="E18" s="138"/>
      <c r="F18" s="138"/>
      <c r="G18" s="139"/>
      <c r="P18" s="74"/>
      <c r="Q18" s="71"/>
      <c r="R18" s="71"/>
      <c r="S18" s="71"/>
      <c r="T18" s="71"/>
      <c r="U18" s="71"/>
      <c r="V18" s="71"/>
      <c r="W18" s="71"/>
    </row>
    <row r="19" spans="1:23">
      <c r="A19" s="140" t="s">
        <v>75</v>
      </c>
      <c r="B19" s="11"/>
      <c r="C19" s="198">
        <v>2023</v>
      </c>
      <c r="D19" s="198" t="s">
        <v>378</v>
      </c>
      <c r="E19" s="84" t="s">
        <v>380</v>
      </c>
      <c r="F19" s="84" t="s">
        <v>562</v>
      </c>
      <c r="G19" s="197"/>
      <c r="K19" s="72"/>
      <c r="P19" s="74"/>
      <c r="Q19" s="71"/>
      <c r="R19" s="71"/>
      <c r="S19" s="71"/>
      <c r="T19" s="71"/>
      <c r="U19" s="71"/>
      <c r="V19" s="71"/>
      <c r="W19" s="71"/>
    </row>
    <row r="20" spans="1:23">
      <c r="A20" s="141" t="s">
        <v>134</v>
      </c>
      <c r="B20" s="11"/>
      <c r="C20" s="142">
        <f>(((1+H10)*(1+P10)*(1+S10)-1)+((1+H14)*(1+P14)*(1+S14)-1))*0.5</f>
        <v>0.22973515272238387</v>
      </c>
      <c r="D20" s="142">
        <f>(((1+H10)*(1+Q10)*(1+S10)-1)+((1+H14)*(1+Q14)*(1+S14)-1))*0.5</f>
        <v>9.1363297736570925E-2</v>
      </c>
      <c r="E20" s="80">
        <f>'Ex1. Population growth &amp; est'!B22</f>
        <v>4.1528147123543824E-3</v>
      </c>
      <c r="F20" s="81">
        <v>0.7</v>
      </c>
      <c r="G20" s="197"/>
      <c r="K20" s="72"/>
      <c r="P20" s="74"/>
      <c r="Q20" s="71"/>
      <c r="R20" s="71"/>
      <c r="S20" s="71"/>
      <c r="T20" s="71"/>
      <c r="U20" s="71"/>
      <c r="V20" s="71"/>
      <c r="W20" s="71"/>
    </row>
    <row r="21" spans="1:23" ht="17" thickBot="1">
      <c r="A21" s="143" t="s">
        <v>173</v>
      </c>
      <c r="B21" s="144"/>
      <c r="C21" s="145">
        <f>(((1+H11)*(1+P11)*(1+S11)-1)+((1+H15)*(1+P15)*(1+S15)-1))*0.5</f>
        <v>0.30675290302434066</v>
      </c>
      <c r="D21" s="145">
        <f>(((1+H11)*(1+Q11)*(1+S11)-1)+((1+H15)*(1+Q15)*(1+S15)-1))*0.5</f>
        <v>4.9083316512498865E-2</v>
      </c>
      <c r="E21" s="253">
        <f>'Ex1. Population growth &amp; est'!B23</f>
        <v>7.5992771546960457E-3</v>
      </c>
      <c r="F21" s="254">
        <v>0.3</v>
      </c>
      <c r="G21" s="255"/>
      <c r="P21" s="74"/>
      <c r="Q21" s="71"/>
      <c r="R21" s="71"/>
      <c r="S21" s="71"/>
      <c r="T21" s="71"/>
      <c r="U21" s="71"/>
      <c r="V21" s="71"/>
      <c r="W21" s="71"/>
    </row>
    <row r="22" spans="1:23">
      <c r="P22" s="298"/>
      <c r="Q22" s="71"/>
      <c r="R22" s="71"/>
      <c r="S22" s="71"/>
      <c r="T22" s="71"/>
      <c r="U22" s="71"/>
      <c r="V22" s="71"/>
      <c r="W22" s="71"/>
    </row>
    <row r="23" spans="1:23" ht="17" thickBot="1">
      <c r="A23" s="251" t="s">
        <v>564</v>
      </c>
      <c r="B23" s="251"/>
      <c r="C23" s="252">
        <f>E20*F20+E21*F21+'Ex1. Population growth &amp; est'!B31</f>
        <v>3.7699202065036852E-2</v>
      </c>
      <c r="P23" s="298"/>
      <c r="Q23" s="71"/>
      <c r="R23" s="71"/>
      <c r="S23" s="71"/>
      <c r="T23" s="71"/>
      <c r="U23" s="71"/>
      <c r="V23" s="71"/>
      <c r="W23" s="71"/>
    </row>
    <row r="24" spans="1:23" ht="17" thickTop="1">
      <c r="P24" s="298"/>
      <c r="Q24" s="71"/>
      <c r="R24" s="71"/>
      <c r="S24" s="71"/>
      <c r="T24" s="71"/>
      <c r="U24" s="71"/>
      <c r="V24" s="71"/>
      <c r="W24" s="71"/>
    </row>
    <row r="25" spans="1:23">
      <c r="P25" s="74"/>
      <c r="Q25" s="71"/>
      <c r="R25" s="71"/>
      <c r="S25" s="71"/>
      <c r="T25" s="71"/>
      <c r="U25" s="71"/>
      <c r="V25" s="71"/>
      <c r="W25" s="71"/>
    </row>
    <row r="26" spans="1:23">
      <c r="A26" s="706" t="s">
        <v>96</v>
      </c>
      <c r="B26" s="706"/>
      <c r="C26" s="706"/>
      <c r="D26" s="706"/>
      <c r="E26" s="706"/>
      <c r="F26" s="706"/>
      <c r="G26" s="706"/>
      <c r="P26" s="74"/>
      <c r="Q26" s="71"/>
      <c r="R26" s="71"/>
      <c r="S26" s="71"/>
      <c r="T26" s="71"/>
      <c r="U26" s="71"/>
      <c r="V26" s="71"/>
      <c r="W26" s="71"/>
    </row>
    <row r="27" spans="1:23" ht="16" customHeight="1">
      <c r="A27" s="728" t="s">
        <v>563</v>
      </c>
      <c r="B27" s="728"/>
      <c r="C27" s="728"/>
      <c r="D27" s="728"/>
      <c r="E27" s="728"/>
      <c r="F27" s="728"/>
      <c r="G27" s="728"/>
      <c r="H27" s="75"/>
      <c r="W27" s="71"/>
    </row>
    <row r="28" spans="1:23">
      <c r="A28" s="728"/>
      <c r="B28" s="728"/>
      <c r="C28" s="728"/>
      <c r="D28" s="728"/>
      <c r="E28" s="728"/>
      <c r="F28" s="728"/>
      <c r="G28" s="728"/>
      <c r="H28" s="75"/>
      <c r="W28" s="71"/>
    </row>
    <row r="29" spans="1:23">
      <c r="A29" s="728"/>
      <c r="B29" s="728"/>
      <c r="C29" s="728"/>
      <c r="D29" s="728"/>
      <c r="E29" s="728"/>
      <c r="F29" s="728"/>
      <c r="G29" s="728"/>
      <c r="H29" s="75"/>
    </row>
    <row r="30" spans="1:23">
      <c r="A30" s="728"/>
      <c r="B30" s="728"/>
      <c r="C30" s="728"/>
      <c r="D30" s="728"/>
      <c r="E30" s="728"/>
      <c r="F30" s="728"/>
      <c r="G30" s="728"/>
      <c r="H30" s="75"/>
    </row>
    <row r="31" spans="1:23">
      <c r="A31" s="728"/>
      <c r="B31" s="728"/>
      <c r="C31" s="728"/>
      <c r="D31" s="728"/>
      <c r="E31" s="728"/>
      <c r="F31" s="728"/>
      <c r="G31" s="728"/>
      <c r="H31" s="75"/>
      <c r="N31" s="196"/>
    </row>
    <row r="32" spans="1:23">
      <c r="A32" s="728"/>
      <c r="B32" s="728"/>
      <c r="C32" s="728"/>
      <c r="D32" s="728"/>
      <c r="E32" s="728"/>
      <c r="F32" s="728"/>
      <c r="G32" s="728"/>
      <c r="H32" s="75"/>
    </row>
    <row r="33" spans="1:8">
      <c r="A33" s="728"/>
      <c r="B33" s="728"/>
      <c r="C33" s="728"/>
      <c r="D33" s="728"/>
      <c r="E33" s="728"/>
      <c r="F33" s="728"/>
      <c r="G33" s="728"/>
      <c r="H33" s="75"/>
    </row>
    <row r="34" spans="1:8">
      <c r="A34" s="728"/>
      <c r="B34" s="728"/>
      <c r="C34" s="728"/>
      <c r="D34" s="728"/>
      <c r="E34" s="728"/>
      <c r="F34" s="728"/>
      <c r="G34" s="728"/>
      <c r="H34" s="75"/>
    </row>
    <row r="35" spans="1:8">
      <c r="A35" s="728"/>
      <c r="B35" s="728"/>
      <c r="C35" s="728"/>
      <c r="D35" s="728"/>
      <c r="E35" s="728"/>
      <c r="F35" s="728"/>
      <c r="G35" s="728"/>
      <c r="H35" s="75"/>
    </row>
    <row r="36" spans="1:8">
      <c r="A36" s="728"/>
      <c r="B36" s="728"/>
      <c r="C36" s="728"/>
      <c r="D36" s="728"/>
      <c r="E36" s="728"/>
      <c r="F36" s="728"/>
      <c r="G36" s="728"/>
      <c r="H36" s="75"/>
    </row>
    <row r="37" spans="1:8">
      <c r="A37" s="728"/>
      <c r="B37" s="728"/>
      <c r="C37" s="728"/>
      <c r="D37" s="728"/>
      <c r="E37" s="728"/>
      <c r="F37" s="728"/>
      <c r="G37" s="728"/>
      <c r="H37" s="75"/>
    </row>
    <row r="38" spans="1:8">
      <c r="A38" s="728"/>
      <c r="B38" s="728"/>
      <c r="C38" s="728"/>
      <c r="D38" s="728"/>
      <c r="E38" s="728"/>
      <c r="F38" s="728"/>
      <c r="G38" s="728"/>
      <c r="H38" s="75"/>
    </row>
    <row r="39" spans="1:8">
      <c r="A39" s="728"/>
      <c r="B39" s="728"/>
      <c r="C39" s="728"/>
      <c r="D39" s="728"/>
      <c r="E39" s="728"/>
      <c r="F39" s="728"/>
      <c r="G39" s="728"/>
      <c r="H39" s="75"/>
    </row>
    <row r="40" spans="1:8">
      <c r="A40" s="728"/>
      <c r="B40" s="728"/>
      <c r="C40" s="728"/>
      <c r="D40" s="728"/>
      <c r="E40" s="728"/>
      <c r="F40" s="728"/>
      <c r="G40" s="728"/>
      <c r="H40" s="75"/>
    </row>
    <row r="41" spans="1:8">
      <c r="A41" s="728"/>
      <c r="B41" s="728"/>
      <c r="C41" s="728"/>
      <c r="D41" s="728"/>
      <c r="E41" s="728"/>
      <c r="F41" s="728"/>
      <c r="G41" s="728"/>
      <c r="H41" s="75"/>
    </row>
    <row r="42" spans="1:8">
      <c r="A42" s="728"/>
      <c r="B42" s="728"/>
      <c r="C42" s="728"/>
      <c r="D42" s="728"/>
      <c r="E42" s="728"/>
      <c r="F42" s="728"/>
      <c r="G42" s="728"/>
      <c r="H42" s="75"/>
    </row>
    <row r="43" spans="1:8">
      <c r="A43" s="728"/>
      <c r="B43" s="728"/>
      <c r="C43" s="728"/>
      <c r="D43" s="728"/>
      <c r="E43" s="728"/>
      <c r="F43" s="728"/>
      <c r="G43" s="728"/>
      <c r="H43" s="75"/>
    </row>
    <row r="44" spans="1:8">
      <c r="A44" s="728"/>
      <c r="B44" s="728"/>
      <c r="C44" s="728"/>
      <c r="D44" s="728"/>
      <c r="E44" s="728"/>
      <c r="F44" s="728"/>
      <c r="G44" s="728"/>
      <c r="H44" s="75"/>
    </row>
    <row r="45" spans="1:8">
      <c r="A45" s="728"/>
      <c r="B45" s="728"/>
      <c r="C45" s="728"/>
      <c r="D45" s="728"/>
      <c r="E45" s="728"/>
      <c r="F45" s="728"/>
      <c r="G45" s="728"/>
      <c r="H45" s="75"/>
    </row>
    <row r="46" spans="1:8">
      <c r="A46" s="728"/>
      <c r="B46" s="728"/>
      <c r="C46" s="728"/>
      <c r="D46" s="728"/>
      <c r="E46" s="728"/>
      <c r="F46" s="728"/>
      <c r="G46" s="728"/>
      <c r="H46" s="75"/>
    </row>
    <row r="47" spans="1:8">
      <c r="A47" s="728"/>
      <c r="B47" s="728"/>
      <c r="C47" s="728"/>
      <c r="D47" s="728"/>
      <c r="E47" s="728"/>
      <c r="F47" s="728"/>
      <c r="G47" s="728"/>
      <c r="H47" s="75"/>
    </row>
    <row r="48" spans="1:8">
      <c r="A48" s="728"/>
      <c r="B48" s="728"/>
      <c r="C48" s="728"/>
      <c r="D48" s="728"/>
      <c r="E48" s="728"/>
      <c r="F48" s="728"/>
      <c r="G48" s="728"/>
      <c r="H48" s="75"/>
    </row>
    <row r="49" spans="1:8">
      <c r="A49" s="728"/>
      <c r="B49" s="728"/>
      <c r="C49" s="728"/>
      <c r="D49" s="728"/>
      <c r="E49" s="728"/>
      <c r="F49" s="728"/>
      <c r="G49" s="728"/>
      <c r="H49" s="75"/>
    </row>
    <row r="50" spans="1:8">
      <c r="A50" s="728"/>
      <c r="B50" s="728"/>
      <c r="C50" s="728"/>
      <c r="D50" s="728"/>
      <c r="E50" s="728"/>
      <c r="F50" s="728"/>
      <c r="G50" s="728"/>
      <c r="H50" s="75"/>
    </row>
    <row r="51" spans="1:8">
      <c r="A51" s="728"/>
      <c r="B51" s="728"/>
      <c r="C51" s="728"/>
      <c r="D51" s="728"/>
      <c r="E51" s="728"/>
      <c r="F51" s="728"/>
      <c r="G51" s="728"/>
      <c r="H51" s="75"/>
    </row>
    <row r="52" spans="1:8">
      <c r="A52" s="728"/>
      <c r="B52" s="728"/>
      <c r="C52" s="728"/>
      <c r="D52" s="728"/>
      <c r="E52" s="728"/>
      <c r="F52" s="728"/>
      <c r="G52" s="728"/>
      <c r="H52" s="75"/>
    </row>
  </sheetData>
  <mergeCells count="6">
    <mergeCell ref="A27:G52"/>
    <mergeCell ref="C6:H6"/>
    <mergeCell ref="J6:Q6"/>
    <mergeCell ref="A1:S1"/>
    <mergeCell ref="A26:G26"/>
    <mergeCell ref="A3:G3"/>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1057C-E6E0-4647-B281-CE4D8DC443F5}">
  <sheetPr codeName="Sheet7">
    <tabColor theme="8" tint="0.79998168889431442"/>
  </sheetPr>
  <dimension ref="A1:G28"/>
  <sheetViews>
    <sheetView zoomScale="118" workbookViewId="0">
      <selection activeCell="I20" sqref="I20"/>
    </sheetView>
  </sheetViews>
  <sheetFormatPr baseColWidth="10" defaultColWidth="8.6640625" defaultRowHeight="16"/>
  <cols>
    <col min="1" max="1" width="45.5" style="73" customWidth="1"/>
    <col min="2" max="6" width="10" style="73" customWidth="1"/>
    <col min="7" max="7" width="19" style="73" bestFit="1" customWidth="1"/>
    <col min="8" max="16384" width="8.6640625" style="73"/>
  </cols>
  <sheetData>
    <row r="1" spans="1:7" ht="25">
      <c r="A1" s="726" t="s">
        <v>198</v>
      </c>
      <c r="B1" s="726"/>
      <c r="C1" s="726"/>
      <c r="D1" s="726"/>
      <c r="E1" s="726"/>
      <c r="F1" s="726"/>
      <c r="G1" s="726"/>
    </row>
    <row r="3" spans="1:7">
      <c r="A3" s="736" t="s">
        <v>95</v>
      </c>
      <c r="B3" s="736"/>
      <c r="C3" s="736"/>
      <c r="D3" s="736"/>
      <c r="E3" s="736"/>
      <c r="F3" s="736"/>
      <c r="G3" s="736"/>
    </row>
    <row r="4" spans="1:7">
      <c r="A4" s="76"/>
      <c r="B4" s="93" t="s">
        <v>89</v>
      </c>
      <c r="C4" s="76" t="s">
        <v>199</v>
      </c>
      <c r="D4" s="76"/>
      <c r="E4" s="93" t="s">
        <v>200</v>
      </c>
      <c r="F4" s="76" t="s">
        <v>201</v>
      </c>
      <c r="G4" s="76"/>
    </row>
    <row r="6" spans="1:7">
      <c r="A6" s="101" t="s">
        <v>75</v>
      </c>
      <c r="B6" s="99" t="s">
        <v>186</v>
      </c>
      <c r="C6" s="99" t="s">
        <v>185</v>
      </c>
      <c r="D6" s="99" t="s">
        <v>203</v>
      </c>
      <c r="E6" s="99" t="s">
        <v>184</v>
      </c>
      <c r="F6" s="99" t="s">
        <v>183</v>
      </c>
      <c r="G6" s="100" t="s">
        <v>301</v>
      </c>
    </row>
    <row r="7" spans="1:7">
      <c r="A7" s="96" t="s">
        <v>187</v>
      </c>
      <c r="B7" s="11">
        <v>21</v>
      </c>
      <c r="C7" s="11">
        <v>21</v>
      </c>
      <c r="D7" s="11">
        <v>21</v>
      </c>
      <c r="E7" s="11">
        <v>21</v>
      </c>
      <c r="F7" s="11">
        <v>21</v>
      </c>
      <c r="G7" s="103">
        <f>F7</f>
        <v>21</v>
      </c>
    </row>
    <row r="8" spans="1:7">
      <c r="A8" s="96" t="s">
        <v>188</v>
      </c>
      <c r="B8" s="11">
        <v>2.5</v>
      </c>
      <c r="C8" s="11">
        <v>1.6</v>
      </c>
      <c r="D8" s="11">
        <v>3.8</v>
      </c>
      <c r="E8" s="11">
        <v>2.7</v>
      </c>
      <c r="F8" s="11">
        <v>2.8</v>
      </c>
      <c r="G8" s="104">
        <f t="shared" ref="G8:G17" si="0">AVERAGE(B8,C8,E8,F8)</f>
        <v>2.4</v>
      </c>
    </row>
    <row r="9" spans="1:7">
      <c r="A9" s="96" t="s">
        <v>189</v>
      </c>
      <c r="B9" s="11">
        <v>-1</v>
      </c>
      <c r="C9" s="11">
        <v>-3.3</v>
      </c>
      <c r="D9" s="11">
        <v>12.5</v>
      </c>
      <c r="E9" s="11">
        <v>-0.5</v>
      </c>
      <c r="F9" s="11">
        <v>-0.5</v>
      </c>
      <c r="G9" s="104">
        <f t="shared" si="0"/>
        <v>-1.325</v>
      </c>
    </row>
    <row r="10" spans="1:7">
      <c r="A10" s="96" t="s">
        <v>190</v>
      </c>
      <c r="B10" s="11">
        <v>2.6</v>
      </c>
      <c r="C10" s="11">
        <v>3.4</v>
      </c>
      <c r="D10" s="11">
        <v>-20</v>
      </c>
      <c r="E10" s="11">
        <v>-0.7</v>
      </c>
      <c r="F10" s="11">
        <v>0.4</v>
      </c>
      <c r="G10" s="104">
        <f t="shared" si="0"/>
        <v>1.425</v>
      </c>
    </row>
    <row r="11" spans="1:7">
      <c r="A11" s="96" t="s">
        <v>469</v>
      </c>
      <c r="B11" s="11">
        <v>1</v>
      </c>
      <c r="C11" s="11">
        <v>1.9</v>
      </c>
      <c r="D11" s="11">
        <v>12.2</v>
      </c>
      <c r="E11" s="11">
        <v>-12</v>
      </c>
      <c r="F11" s="11">
        <v>0.30000000000000004</v>
      </c>
      <c r="G11" s="104">
        <f>AVERAGE(B11,C11,F11)</f>
        <v>1.0666666666666667</v>
      </c>
    </row>
    <row r="12" spans="1:7">
      <c r="A12" s="93" t="s">
        <v>197</v>
      </c>
      <c r="B12" s="11">
        <v>-1.7000000000000002</v>
      </c>
      <c r="C12" s="11">
        <v>0</v>
      </c>
      <c r="D12" s="11">
        <v>0</v>
      </c>
      <c r="E12" s="11">
        <v>0</v>
      </c>
      <c r="F12" s="11">
        <v>0</v>
      </c>
      <c r="G12" s="104">
        <f t="shared" si="0"/>
        <v>-0.42500000000000004</v>
      </c>
    </row>
    <row r="13" spans="1:7">
      <c r="A13" s="96" t="s">
        <v>191</v>
      </c>
      <c r="B13" s="11">
        <v>0</v>
      </c>
      <c r="C13" s="11">
        <v>1.3</v>
      </c>
      <c r="D13" s="11">
        <v>9.4</v>
      </c>
      <c r="E13" s="11">
        <v>-0.5</v>
      </c>
      <c r="F13" s="11">
        <v>-0.2</v>
      </c>
      <c r="G13" s="104">
        <f t="shared" si="0"/>
        <v>0.15000000000000002</v>
      </c>
    </row>
    <row r="14" spans="1:7">
      <c r="A14" s="96" t="s">
        <v>192</v>
      </c>
      <c r="B14" s="11">
        <v>-2.9</v>
      </c>
      <c r="C14" s="11">
        <v>-0.7</v>
      </c>
      <c r="D14" s="11">
        <v>0</v>
      </c>
      <c r="E14" s="11">
        <v>-0.7</v>
      </c>
      <c r="F14" s="11">
        <v>0</v>
      </c>
      <c r="G14" s="104">
        <f t="shared" si="0"/>
        <v>-1.075</v>
      </c>
    </row>
    <row r="15" spans="1:7">
      <c r="A15" s="96" t="s">
        <v>193</v>
      </c>
      <c r="B15" s="11">
        <v>-1.8</v>
      </c>
      <c r="C15" s="11">
        <v>-3.2</v>
      </c>
      <c r="D15" s="11">
        <v>6.4</v>
      </c>
      <c r="E15" s="11">
        <v>-2.8</v>
      </c>
      <c r="F15" s="11">
        <v>-0.7</v>
      </c>
      <c r="G15" s="104">
        <f t="shared" si="0"/>
        <v>-2.125</v>
      </c>
    </row>
    <row r="16" spans="1:7">
      <c r="A16" s="96" t="s">
        <v>194</v>
      </c>
      <c r="B16" s="11">
        <v>0</v>
      </c>
      <c r="C16" s="11">
        <v>0.1</v>
      </c>
      <c r="D16" s="11">
        <v>-3</v>
      </c>
      <c r="E16" s="11">
        <v>0.4</v>
      </c>
      <c r="F16" s="11">
        <v>0.2</v>
      </c>
      <c r="G16" s="104">
        <f t="shared" si="0"/>
        <v>0.17499999999999999</v>
      </c>
    </row>
    <row r="17" spans="1:7" ht="17" thickBot="1">
      <c r="A17" s="96" t="s">
        <v>195</v>
      </c>
      <c r="B17" s="11">
        <v>-1</v>
      </c>
      <c r="C17" s="11">
        <v>-1.7000000000000002</v>
      </c>
      <c r="D17" s="11">
        <v>0.60000000000000009</v>
      </c>
      <c r="E17" s="11">
        <v>-0.1</v>
      </c>
      <c r="F17" s="11">
        <v>1</v>
      </c>
      <c r="G17" s="104">
        <f t="shared" si="0"/>
        <v>-0.45000000000000007</v>
      </c>
    </row>
    <row r="18" spans="1:7" ht="17" thickBot="1">
      <c r="A18" s="97" t="s">
        <v>196</v>
      </c>
      <c r="B18" s="102">
        <f t="shared" ref="B18:G18" si="1">SUM(B7:B17)</f>
        <v>18.700000000000003</v>
      </c>
      <c r="C18" s="102">
        <f t="shared" si="1"/>
        <v>20.400000000000002</v>
      </c>
      <c r="D18" s="102">
        <f t="shared" si="1"/>
        <v>42.9</v>
      </c>
      <c r="E18" s="102">
        <f t="shared" si="1"/>
        <v>6.8000000000000016</v>
      </c>
      <c r="F18" s="102">
        <f t="shared" si="1"/>
        <v>24.3</v>
      </c>
      <c r="G18" s="146">
        <f t="shared" si="1"/>
        <v>20.816666666666666</v>
      </c>
    </row>
    <row r="22" spans="1:7">
      <c r="A22" s="700" t="s">
        <v>96</v>
      </c>
      <c r="B22" s="700"/>
      <c r="C22" s="700"/>
      <c r="D22" s="700"/>
      <c r="E22" s="700"/>
      <c r="F22" s="700"/>
      <c r="G22" s="700"/>
    </row>
    <row r="23" spans="1:7">
      <c r="A23" s="683">
        <v>1</v>
      </c>
      <c r="B23" s="701" t="s">
        <v>302</v>
      </c>
      <c r="C23" s="701"/>
      <c r="D23" s="701"/>
      <c r="E23" s="701"/>
      <c r="F23" s="701"/>
      <c r="G23" s="701"/>
    </row>
    <row r="24" spans="1:7">
      <c r="A24" s="683"/>
      <c r="B24" s="701"/>
      <c r="C24" s="701"/>
      <c r="D24" s="701"/>
      <c r="E24" s="701"/>
      <c r="F24" s="701"/>
      <c r="G24" s="701"/>
    </row>
    <row r="25" spans="1:7">
      <c r="A25" s="683"/>
      <c r="B25" s="701"/>
      <c r="C25" s="701"/>
      <c r="D25" s="701"/>
      <c r="E25" s="701"/>
      <c r="F25" s="701"/>
      <c r="G25" s="701"/>
    </row>
    <row r="26" spans="1:7">
      <c r="A26" s="682">
        <v>2</v>
      </c>
      <c r="B26" s="703" t="s">
        <v>1327</v>
      </c>
      <c r="C26" s="703"/>
      <c r="D26" s="703"/>
      <c r="E26" s="703"/>
      <c r="F26" s="703"/>
      <c r="G26" s="703"/>
    </row>
    <row r="27" spans="1:7">
      <c r="A27" s="683"/>
      <c r="B27" s="701"/>
      <c r="C27" s="701"/>
      <c r="D27" s="701"/>
      <c r="E27" s="701"/>
      <c r="F27" s="701"/>
      <c r="G27" s="701"/>
    </row>
    <row r="28" spans="1:7" ht="34" customHeight="1">
      <c r="A28" s="170">
        <v>3</v>
      </c>
      <c r="B28" s="703" t="s">
        <v>470</v>
      </c>
      <c r="C28" s="703"/>
      <c r="D28" s="703"/>
      <c r="E28" s="703"/>
      <c r="F28" s="703"/>
      <c r="G28" s="703"/>
    </row>
  </sheetData>
  <mergeCells count="8">
    <mergeCell ref="B28:G28"/>
    <mergeCell ref="B26:G27"/>
    <mergeCell ref="A26:A27"/>
    <mergeCell ref="A1:G1"/>
    <mergeCell ref="A3:G3"/>
    <mergeCell ref="A22:G22"/>
    <mergeCell ref="B23:G25"/>
    <mergeCell ref="A23:A25"/>
  </mergeCells>
  <pageMargins left="0.7" right="0.7" top="0.75" bottom="0.75" header="0.3" footer="0.3"/>
  <pageSetup paperSize="9" orientation="portrait" horizontalDpi="0" verticalDpi="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61496-56A6-284F-B2A9-E447F302FB2F}">
  <sheetPr>
    <tabColor theme="8" tint="0.79998168889431442"/>
  </sheetPr>
  <dimension ref="A1:AB38"/>
  <sheetViews>
    <sheetView zoomScale="75" workbookViewId="0">
      <selection activeCell="H23" sqref="H23"/>
    </sheetView>
  </sheetViews>
  <sheetFormatPr baseColWidth="10" defaultColWidth="8.83203125" defaultRowHeight="17"/>
  <cols>
    <col min="1" max="1" width="39.5" style="398" bestFit="1" customWidth="1"/>
    <col min="2" max="2" width="17.83203125" style="398" customWidth="1"/>
    <col min="3" max="3" width="32.6640625" style="398" bestFit="1" customWidth="1"/>
    <col min="4" max="4" width="17.6640625" style="398" bestFit="1" customWidth="1"/>
    <col min="5" max="28" width="23.1640625" style="398" customWidth="1"/>
    <col min="29" max="16384" width="8.83203125" style="398"/>
  </cols>
  <sheetData>
    <row r="1" spans="1:28" ht="25">
      <c r="A1" s="666" t="s">
        <v>418</v>
      </c>
      <c r="B1" s="666"/>
      <c r="C1" s="666"/>
      <c r="D1" s="666"/>
      <c r="E1" s="666"/>
      <c r="F1" s="666"/>
      <c r="G1" s="666"/>
      <c r="H1" s="666"/>
      <c r="I1" s="666"/>
      <c r="J1" s="666"/>
      <c r="K1" s="666"/>
      <c r="L1" s="666"/>
      <c r="M1" s="666"/>
      <c r="N1" s="666"/>
      <c r="O1" s="666"/>
      <c r="P1" s="666"/>
      <c r="Q1" s="666"/>
      <c r="R1" s="666"/>
      <c r="S1" s="666"/>
      <c r="T1" s="666"/>
    </row>
    <row r="2" spans="1:28">
      <c r="A2" s="395"/>
      <c r="B2" s="395"/>
      <c r="C2" s="395"/>
      <c r="D2" s="395"/>
      <c r="E2" s="395"/>
      <c r="F2" s="395"/>
      <c r="G2" s="395"/>
      <c r="H2" s="395"/>
      <c r="I2" s="395"/>
      <c r="J2" s="395"/>
      <c r="K2" s="395"/>
      <c r="L2" s="395"/>
      <c r="M2" s="395"/>
      <c r="N2" s="395"/>
      <c r="O2" s="395"/>
      <c r="P2" s="395"/>
      <c r="Q2" s="395"/>
      <c r="R2" s="395"/>
      <c r="S2" s="395"/>
      <c r="T2" s="395"/>
    </row>
    <row r="3" spans="1:28">
      <c r="A3" s="662" t="s">
        <v>95</v>
      </c>
      <c r="B3" s="662"/>
      <c r="C3" s="662"/>
      <c r="D3" s="662"/>
      <c r="E3" s="662"/>
      <c r="F3" s="662"/>
      <c r="G3" s="662"/>
      <c r="H3" s="662"/>
      <c r="I3" s="662"/>
      <c r="J3" s="662"/>
      <c r="K3" s="662"/>
      <c r="L3" s="662"/>
      <c r="M3" s="662"/>
      <c r="N3" s="662"/>
      <c r="O3" s="662"/>
      <c r="P3" s="662"/>
      <c r="Q3" s="662"/>
      <c r="R3" s="662"/>
      <c r="S3" s="662"/>
      <c r="T3" s="662"/>
    </row>
    <row r="4" spans="1:28" ht="17" customHeight="1">
      <c r="A4" s="317" t="s">
        <v>86</v>
      </c>
      <c r="B4" s="413" t="s">
        <v>87</v>
      </c>
      <c r="C4" s="416"/>
      <c r="D4" s="8"/>
      <c r="E4" s="415" t="s">
        <v>102</v>
      </c>
      <c r="F4" s="411" t="s">
        <v>424</v>
      </c>
      <c r="G4" s="417" t="s">
        <v>425</v>
      </c>
      <c r="H4" s="737" t="s">
        <v>420</v>
      </c>
      <c r="I4" s="737"/>
      <c r="J4" s="737"/>
      <c r="K4" s="737"/>
      <c r="L4" s="737"/>
      <c r="M4" s="737"/>
      <c r="N4" s="737"/>
      <c r="O4" s="737"/>
      <c r="P4" s="737"/>
      <c r="Q4" s="737"/>
      <c r="R4" s="737"/>
      <c r="S4" s="737"/>
      <c r="T4" s="737"/>
    </row>
    <row r="5" spans="1:28">
      <c r="A5" s="317"/>
      <c r="B5" s="413"/>
      <c r="C5" s="416"/>
      <c r="D5" s="8"/>
      <c r="E5" s="416"/>
      <c r="F5" s="415"/>
      <c r="G5" s="417"/>
      <c r="H5" s="737"/>
      <c r="I5" s="737"/>
      <c r="J5" s="737"/>
      <c r="K5" s="737"/>
      <c r="L5" s="737"/>
      <c r="M5" s="737"/>
      <c r="N5" s="737"/>
      <c r="O5" s="737"/>
      <c r="P5" s="737"/>
      <c r="Q5" s="737"/>
      <c r="R5" s="737"/>
      <c r="S5" s="737"/>
      <c r="T5" s="737"/>
    </row>
    <row r="6" spans="1:28">
      <c r="A6" s="317" t="s">
        <v>89</v>
      </c>
      <c r="B6" s="413" t="s">
        <v>419</v>
      </c>
      <c r="C6" s="416"/>
      <c r="D6" s="8"/>
      <c r="E6" s="416"/>
      <c r="F6" s="413"/>
      <c r="G6" s="416"/>
      <c r="H6" s="737"/>
      <c r="I6" s="737"/>
      <c r="J6" s="737"/>
      <c r="K6" s="737"/>
      <c r="L6" s="737"/>
      <c r="M6" s="737"/>
      <c r="N6" s="737"/>
      <c r="O6" s="737"/>
      <c r="P6" s="737"/>
      <c r="Q6" s="737"/>
      <c r="R6" s="737"/>
      <c r="S6" s="737"/>
      <c r="T6" s="737"/>
    </row>
    <row r="9" spans="1:28">
      <c r="A9" s="406" t="s">
        <v>381</v>
      </c>
      <c r="B9" s="412" t="s">
        <v>382</v>
      </c>
      <c r="C9" s="406" t="s">
        <v>383</v>
      </c>
      <c r="D9" s="412" t="s">
        <v>384</v>
      </c>
      <c r="E9" s="406" t="s">
        <v>385</v>
      </c>
      <c r="F9" s="406" t="s">
        <v>386</v>
      </c>
      <c r="G9" s="406" t="s">
        <v>387</v>
      </c>
      <c r="H9" s="406" t="s">
        <v>388</v>
      </c>
      <c r="I9" s="406" t="s">
        <v>389</v>
      </c>
      <c r="J9" s="406" t="s">
        <v>390</v>
      </c>
      <c r="K9" s="406" t="s">
        <v>391</v>
      </c>
      <c r="L9" s="406" t="s">
        <v>392</v>
      </c>
      <c r="M9" s="406" t="s">
        <v>393</v>
      </c>
      <c r="N9" s="406" t="s">
        <v>394</v>
      </c>
      <c r="O9" s="406" t="s">
        <v>395</v>
      </c>
      <c r="P9" s="406" t="s">
        <v>396</v>
      </c>
      <c r="Q9" s="406" t="s">
        <v>397</v>
      </c>
      <c r="R9" s="406" t="s">
        <v>398</v>
      </c>
      <c r="S9" s="406" t="s">
        <v>399</v>
      </c>
      <c r="T9" s="406" t="s">
        <v>400</v>
      </c>
      <c r="U9" s="406" t="s">
        <v>401</v>
      </c>
      <c r="V9" s="406" t="s">
        <v>402</v>
      </c>
      <c r="W9" s="406" t="s">
        <v>403</v>
      </c>
      <c r="X9" s="406" t="s">
        <v>404</v>
      </c>
      <c r="Y9" s="406" t="s">
        <v>405</v>
      </c>
      <c r="Z9" s="406" t="s">
        <v>406</v>
      </c>
      <c r="AA9" s="406" t="s">
        <v>407</v>
      </c>
      <c r="AB9" s="406" t="s">
        <v>408</v>
      </c>
    </row>
    <row r="10" spans="1:28" s="400" customFormat="1" ht="20" customHeight="1">
      <c r="A10" s="56" t="s">
        <v>409</v>
      </c>
      <c r="B10" s="404" t="s">
        <v>410</v>
      </c>
      <c r="C10" s="56" t="s">
        <v>411</v>
      </c>
      <c r="D10" s="404" t="s">
        <v>412</v>
      </c>
      <c r="E10" s="409">
        <v>0.63264399508255997</v>
      </c>
      <c r="F10" s="409">
        <v>0.52643539556405305</v>
      </c>
      <c r="G10" s="409">
        <v>0.455381285963537</v>
      </c>
      <c r="H10" s="409">
        <v>0.96120105196536498</v>
      </c>
      <c r="I10" s="409">
        <v>0.118380497121458</v>
      </c>
      <c r="J10" s="409">
        <f>(J11-I11)/I11</f>
        <v>4.4948813361939078E-3</v>
      </c>
      <c r="K10" s="409">
        <f t="shared" ref="K10:AB10" si="0">(K11-J11)/J11</f>
        <v>5.2504732298429904E-3</v>
      </c>
      <c r="L10" s="409">
        <f t="shared" si="0"/>
        <v>5.1374964193640791E-3</v>
      </c>
      <c r="M10" s="409">
        <f t="shared" si="0"/>
        <v>5.0220366008489753E-3</v>
      </c>
      <c r="N10" s="409">
        <f t="shared" si="0"/>
        <v>4.9055400683064715E-3</v>
      </c>
      <c r="O10" s="409">
        <f t="shared" si="0"/>
        <v>4.7762465938708957E-3</v>
      </c>
      <c r="P10" s="409">
        <f t="shared" si="0"/>
        <v>4.6661085497206652E-3</v>
      </c>
      <c r="Q10" s="409">
        <f t="shared" si="0"/>
        <v>4.5885305465033525E-3</v>
      </c>
      <c r="R10" s="409">
        <f t="shared" si="0"/>
        <v>4.4716665372776304E-3</v>
      </c>
      <c r="S10" s="409">
        <f t="shared" si="0"/>
        <v>4.3450157668992071E-3</v>
      </c>
      <c r="T10" s="409">
        <f t="shared" si="0"/>
        <v>4.2131325617454918E-3</v>
      </c>
      <c r="U10" s="409">
        <f t="shared" si="0"/>
        <v>4.0999658504027913E-3</v>
      </c>
      <c r="V10" s="409">
        <f t="shared" si="0"/>
        <v>3.9136298848797225E-3</v>
      </c>
      <c r="W10" s="409">
        <f t="shared" si="0"/>
        <v>3.7634985777777294E-3</v>
      </c>
      <c r="X10" s="409">
        <f t="shared" si="0"/>
        <v>3.6097708663241964E-3</v>
      </c>
      <c r="Y10" s="409">
        <f t="shared" si="0"/>
        <v>3.4365754517058683E-3</v>
      </c>
      <c r="Z10" s="409">
        <f t="shared" si="0"/>
        <v>3.2467234912911258E-3</v>
      </c>
      <c r="AA10" s="409">
        <f t="shared" si="0"/>
        <v>3.134387747891623E-3</v>
      </c>
      <c r="AB10" s="409">
        <f t="shared" si="0"/>
        <v>2.940321753372411E-3</v>
      </c>
    </row>
    <row r="11" spans="1:28" s="400" customFormat="1" ht="20" customHeight="1">
      <c r="A11" s="56" t="s">
        <v>409</v>
      </c>
      <c r="B11" s="404" t="s">
        <v>410</v>
      </c>
      <c r="C11" s="56" t="s">
        <v>421</v>
      </c>
      <c r="D11" s="404" t="s">
        <v>422</v>
      </c>
      <c r="E11" s="409">
        <v>325122128</v>
      </c>
      <c r="F11" s="409">
        <v>326838199</v>
      </c>
      <c r="G11" s="409">
        <v>328329953</v>
      </c>
      <c r="H11" s="409">
        <v>331501080</v>
      </c>
      <c r="I11" s="409">
        <v>331893745</v>
      </c>
      <c r="J11" s="409">
        <v>333385568</v>
      </c>
      <c r="K11" s="409">
        <v>335136000</v>
      </c>
      <c r="L11" s="409">
        <v>336857760</v>
      </c>
      <c r="M11" s="409">
        <v>338549472</v>
      </c>
      <c r="N11" s="409">
        <v>340210240</v>
      </c>
      <c r="O11" s="409">
        <v>341835168</v>
      </c>
      <c r="P11" s="409">
        <v>343430208</v>
      </c>
      <c r="Q11" s="409">
        <v>345006048</v>
      </c>
      <c r="R11" s="409">
        <v>346548800</v>
      </c>
      <c r="S11" s="409">
        <v>348054560</v>
      </c>
      <c r="T11" s="409">
        <v>349520960</v>
      </c>
      <c r="U11" s="409">
        <v>350953984</v>
      </c>
      <c r="V11" s="409">
        <v>352327488</v>
      </c>
      <c r="W11" s="409">
        <v>353653472</v>
      </c>
      <c r="X11" s="409">
        <v>354930080</v>
      </c>
      <c r="Y11" s="409">
        <v>356149824</v>
      </c>
      <c r="Z11" s="409">
        <v>357306144</v>
      </c>
      <c r="AA11" s="409">
        <v>358426080</v>
      </c>
      <c r="AB11" s="409">
        <v>359479968</v>
      </c>
    </row>
    <row r="12" spans="1:28" s="400" customFormat="1" ht="20" customHeight="1">
      <c r="A12" s="56" t="s">
        <v>414</v>
      </c>
      <c r="B12" s="404" t="s">
        <v>415</v>
      </c>
      <c r="C12" s="56" t="s">
        <v>411</v>
      </c>
      <c r="D12" s="404" t="s">
        <v>412</v>
      </c>
      <c r="E12" s="409">
        <v>1.19952071057872</v>
      </c>
      <c r="F12" s="409">
        <v>1.41245586917998</v>
      </c>
      <c r="G12" s="409">
        <v>1.43613682316886</v>
      </c>
      <c r="H12" s="409">
        <v>1.1527970771773599</v>
      </c>
      <c r="I12" s="409">
        <v>0.54770700629800595</v>
      </c>
      <c r="J12" s="409" t="s">
        <v>413</v>
      </c>
      <c r="K12" s="409" t="s">
        <v>413</v>
      </c>
      <c r="L12" s="409" t="s">
        <v>413</v>
      </c>
      <c r="M12" s="409" t="s">
        <v>413</v>
      </c>
      <c r="N12" s="409" t="s">
        <v>413</v>
      </c>
      <c r="O12" s="409" t="s">
        <v>413</v>
      </c>
      <c r="P12" s="409" t="s">
        <v>413</v>
      </c>
      <c r="Q12" s="409" t="s">
        <v>413</v>
      </c>
      <c r="R12" s="409" t="s">
        <v>413</v>
      </c>
      <c r="S12" s="409" t="s">
        <v>413</v>
      </c>
      <c r="T12" s="409" t="s">
        <v>413</v>
      </c>
      <c r="U12" s="409" t="s">
        <v>413</v>
      </c>
      <c r="V12" s="409" t="s">
        <v>413</v>
      </c>
      <c r="W12" s="409" t="s">
        <v>413</v>
      </c>
      <c r="X12" s="409" t="s">
        <v>413</v>
      </c>
      <c r="Y12" s="409" t="s">
        <v>413</v>
      </c>
      <c r="Z12" s="409" t="s">
        <v>413</v>
      </c>
      <c r="AA12" s="409" t="s">
        <v>413</v>
      </c>
      <c r="AB12" s="409" t="s">
        <v>413</v>
      </c>
    </row>
    <row r="13" spans="1:28" s="400" customFormat="1" ht="20" customHeight="1">
      <c r="A13" s="56" t="s">
        <v>414</v>
      </c>
      <c r="B13" s="404" t="s">
        <v>415</v>
      </c>
      <c r="C13" s="56" t="s">
        <v>421</v>
      </c>
      <c r="D13" s="404" t="s">
        <v>422</v>
      </c>
      <c r="E13" s="409">
        <v>36545236</v>
      </c>
      <c r="F13" s="409">
        <v>37065084</v>
      </c>
      <c r="G13" s="409">
        <v>37601230</v>
      </c>
      <c r="H13" s="409">
        <v>38037204</v>
      </c>
      <c r="I13" s="409">
        <v>38246108</v>
      </c>
      <c r="J13" s="409">
        <v>38561472</v>
      </c>
      <c r="K13" s="409">
        <v>38877304</v>
      </c>
      <c r="L13" s="409">
        <v>39190668</v>
      </c>
      <c r="M13" s="409">
        <v>39503132</v>
      </c>
      <c r="N13" s="409">
        <v>39810604</v>
      </c>
      <c r="O13" s="409">
        <v>40111328</v>
      </c>
      <c r="P13" s="409">
        <v>40409556</v>
      </c>
      <c r="Q13" s="409">
        <v>40701768</v>
      </c>
      <c r="R13" s="409">
        <v>40996448</v>
      </c>
      <c r="S13" s="409">
        <v>41287480</v>
      </c>
      <c r="T13" s="409">
        <v>41571856</v>
      </c>
      <c r="U13" s="409">
        <v>41850008</v>
      </c>
      <c r="V13" s="409">
        <v>42120168</v>
      </c>
      <c r="W13" s="409">
        <v>42383088</v>
      </c>
      <c r="X13" s="409">
        <v>42639380</v>
      </c>
      <c r="Y13" s="409">
        <v>42891564</v>
      </c>
      <c r="Z13" s="409">
        <v>43135984</v>
      </c>
      <c r="AA13" s="409">
        <v>43375132</v>
      </c>
      <c r="AB13" s="409">
        <v>43607384</v>
      </c>
    </row>
    <row r="14" spans="1:28" s="400" customFormat="1" ht="20" customHeight="1">
      <c r="A14" s="56" t="s">
        <v>416</v>
      </c>
      <c r="B14" s="404" t="s">
        <v>417</v>
      </c>
      <c r="C14" s="56" t="s">
        <v>411</v>
      </c>
      <c r="D14" s="404" t="s">
        <v>412</v>
      </c>
      <c r="E14" s="409">
        <v>1.1508844138175931</v>
      </c>
      <c r="F14" s="409">
        <v>1.1034175751964739</v>
      </c>
      <c r="G14" s="409">
        <v>1.0559639492311135</v>
      </c>
      <c r="H14" s="409">
        <v>1.0112722008657897</v>
      </c>
      <c r="I14" s="409">
        <v>0.86213171317548642</v>
      </c>
      <c r="J14" s="409">
        <v>0.82875320742476788</v>
      </c>
      <c r="K14" s="409">
        <v>0.88911325577507228</v>
      </c>
      <c r="L14" s="409">
        <v>0.91488592667884916</v>
      </c>
      <c r="M14" s="409">
        <v>0.89950468927466432</v>
      </c>
      <c r="N14" s="409">
        <v>0.88123301314138303</v>
      </c>
      <c r="O14" s="409">
        <v>0.86324124124121226</v>
      </c>
      <c r="P14" s="409">
        <v>0.84579629142027102</v>
      </c>
      <c r="Q14" s="409">
        <v>0.82837630382029204</v>
      </c>
      <c r="R14" s="409">
        <v>0.81085245791152261</v>
      </c>
      <c r="S14" s="409">
        <v>0.79324673049137573</v>
      </c>
      <c r="T14" s="409">
        <v>0.77623322588226529</v>
      </c>
      <c r="U14" s="409">
        <v>0.75934604463621724</v>
      </c>
      <c r="V14" s="409">
        <v>0.74157853546188335</v>
      </c>
      <c r="W14" s="409">
        <v>0.72518296680308936</v>
      </c>
      <c r="X14" s="409">
        <v>0.70862443267121478</v>
      </c>
      <c r="Y14" s="409">
        <v>0.69373142035125568</v>
      </c>
      <c r="Z14" s="409">
        <v>0.67982194601323442</v>
      </c>
      <c r="AA14" s="409">
        <v>0.66504555529193965</v>
      </c>
      <c r="AB14" s="409">
        <v>0.64937542933019188</v>
      </c>
    </row>
    <row r="15" spans="1:28" s="400" customFormat="1" ht="20" customHeight="1">
      <c r="A15" s="56" t="s">
        <v>416</v>
      </c>
      <c r="B15" s="404" t="s">
        <v>417</v>
      </c>
      <c r="C15" s="56" t="s">
        <v>421</v>
      </c>
      <c r="D15" s="404" t="s">
        <v>422</v>
      </c>
      <c r="E15" s="409">
        <v>7578157615</v>
      </c>
      <c r="F15" s="409">
        <v>7661776338</v>
      </c>
      <c r="G15" s="409">
        <v>7742681934</v>
      </c>
      <c r="H15" s="409">
        <v>7820981524</v>
      </c>
      <c r="I15" s="409">
        <v>7888408686</v>
      </c>
      <c r="J15" s="409">
        <v>7953784126</v>
      </c>
      <c r="K15" s="409">
        <v>8024502275</v>
      </c>
      <c r="L15" s="409">
        <v>8097917317</v>
      </c>
      <c r="M15" s="409">
        <v>8170758463</v>
      </c>
      <c r="N15" s="409">
        <v>8242761884</v>
      </c>
      <c r="O15" s="409">
        <v>8313916804</v>
      </c>
      <c r="P15" s="409">
        <v>8384235604</v>
      </c>
      <c r="Q15" s="409">
        <v>8453688625</v>
      </c>
      <c r="R15" s="409">
        <v>8522235567</v>
      </c>
      <c r="S15" s="409">
        <v>8589837922</v>
      </c>
      <c r="T15" s="409">
        <v>8656515098</v>
      </c>
      <c r="U15" s="409">
        <v>8722248003</v>
      </c>
      <c r="V15" s="409">
        <v>8786930322</v>
      </c>
      <c r="W15" s="409">
        <v>8850651644</v>
      </c>
      <c r="X15" s="409">
        <v>8913369524</v>
      </c>
      <c r="Y15" s="409">
        <v>8975204369</v>
      </c>
      <c r="Z15" s="409">
        <v>9036219778</v>
      </c>
      <c r="AA15" s="409">
        <v>9096314756</v>
      </c>
      <c r="AB15" s="409">
        <v>9155383989</v>
      </c>
    </row>
    <row r="16" spans="1:28" s="400" customFormat="1" ht="20" customHeight="1">
      <c r="A16" s="56" t="s">
        <v>134</v>
      </c>
      <c r="B16" s="404"/>
      <c r="C16" s="56" t="s">
        <v>421</v>
      </c>
      <c r="D16" s="404"/>
      <c r="E16" s="409">
        <f>E11+E13</f>
        <v>361667364</v>
      </c>
      <c r="F16" s="409">
        <f t="shared" ref="F16:AB16" si="1">F11+F13</f>
        <v>363903283</v>
      </c>
      <c r="G16" s="409">
        <f t="shared" si="1"/>
        <v>365931183</v>
      </c>
      <c r="H16" s="409">
        <f t="shared" si="1"/>
        <v>369538284</v>
      </c>
      <c r="I16" s="409">
        <f t="shared" si="1"/>
        <v>370139853</v>
      </c>
      <c r="J16" s="409">
        <f t="shared" si="1"/>
        <v>371947040</v>
      </c>
      <c r="K16" s="409">
        <f t="shared" si="1"/>
        <v>374013304</v>
      </c>
      <c r="L16" s="409">
        <f t="shared" si="1"/>
        <v>376048428</v>
      </c>
      <c r="M16" s="409">
        <f t="shared" si="1"/>
        <v>378052604</v>
      </c>
      <c r="N16" s="409">
        <f t="shared" si="1"/>
        <v>380020844</v>
      </c>
      <c r="O16" s="409">
        <f t="shared" si="1"/>
        <v>381946496</v>
      </c>
      <c r="P16" s="409">
        <f t="shared" si="1"/>
        <v>383839764</v>
      </c>
      <c r="Q16" s="409">
        <f t="shared" si="1"/>
        <v>385707816</v>
      </c>
      <c r="R16" s="409">
        <f t="shared" si="1"/>
        <v>387545248</v>
      </c>
      <c r="S16" s="409">
        <f t="shared" si="1"/>
        <v>389342040</v>
      </c>
      <c r="T16" s="409">
        <f t="shared" si="1"/>
        <v>391092816</v>
      </c>
      <c r="U16" s="409">
        <f t="shared" si="1"/>
        <v>392803992</v>
      </c>
      <c r="V16" s="409">
        <f t="shared" si="1"/>
        <v>394447656</v>
      </c>
      <c r="W16" s="409">
        <f t="shared" si="1"/>
        <v>396036560</v>
      </c>
      <c r="X16" s="409">
        <f t="shared" si="1"/>
        <v>397569460</v>
      </c>
      <c r="Y16" s="409">
        <f t="shared" si="1"/>
        <v>399041388</v>
      </c>
      <c r="Z16" s="409">
        <f t="shared" si="1"/>
        <v>400442128</v>
      </c>
      <c r="AA16" s="409">
        <f t="shared" si="1"/>
        <v>401801212</v>
      </c>
      <c r="AB16" s="409">
        <f t="shared" si="1"/>
        <v>403087352</v>
      </c>
    </row>
    <row r="17" spans="1:28" s="400" customFormat="1" ht="20" customHeight="1">
      <c r="A17" s="56" t="s">
        <v>134</v>
      </c>
      <c r="B17" s="404"/>
      <c r="C17" s="56" t="s">
        <v>411</v>
      </c>
      <c r="D17" s="404"/>
      <c r="E17" s="409"/>
      <c r="F17" s="409">
        <f>100*(F16-E16)/E16</f>
        <v>0.61822525960622754</v>
      </c>
      <c r="G17" s="409">
        <f t="shared" ref="G17:AB17" si="2">100*(G16-F16)/F16</f>
        <v>0.55726345288289136</v>
      </c>
      <c r="H17" s="409">
        <f t="shared" si="2"/>
        <v>0.98573206317866602</v>
      </c>
      <c r="I17" s="409">
        <f t="shared" si="2"/>
        <v>0.16278935797623609</v>
      </c>
      <c r="J17" s="409">
        <f t="shared" si="2"/>
        <v>0.48824437178344043</v>
      </c>
      <c r="K17" s="409">
        <f t="shared" si="2"/>
        <v>0.55552639967238349</v>
      </c>
      <c r="L17" s="409">
        <f t="shared" si="2"/>
        <v>0.54413144619048093</v>
      </c>
      <c r="M17" s="409">
        <f t="shared" si="2"/>
        <v>0.53295688820164411</v>
      </c>
      <c r="N17" s="409">
        <f t="shared" si="2"/>
        <v>0.52062596029625552</v>
      </c>
      <c r="O17" s="409">
        <f t="shared" si="2"/>
        <v>0.50672273124050005</v>
      </c>
      <c r="P17" s="409">
        <f t="shared" si="2"/>
        <v>0.49568932293595386</v>
      </c>
      <c r="Q17" s="409">
        <f t="shared" si="2"/>
        <v>0.48667495533370536</v>
      </c>
      <c r="R17" s="409">
        <f t="shared" si="2"/>
        <v>0.47637924972720802</v>
      </c>
      <c r="S17" s="409">
        <f t="shared" si="2"/>
        <v>0.46363411995700693</v>
      </c>
      <c r="T17" s="409">
        <f t="shared" si="2"/>
        <v>0.44967556033764039</v>
      </c>
      <c r="U17" s="409">
        <f t="shared" si="2"/>
        <v>0.43753705769936718</v>
      </c>
      <c r="V17" s="409">
        <f t="shared" si="2"/>
        <v>0.4184438125567726</v>
      </c>
      <c r="W17" s="409">
        <f t="shared" si="2"/>
        <v>0.40281745266601354</v>
      </c>
      <c r="X17" s="409">
        <f t="shared" si="2"/>
        <v>0.38706022494488895</v>
      </c>
      <c r="Y17" s="409">
        <f t="shared" si="2"/>
        <v>0.37023165712980066</v>
      </c>
      <c r="Z17" s="409">
        <f t="shared" si="2"/>
        <v>0.35102624492675433</v>
      </c>
      <c r="AA17" s="409">
        <f t="shared" si="2"/>
        <v>0.33939585896916419</v>
      </c>
      <c r="AB17" s="409">
        <f t="shared" si="2"/>
        <v>0.32009360887642119</v>
      </c>
    </row>
    <row r="18" spans="1:28" s="400" customFormat="1" ht="20" customHeight="1">
      <c r="A18" s="56" t="s">
        <v>535</v>
      </c>
      <c r="B18" s="404"/>
      <c r="C18" s="56" t="s">
        <v>421</v>
      </c>
      <c r="D18" s="404"/>
      <c r="E18" s="410">
        <f>E15-(E11+E13)</f>
        <v>7216490251</v>
      </c>
      <c r="F18" s="410">
        <f t="shared" ref="F18:AB18" si="3">F15-(F11+F13)</f>
        <v>7297873055</v>
      </c>
      <c r="G18" s="410">
        <f t="shared" si="3"/>
        <v>7376750751</v>
      </c>
      <c r="H18" s="410">
        <f t="shared" si="3"/>
        <v>7451443240</v>
      </c>
      <c r="I18" s="410">
        <f t="shared" si="3"/>
        <v>7518268833</v>
      </c>
      <c r="J18" s="410">
        <f t="shared" si="3"/>
        <v>7581837086</v>
      </c>
      <c r="K18" s="410">
        <f t="shared" si="3"/>
        <v>7650488971</v>
      </c>
      <c r="L18" s="410">
        <f t="shared" si="3"/>
        <v>7721868889</v>
      </c>
      <c r="M18" s="410">
        <f t="shared" si="3"/>
        <v>7792705859</v>
      </c>
      <c r="N18" s="410">
        <f t="shared" si="3"/>
        <v>7862741040</v>
      </c>
      <c r="O18" s="410">
        <f t="shared" si="3"/>
        <v>7931970308</v>
      </c>
      <c r="P18" s="410">
        <f t="shared" si="3"/>
        <v>8000395840</v>
      </c>
      <c r="Q18" s="410">
        <f t="shared" si="3"/>
        <v>8067980809</v>
      </c>
      <c r="R18" s="410">
        <f t="shared" si="3"/>
        <v>8134690319</v>
      </c>
      <c r="S18" s="410">
        <f t="shared" si="3"/>
        <v>8200495882</v>
      </c>
      <c r="T18" s="410">
        <f t="shared" si="3"/>
        <v>8265422282</v>
      </c>
      <c r="U18" s="410">
        <f t="shared" si="3"/>
        <v>8329444011</v>
      </c>
      <c r="V18" s="410">
        <f t="shared" si="3"/>
        <v>8392482666</v>
      </c>
      <c r="W18" s="410">
        <f t="shared" si="3"/>
        <v>8454615084</v>
      </c>
      <c r="X18" s="410">
        <f t="shared" si="3"/>
        <v>8515800064</v>
      </c>
      <c r="Y18" s="410">
        <f t="shared" si="3"/>
        <v>8576162981</v>
      </c>
      <c r="Z18" s="410">
        <f t="shared" si="3"/>
        <v>8635777650</v>
      </c>
      <c r="AA18" s="410">
        <f t="shared" si="3"/>
        <v>8694513544</v>
      </c>
      <c r="AB18" s="410">
        <f t="shared" si="3"/>
        <v>8752296637</v>
      </c>
    </row>
    <row r="19" spans="1:28" ht="20" customHeight="1">
      <c r="A19" s="56" t="s">
        <v>535</v>
      </c>
      <c r="B19" s="399"/>
      <c r="C19" s="56" t="s">
        <v>411</v>
      </c>
      <c r="D19" s="411"/>
      <c r="E19" s="411"/>
      <c r="F19" s="411">
        <f>100*(F18-E18)/E18</f>
        <v>1.1277338591113963</v>
      </c>
      <c r="G19" s="411">
        <f t="shared" ref="G19:AB19" si="4">100*(G18-F18)/F18</f>
        <v>1.0808312970853671</v>
      </c>
      <c r="H19" s="411">
        <f t="shared" si="4"/>
        <v>1.0125391452310437</v>
      </c>
      <c r="I19" s="411">
        <f t="shared" si="4"/>
        <v>0.89681409154772007</v>
      </c>
      <c r="J19" s="411">
        <f t="shared" si="4"/>
        <v>0.84551715843119812</v>
      </c>
      <c r="K19" s="411">
        <f t="shared" si="4"/>
        <v>0.90547823992112619</v>
      </c>
      <c r="L19" s="411">
        <f t="shared" si="4"/>
        <v>0.93301118752766321</v>
      </c>
      <c r="M19" s="411">
        <f t="shared" si="4"/>
        <v>0.91735525451499289</v>
      </c>
      <c r="N19" s="411">
        <f t="shared" si="4"/>
        <v>0.8987273774630482</v>
      </c>
      <c r="O19" s="411">
        <f t="shared" si="4"/>
        <v>0.88047244145280923</v>
      </c>
      <c r="P19" s="411">
        <f t="shared" si="4"/>
        <v>0.86265491855141729</v>
      </c>
      <c r="Q19" s="411">
        <f t="shared" si="4"/>
        <v>0.84477031326489971</v>
      </c>
      <c r="R19" s="411">
        <f t="shared" si="4"/>
        <v>0.82684269557984269</v>
      </c>
      <c r="S19" s="411">
        <f t="shared" si="4"/>
        <v>0.8089498237726338</v>
      </c>
      <c r="T19" s="411">
        <f t="shared" si="4"/>
        <v>0.79173748678433886</v>
      </c>
      <c r="U19" s="411">
        <f t="shared" si="4"/>
        <v>0.7745729959789609</v>
      </c>
      <c r="V19" s="411">
        <f t="shared" si="4"/>
        <v>0.7568170806688912</v>
      </c>
      <c r="W19" s="411">
        <f t="shared" si="4"/>
        <v>0.74033418325322997</v>
      </c>
      <c r="X19" s="411">
        <f t="shared" si="4"/>
        <v>0.72368735172568621</v>
      </c>
      <c r="Y19" s="411">
        <f t="shared" si="4"/>
        <v>0.70883436137938904</v>
      </c>
      <c r="Z19" s="411">
        <f t="shared" si="4"/>
        <v>0.69512052338642472</v>
      </c>
      <c r="AA19" s="411">
        <f t="shared" si="4"/>
        <v>0.68014597388342901</v>
      </c>
      <c r="AB19" s="411">
        <f t="shared" si="4"/>
        <v>0.66459259287571704</v>
      </c>
    </row>
    <row r="20" spans="1:28" ht="20" customHeight="1">
      <c r="A20" s="400"/>
    </row>
    <row r="21" spans="1:28" ht="20" customHeight="1">
      <c r="A21" s="738" t="s">
        <v>423</v>
      </c>
      <c r="B21" s="738"/>
      <c r="C21" s="738"/>
    </row>
    <row r="22" spans="1:28" ht="20" customHeight="1" thickBot="1">
      <c r="A22" s="56" t="s">
        <v>134</v>
      </c>
      <c r="B22" s="401">
        <f>AVERAGE(P17:AB17)/100</f>
        <v>4.1528147123543824E-3</v>
      </c>
      <c r="C22" s="399"/>
    </row>
    <row r="23" spans="1:28" ht="20" customHeight="1" thickTop="1" thickBot="1">
      <c r="A23" s="56" t="s">
        <v>173</v>
      </c>
      <c r="B23" s="401">
        <f>AVERAGE(P19:AB19)/100</f>
        <v>7.5992771546960457E-3</v>
      </c>
      <c r="C23" s="399"/>
    </row>
    <row r="24" spans="1:28" ht="18" thickTop="1"/>
    <row r="25" spans="1:28">
      <c r="A25" s="739" t="s">
        <v>560</v>
      </c>
      <c r="B25" s="739"/>
      <c r="C25" s="739"/>
      <c r="D25" s="739"/>
      <c r="E25" s="739"/>
      <c r="F25" s="739"/>
      <c r="G25" s="739"/>
      <c r="H25" s="739"/>
      <c r="I25" s="739"/>
      <c r="J25" s="739"/>
      <c r="K25" s="739"/>
      <c r="L25" s="739"/>
      <c r="M25" s="739"/>
      <c r="N25" s="739"/>
      <c r="O25" s="739"/>
      <c r="P25" s="739"/>
      <c r="Q25" s="739"/>
      <c r="R25" s="739"/>
      <c r="S25" s="739"/>
    </row>
    <row r="26" spans="1:28" s="400" customFormat="1">
      <c r="A26" s="56" t="s">
        <v>381</v>
      </c>
      <c r="B26" s="404" t="s">
        <v>382</v>
      </c>
      <c r="C26" s="56" t="s">
        <v>383</v>
      </c>
      <c r="D26" s="404" t="s">
        <v>384</v>
      </c>
      <c r="E26" s="56" t="s">
        <v>541</v>
      </c>
      <c r="F26" s="56" t="s">
        <v>542</v>
      </c>
      <c r="G26" s="56" t="s">
        <v>543</v>
      </c>
      <c r="H26" s="56" t="s">
        <v>544</v>
      </c>
      <c r="I26" s="56" t="s">
        <v>545</v>
      </c>
      <c r="J26" s="56" t="s">
        <v>546</v>
      </c>
      <c r="K26" s="56" t="s">
        <v>547</v>
      </c>
      <c r="L26" s="56" t="s">
        <v>548</v>
      </c>
      <c r="M26" s="56" t="s">
        <v>549</v>
      </c>
      <c r="N26" s="56" t="s">
        <v>550</v>
      </c>
      <c r="O26" s="56" t="s">
        <v>385</v>
      </c>
      <c r="P26" s="56" t="s">
        <v>386</v>
      </c>
      <c r="Q26" s="56" t="s">
        <v>387</v>
      </c>
      <c r="R26" s="56" t="s">
        <v>388</v>
      </c>
      <c r="S26" s="56" t="s">
        <v>389</v>
      </c>
    </row>
    <row r="27" spans="1:28" s="400" customFormat="1">
      <c r="A27" s="56" t="s">
        <v>557</v>
      </c>
      <c r="B27" s="404" t="s">
        <v>417</v>
      </c>
      <c r="C27" s="56" t="s">
        <v>551</v>
      </c>
      <c r="D27" s="404" t="s">
        <v>552</v>
      </c>
      <c r="E27" s="405">
        <v>4.81023704342911</v>
      </c>
      <c r="F27" s="405">
        <v>8.9499533535338607</v>
      </c>
      <c r="G27" s="405">
        <v>2.9285643270103199</v>
      </c>
      <c r="H27" s="405">
        <v>3.3468686696499148</v>
      </c>
      <c r="I27" s="405">
        <v>4.822396360133185</v>
      </c>
      <c r="J27" s="405">
        <v>3.7253266611064699</v>
      </c>
      <c r="K27" s="405">
        <v>2.6210500174811502</v>
      </c>
      <c r="L27" s="405">
        <v>2.3462686567164299</v>
      </c>
      <c r="M27" s="405">
        <v>1.4343176337306349</v>
      </c>
      <c r="N27" s="405">
        <v>1.5500164172214701</v>
      </c>
      <c r="O27" s="405">
        <v>2.1920101096304299</v>
      </c>
      <c r="P27" s="405">
        <v>2.4387365552293803</v>
      </c>
      <c r="Q27" s="405">
        <v>2.1869015454346199</v>
      </c>
      <c r="R27" s="405">
        <v>1.9209680056684499</v>
      </c>
      <c r="S27" s="405">
        <v>3.4950575739945302</v>
      </c>
    </row>
    <row r="28" spans="1:28" s="400" customFormat="1">
      <c r="A28" s="56" t="s">
        <v>558</v>
      </c>
      <c r="B28" s="404" t="s">
        <v>417</v>
      </c>
      <c r="C28" s="56" t="s">
        <v>553</v>
      </c>
      <c r="D28" s="404" t="s">
        <v>554</v>
      </c>
      <c r="E28" s="405">
        <v>5.7830107188533191</v>
      </c>
      <c r="F28" s="405">
        <v>7.8609660922653859</v>
      </c>
      <c r="G28" s="405">
        <v>2.1693917326207242</v>
      </c>
      <c r="H28" s="405">
        <v>4.2297849990792855</v>
      </c>
      <c r="I28" s="405">
        <v>5.5390564315126198</v>
      </c>
      <c r="J28" s="405">
        <v>3.6339995760225889</v>
      </c>
      <c r="K28" s="405">
        <v>2.2435897435897374</v>
      </c>
      <c r="L28" s="405">
        <v>1.9445986973370566</v>
      </c>
      <c r="M28" s="405">
        <v>2.240523948051333</v>
      </c>
      <c r="N28" s="405">
        <v>1.9016467754663751</v>
      </c>
      <c r="O28" s="405">
        <v>2.9478772084135869</v>
      </c>
      <c r="P28" s="405">
        <v>2.71684313517666</v>
      </c>
      <c r="Q28" s="405">
        <v>2.4062958850228995</v>
      </c>
      <c r="R28" s="405">
        <v>1.8035639839194957</v>
      </c>
      <c r="S28" s="405">
        <v>4.3276525120331968</v>
      </c>
    </row>
    <row r="30" spans="1:28">
      <c r="A30" s="406" t="s">
        <v>559</v>
      </c>
      <c r="B30" s="406"/>
    </row>
    <row r="31" spans="1:28" ht="18" thickBot="1">
      <c r="A31" s="407" t="s">
        <v>416</v>
      </c>
      <c r="B31" s="408">
        <f>AVERAGE(E27:S27)/100</f>
        <v>3.2512448619979969E-2</v>
      </c>
      <c r="C31" s="402"/>
    </row>
    <row r="32" spans="1:28" ht="18" thickTop="1"/>
    <row r="33" spans="1:25" s="397" customFormat="1" ht="16" customHeight="1">
      <c r="A33" s="656" t="s">
        <v>96</v>
      </c>
      <c r="B33" s="656"/>
      <c r="C33" s="656"/>
      <c r="D33" s="656"/>
      <c r="E33" s="656"/>
      <c r="F33" s="656"/>
      <c r="G33" s="656"/>
      <c r="H33" s="656"/>
      <c r="I33" s="396"/>
      <c r="J33" s="396"/>
      <c r="K33" s="396"/>
      <c r="L33" s="396"/>
      <c r="M33" s="396"/>
      <c r="N33" s="396"/>
      <c r="O33" s="396"/>
      <c r="P33" s="396"/>
      <c r="Q33" s="396"/>
      <c r="R33" s="396"/>
      <c r="S33" s="396"/>
      <c r="T33" s="396"/>
      <c r="U33" s="396"/>
      <c r="V33" s="396"/>
      <c r="W33" s="396"/>
      <c r="X33" s="396"/>
      <c r="Y33" s="396"/>
    </row>
    <row r="34" spans="1:25" s="397" customFormat="1" ht="16" customHeight="1">
      <c r="A34" s="180">
        <v>1</v>
      </c>
      <c r="B34" s="657" t="s">
        <v>426</v>
      </c>
      <c r="C34" s="657"/>
      <c r="D34" s="657"/>
      <c r="E34" s="657"/>
      <c r="F34" s="657"/>
      <c r="G34" s="657"/>
      <c r="H34" s="657"/>
      <c r="I34" s="396"/>
      <c r="J34" s="396"/>
      <c r="K34" s="396"/>
      <c r="L34" s="396"/>
      <c r="M34" s="396"/>
      <c r="N34" s="396"/>
      <c r="O34" s="396"/>
      <c r="P34" s="396"/>
      <c r="Q34" s="396"/>
      <c r="R34" s="396"/>
      <c r="S34" s="396"/>
      <c r="T34" s="396"/>
      <c r="U34" s="396"/>
      <c r="V34" s="396"/>
      <c r="W34" s="396"/>
      <c r="X34" s="396"/>
      <c r="Y34" s="396"/>
    </row>
    <row r="35" spans="1:25" s="397" customFormat="1" ht="16" customHeight="1">
      <c r="A35" s="180">
        <v>2</v>
      </c>
      <c r="B35" s="56" t="s">
        <v>555</v>
      </c>
      <c r="C35" s="309"/>
      <c r="D35" s="309"/>
      <c r="E35" s="309"/>
      <c r="F35" s="309"/>
      <c r="G35" s="309"/>
      <c r="H35" s="309"/>
      <c r="I35" s="396"/>
      <c r="J35" s="396"/>
      <c r="K35" s="396"/>
      <c r="L35" s="396"/>
      <c r="M35" s="396"/>
      <c r="N35" s="396"/>
      <c r="O35" s="396"/>
      <c r="P35" s="396"/>
      <c r="Q35" s="396"/>
      <c r="R35" s="396"/>
      <c r="S35" s="396"/>
      <c r="T35" s="396"/>
      <c r="U35" s="396"/>
      <c r="V35" s="396"/>
      <c r="W35" s="396"/>
      <c r="X35" s="396"/>
      <c r="Y35" s="396"/>
    </row>
    <row r="36" spans="1:25" s="397" customFormat="1" ht="16" customHeight="1">
      <c r="A36" s="180">
        <v>3</v>
      </c>
      <c r="B36" s="56" t="s">
        <v>556</v>
      </c>
      <c r="C36" s="309"/>
      <c r="D36" s="309"/>
      <c r="E36" s="309"/>
      <c r="F36" s="309"/>
      <c r="G36" s="309"/>
      <c r="H36" s="309"/>
      <c r="I36" s="396"/>
      <c r="J36" s="396"/>
      <c r="K36" s="396"/>
      <c r="L36" s="396"/>
      <c r="M36" s="396"/>
      <c r="N36" s="396"/>
      <c r="O36" s="396"/>
      <c r="P36" s="396"/>
      <c r="Q36" s="396"/>
      <c r="R36" s="396"/>
      <c r="S36" s="396"/>
      <c r="T36" s="396"/>
      <c r="U36" s="396"/>
      <c r="V36" s="396"/>
      <c r="W36" s="396"/>
      <c r="X36" s="396"/>
      <c r="Y36" s="396"/>
    </row>
    <row r="37" spans="1:25">
      <c r="A37" s="414">
        <v>3</v>
      </c>
      <c r="B37" s="56" t="s">
        <v>561</v>
      </c>
      <c r="C37" s="399"/>
      <c r="D37" s="399"/>
      <c r="E37" s="399"/>
      <c r="F37" s="399"/>
      <c r="G37" s="399"/>
      <c r="H37" s="399"/>
    </row>
    <row r="38" spans="1:25">
      <c r="B38" s="403"/>
    </row>
  </sheetData>
  <mergeCells count="7">
    <mergeCell ref="A33:H33"/>
    <mergeCell ref="B34:H34"/>
    <mergeCell ref="H4:T6"/>
    <mergeCell ref="A1:T1"/>
    <mergeCell ref="A3:T3"/>
    <mergeCell ref="A21:C21"/>
    <mergeCell ref="A25:S25"/>
  </mergeCells>
  <hyperlinks>
    <hyperlink ref="H4" r:id="rId1" display="Marriott Official Website" xr:uid="{3991F187-A5CE-A347-A2EB-7723E2BD1DD1}"/>
    <hyperlink ref="H4:T6" r:id="rId2" display="Derived from total population. Population source: (1) United Nations Population Division. World Population Prospects: 2022 Revision, (2) Census reports and other statistical publications from national statistical offices, (3) Eurostat: Demographic Statist" xr:uid="{EC6E7C1B-D4AB-664D-9837-4F806851FB3C}"/>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143E5-50B3-1842-81C1-6D19AC22F047}">
  <sheetPr>
    <outlinePr summaryBelow="0" summaryRight="0"/>
  </sheetPr>
  <dimension ref="A1:L63"/>
  <sheetViews>
    <sheetView zoomScale="84" workbookViewId="0">
      <selection activeCell="G26" sqref="G26"/>
    </sheetView>
  </sheetViews>
  <sheetFormatPr baseColWidth="10" defaultColWidth="11.1640625" defaultRowHeight="15" customHeight="1"/>
  <cols>
    <col min="1" max="1" width="45" style="214" customWidth="1"/>
    <col min="2" max="2" width="11.1640625" style="214"/>
    <col min="3" max="3" width="10.5" style="214" bestFit="1" customWidth="1"/>
    <col min="4" max="4" width="45.83203125" style="214" customWidth="1"/>
    <col min="5" max="7" width="11.1640625" style="214"/>
    <col min="8" max="8" width="45" style="214" bestFit="1" customWidth="1"/>
    <col min="9" max="9" width="8" style="214" bestFit="1" customWidth="1"/>
    <col min="10" max="10" width="8.5" style="214" customWidth="1"/>
    <col min="11" max="11" width="46.33203125" style="214" bestFit="1" customWidth="1"/>
    <col min="12" max="12" width="6.6640625" style="214" bestFit="1" customWidth="1"/>
    <col min="13" max="16384" width="11.1640625" style="214"/>
  </cols>
  <sheetData>
    <row r="1" spans="1:12" ht="16">
      <c r="A1" s="740" t="s">
        <v>483</v>
      </c>
      <c r="B1" s="740"/>
      <c r="C1" s="740"/>
      <c r="D1" s="740"/>
      <c r="E1" s="740"/>
      <c r="H1" s="740" t="s">
        <v>538</v>
      </c>
      <c r="I1" s="740"/>
      <c r="J1" s="740"/>
      <c r="K1" s="740"/>
      <c r="L1" s="740"/>
    </row>
    <row r="2" spans="1:12" ht="16">
      <c r="A2" s="741" t="s">
        <v>484</v>
      </c>
      <c r="B2" s="741"/>
      <c r="C2" s="741"/>
      <c r="D2" s="741"/>
      <c r="E2" s="741"/>
      <c r="H2" s="741" t="s">
        <v>484</v>
      </c>
      <c r="I2" s="741"/>
      <c r="J2" s="741"/>
      <c r="K2" s="741"/>
      <c r="L2" s="741"/>
    </row>
    <row r="3" spans="1:12" ht="16">
      <c r="A3" s="215" t="s">
        <v>485</v>
      </c>
      <c r="B3" s="216"/>
      <c r="C3" s="216"/>
      <c r="D3" s="215" t="s">
        <v>486</v>
      </c>
      <c r="E3" s="216"/>
      <c r="H3" s="215" t="s">
        <v>485</v>
      </c>
      <c r="I3" s="216"/>
      <c r="J3" s="216"/>
      <c r="K3" s="215" t="s">
        <v>486</v>
      </c>
      <c r="L3" s="216"/>
    </row>
    <row r="4" spans="1:12" ht="16">
      <c r="A4" s="216"/>
      <c r="B4" s="216"/>
      <c r="C4" s="216"/>
      <c r="D4" s="217" t="s">
        <v>487</v>
      </c>
      <c r="E4" s="218">
        <f>Bsproforma_old!J44</f>
        <v>684</v>
      </c>
      <c r="H4" s="216"/>
      <c r="I4" s="216"/>
      <c r="J4" s="216"/>
      <c r="K4" s="217" t="s">
        <v>487</v>
      </c>
      <c r="L4" s="218">
        <f>E4</f>
        <v>684</v>
      </c>
    </row>
    <row r="5" spans="1:12" ht="16">
      <c r="A5" s="216" t="s">
        <v>488</v>
      </c>
      <c r="B5" s="241">
        <f>Bsproforma_old!J13</f>
        <v>507</v>
      </c>
      <c r="C5" s="216"/>
      <c r="D5" s="217" t="s">
        <v>80</v>
      </c>
      <c r="H5" s="216" t="s">
        <v>488</v>
      </c>
      <c r="I5" s="241"/>
      <c r="J5" s="216"/>
      <c r="K5" s="217" t="s">
        <v>80</v>
      </c>
      <c r="L5" s="218"/>
    </row>
    <row r="6" spans="1:12" ht="16">
      <c r="A6" s="216" t="s">
        <v>489</v>
      </c>
      <c r="B6" s="241">
        <f>Bsproforma_old!J14</f>
        <v>2571</v>
      </c>
      <c r="C6" s="216"/>
      <c r="D6" s="217" t="s">
        <v>490</v>
      </c>
      <c r="H6" s="216" t="s">
        <v>489</v>
      </c>
      <c r="I6" s="241"/>
      <c r="J6" s="216"/>
      <c r="K6" s="217" t="s">
        <v>490</v>
      </c>
      <c r="L6" s="218"/>
    </row>
    <row r="7" spans="1:12" ht="16">
      <c r="A7" s="216" t="s">
        <v>491</v>
      </c>
      <c r="B7" s="241">
        <f>Bsproforma_old!J15</f>
        <v>235</v>
      </c>
      <c r="C7" s="216"/>
      <c r="D7" s="219" t="s">
        <v>131</v>
      </c>
      <c r="H7" s="216" t="s">
        <v>491</v>
      </c>
      <c r="I7" s="241"/>
      <c r="J7" s="216"/>
      <c r="K7" s="219" t="s">
        <v>131</v>
      </c>
      <c r="L7" s="218"/>
    </row>
    <row r="8" spans="1:12" ht="16">
      <c r="A8" s="216"/>
      <c r="B8" s="241">
        <f>SUM(B5:B7)</f>
        <v>3313</v>
      </c>
      <c r="C8" s="216"/>
      <c r="D8" s="219" t="s">
        <v>492</v>
      </c>
      <c r="E8" s="218">
        <f>Bsproforma_old!J48</f>
        <v>1296</v>
      </c>
      <c r="H8" s="216"/>
      <c r="I8" s="241"/>
      <c r="J8" s="216"/>
      <c r="K8" s="219" t="s">
        <v>492</v>
      </c>
      <c r="L8" s="218">
        <f t="shared" ref="L8:L15" si="0">E8</f>
        <v>1296</v>
      </c>
    </row>
    <row r="9" spans="1:12" ht="16">
      <c r="A9" s="215" t="s">
        <v>493</v>
      </c>
      <c r="C9" s="216"/>
      <c r="D9" s="220"/>
      <c r="E9" s="216"/>
      <c r="H9" s="215" t="s">
        <v>493</v>
      </c>
      <c r="I9" s="241"/>
      <c r="J9" s="216"/>
      <c r="K9" s="220"/>
      <c r="L9" s="218"/>
    </row>
    <row r="10" spans="1:12" ht="16">
      <c r="A10" s="216" t="s">
        <v>155</v>
      </c>
      <c r="B10" s="241">
        <f>Bsproforma_old!J19</f>
        <v>688</v>
      </c>
      <c r="C10" s="216"/>
      <c r="D10" s="217" t="s">
        <v>494</v>
      </c>
      <c r="E10" s="218">
        <f>Bsproforma_old!J52</f>
        <v>9380</v>
      </c>
      <c r="H10" s="216" t="s">
        <v>155</v>
      </c>
      <c r="I10" s="742">
        <f>L38-I35</f>
        <v>68570.600000000006</v>
      </c>
      <c r="J10" s="216"/>
      <c r="K10" s="217" t="s">
        <v>494</v>
      </c>
      <c r="L10" s="218">
        <f t="shared" si="0"/>
        <v>9380</v>
      </c>
    </row>
    <row r="11" spans="1:12" ht="16">
      <c r="A11" s="216" t="s">
        <v>495</v>
      </c>
      <c r="B11" s="241">
        <f>Bsproforma_old!J20</f>
        <v>1086</v>
      </c>
      <c r="C11" s="216"/>
      <c r="D11" s="219" t="s">
        <v>132</v>
      </c>
      <c r="E11" s="218">
        <f>Bsproforma_old!J53</f>
        <v>3280</v>
      </c>
      <c r="H11" s="216" t="s">
        <v>495</v>
      </c>
      <c r="I11" s="742"/>
      <c r="J11" s="216"/>
      <c r="K11" s="219" t="s">
        <v>132</v>
      </c>
      <c r="L11" s="218">
        <f t="shared" si="0"/>
        <v>3280</v>
      </c>
    </row>
    <row r="12" spans="1:12" ht="16">
      <c r="A12" s="216" t="s">
        <v>496</v>
      </c>
      <c r="B12" s="241">
        <f>Bsproforma_old!J21</f>
        <v>649</v>
      </c>
      <c r="C12" s="216"/>
      <c r="D12" s="217" t="s">
        <v>81</v>
      </c>
      <c r="E12" s="218">
        <f>Bsproforma_old!J54</f>
        <v>313</v>
      </c>
      <c r="H12" s="216" t="s">
        <v>496</v>
      </c>
      <c r="I12" s="742"/>
      <c r="J12" s="216"/>
      <c r="K12" s="217" t="s">
        <v>81</v>
      </c>
      <c r="L12" s="218">
        <f t="shared" si="0"/>
        <v>313</v>
      </c>
    </row>
    <row r="13" spans="1:12" ht="16">
      <c r="A13" s="216" t="s">
        <v>497</v>
      </c>
      <c r="B13" s="241">
        <f>Bsproforma_old!J22</f>
        <v>36</v>
      </c>
      <c r="C13" s="216"/>
      <c r="D13" s="217" t="s">
        <v>498</v>
      </c>
      <c r="E13" s="218">
        <f>Bsproforma_old!J55</f>
        <v>1059</v>
      </c>
      <c r="H13" s="216" t="s">
        <v>497</v>
      </c>
      <c r="I13" s="742"/>
      <c r="J13" s="216"/>
      <c r="K13" s="217" t="s">
        <v>498</v>
      </c>
      <c r="L13" s="218">
        <f t="shared" si="0"/>
        <v>1059</v>
      </c>
    </row>
    <row r="14" spans="1:12" ht="16">
      <c r="A14" s="216" t="s">
        <v>499</v>
      </c>
      <c r="B14" s="241">
        <f>Bsproforma_old!J23</f>
        <v>-874</v>
      </c>
      <c r="C14" s="216"/>
      <c r="D14" s="217" t="s">
        <v>500</v>
      </c>
      <c r="E14" s="218">
        <f>Bsproforma_old!J56</f>
        <v>1034</v>
      </c>
      <c r="H14" s="216" t="s">
        <v>499</v>
      </c>
      <c r="I14" s="742"/>
      <c r="J14" s="216"/>
      <c r="K14" s="217" t="s">
        <v>500</v>
      </c>
      <c r="L14" s="218">
        <f t="shared" si="0"/>
        <v>1034</v>
      </c>
    </row>
    <row r="15" spans="1:12" ht="16">
      <c r="A15" s="221" t="s">
        <v>501</v>
      </c>
      <c r="B15" s="241">
        <f>SUM(B10:B14)</f>
        <v>1585</v>
      </c>
      <c r="C15" s="216"/>
      <c r="D15" s="217" t="s">
        <v>82</v>
      </c>
      <c r="E15" s="218">
        <f>Bsproforma_old!J57</f>
        <v>1842</v>
      </c>
      <c r="H15" s="221" t="s">
        <v>501</v>
      </c>
      <c r="I15" s="742"/>
      <c r="J15" s="216"/>
      <c r="K15" s="217" t="s">
        <v>82</v>
      </c>
      <c r="L15" s="218">
        <f t="shared" si="0"/>
        <v>1842</v>
      </c>
    </row>
    <row r="16" spans="1:12" ht="16">
      <c r="A16" s="216"/>
      <c r="C16" s="216"/>
      <c r="D16" s="222"/>
      <c r="E16" s="216"/>
      <c r="H16" s="216"/>
      <c r="I16" s="742"/>
      <c r="J16" s="216"/>
      <c r="K16" s="222"/>
      <c r="L16" s="218"/>
    </row>
    <row r="17" spans="1:12" ht="16">
      <c r="A17" s="223" t="s">
        <v>502</v>
      </c>
      <c r="B17" s="216"/>
      <c r="C17" s="216"/>
      <c r="D17" s="215" t="s">
        <v>503</v>
      </c>
      <c r="E17" s="243">
        <f>SUM(E4:E15)</f>
        <v>18888</v>
      </c>
      <c r="H17" s="223" t="s">
        <v>502</v>
      </c>
      <c r="I17" s="742"/>
      <c r="J17" s="216"/>
      <c r="K17" s="215" t="s">
        <v>503</v>
      </c>
      <c r="L17" s="218">
        <f>SUM(L4:L16)</f>
        <v>18888</v>
      </c>
    </row>
    <row r="18" spans="1:12" ht="16">
      <c r="A18" s="217" t="s">
        <v>161</v>
      </c>
      <c r="B18" s="216">
        <f>Bsproforma_old!J26</f>
        <v>1995</v>
      </c>
      <c r="C18" s="216"/>
      <c r="D18" s="216"/>
      <c r="E18" s="216"/>
      <c r="H18" s="217" t="s">
        <v>161</v>
      </c>
      <c r="I18" s="742"/>
      <c r="J18" s="216"/>
      <c r="K18" s="216"/>
      <c r="L18" s="218"/>
    </row>
    <row r="19" spans="1:12" ht="16">
      <c r="A19" s="217" t="s">
        <v>162</v>
      </c>
      <c r="B19" s="216">
        <f>Bsproforma_old!J27</f>
        <v>2173</v>
      </c>
      <c r="C19" s="216"/>
      <c r="D19" s="216"/>
      <c r="E19" s="216"/>
      <c r="H19" s="217" t="s">
        <v>162</v>
      </c>
      <c r="I19" s="742"/>
      <c r="J19" s="216"/>
      <c r="K19" s="216"/>
      <c r="L19" s="218"/>
    </row>
    <row r="20" spans="1:12" ht="16">
      <c r="A20" s="217" t="s">
        <v>163</v>
      </c>
      <c r="B20" s="216">
        <f>Bsproforma_old!J28</f>
        <v>-1172</v>
      </c>
      <c r="C20" s="216"/>
      <c r="D20" s="216"/>
      <c r="E20" s="216"/>
      <c r="H20" s="217" t="s">
        <v>163</v>
      </c>
      <c r="I20" s="742"/>
      <c r="J20" s="216"/>
      <c r="K20" s="216"/>
      <c r="L20" s="218"/>
    </row>
    <row r="21" spans="1:12" ht="16">
      <c r="A21" s="217" t="s">
        <v>164</v>
      </c>
      <c r="B21" s="216">
        <f>Bsproforma_old!J29</f>
        <v>5751</v>
      </c>
      <c r="C21" s="216"/>
      <c r="D21" s="217" t="s">
        <v>123</v>
      </c>
      <c r="E21" s="218">
        <f>Bsproforma_old!J61</f>
        <v>1414</v>
      </c>
      <c r="H21" s="217" t="s">
        <v>164</v>
      </c>
      <c r="I21" s="742"/>
      <c r="J21" s="216"/>
      <c r="K21" s="217"/>
      <c r="L21" s="218"/>
    </row>
    <row r="22" spans="1:12" ht="16">
      <c r="A22" s="217" t="s">
        <v>20</v>
      </c>
      <c r="B22" s="216">
        <f>Bsproforma_old!J30</f>
        <v>8872</v>
      </c>
      <c r="C22" s="216"/>
      <c r="D22" s="217" t="s">
        <v>124</v>
      </c>
      <c r="E22" s="218">
        <f>Bsproforma_old!J62</f>
        <v>0</v>
      </c>
      <c r="H22" s="217" t="s">
        <v>20</v>
      </c>
      <c r="I22" s="742"/>
      <c r="J22" s="216"/>
      <c r="K22" s="217"/>
      <c r="L22" s="218"/>
    </row>
    <row r="23" spans="1:12" ht="16">
      <c r="A23" s="216"/>
      <c r="B23" s="241">
        <f>SUM(B18:B22)</f>
        <v>17619</v>
      </c>
      <c r="C23" s="216"/>
      <c r="D23" s="217" t="s">
        <v>108</v>
      </c>
      <c r="E23" s="218">
        <f>Bsproforma_old!J63</f>
        <v>2358</v>
      </c>
      <c r="H23" s="216"/>
      <c r="I23" s="742"/>
      <c r="J23" s="216"/>
      <c r="K23" s="217"/>
      <c r="L23" s="218"/>
    </row>
    <row r="24" spans="1:12" ht="16">
      <c r="A24" s="224" t="s">
        <v>504</v>
      </c>
      <c r="B24" s="241"/>
      <c r="C24" s="216"/>
      <c r="D24" s="217" t="s">
        <v>120</v>
      </c>
      <c r="E24" s="218">
        <f>Bsproforma_old!J64</f>
        <v>-387</v>
      </c>
      <c r="H24" s="224" t="s">
        <v>504</v>
      </c>
      <c r="I24" s="742"/>
      <c r="J24" s="216"/>
      <c r="K24" s="217"/>
      <c r="L24" s="218"/>
    </row>
    <row r="25" spans="1:12" ht="16">
      <c r="A25" s="217" t="s">
        <v>79</v>
      </c>
      <c r="B25" s="242">
        <f>Bsproforma_old!J33</f>
        <v>335</v>
      </c>
      <c r="C25" s="216"/>
      <c r="D25" s="217" t="s">
        <v>125</v>
      </c>
      <c r="E25" s="218">
        <f>Bsproforma_old!J65</f>
        <v>-321</v>
      </c>
      <c r="G25" s="293"/>
      <c r="H25" s="217" t="s">
        <v>79</v>
      </c>
      <c r="I25" s="742"/>
      <c r="J25" s="216"/>
      <c r="K25" s="217"/>
      <c r="L25" s="218"/>
    </row>
    <row r="26" spans="1:12" ht="16">
      <c r="A26" s="217" t="s">
        <v>505</v>
      </c>
      <c r="B26" s="242">
        <f>Bsproforma_old!J34</f>
        <v>152</v>
      </c>
      <c r="C26" s="216"/>
      <c r="D26" s="217" t="s">
        <v>121</v>
      </c>
      <c r="E26" s="218">
        <f>Bsproforma_old!J66</f>
        <v>104</v>
      </c>
      <c r="H26" s="217" t="s">
        <v>505</v>
      </c>
      <c r="I26" s="742"/>
      <c r="J26" s="216"/>
      <c r="K26" s="217"/>
      <c r="L26" s="218"/>
    </row>
    <row r="27" spans="1:12" ht="16">
      <c r="A27" s="217" t="s">
        <v>506</v>
      </c>
      <c r="B27" s="242">
        <f>Bsproforma_old!J35</f>
        <v>240</v>
      </c>
      <c r="C27" s="216"/>
      <c r="D27" s="217" t="s">
        <v>122</v>
      </c>
      <c r="E27" s="218">
        <f>Bsproforma_old!J67</f>
        <v>-2600</v>
      </c>
      <c r="H27" s="217" t="s">
        <v>506</v>
      </c>
      <c r="I27" s="742"/>
      <c r="J27" s="216"/>
      <c r="K27" s="217"/>
      <c r="L27" s="218"/>
    </row>
    <row r="28" spans="1:12" ht="16">
      <c r="A28" s="217" t="s">
        <v>507</v>
      </c>
      <c r="B28" s="242">
        <f>Bsproforma_old!J36</f>
        <v>987</v>
      </c>
      <c r="C28" s="216"/>
      <c r="D28" s="225" t="s">
        <v>83</v>
      </c>
      <c r="E28" s="226">
        <f>SUM(E21:E27)</f>
        <v>568</v>
      </c>
      <c r="H28" s="217" t="s">
        <v>507</v>
      </c>
      <c r="I28" s="742"/>
      <c r="J28" s="216"/>
      <c r="K28" s="225" t="s">
        <v>539</v>
      </c>
      <c r="L28" s="218">
        <f>'Multiples Valuation'!D22</f>
        <v>47129.599999999999</v>
      </c>
    </row>
    <row r="29" spans="1:12" ht="16">
      <c r="A29" s="217" t="s">
        <v>508</v>
      </c>
      <c r="B29" s="242">
        <f>Bsproforma_old!J37</f>
        <v>584</v>
      </c>
      <c r="C29" s="216"/>
      <c r="D29" s="216"/>
      <c r="E29" s="216"/>
      <c r="H29" s="217" t="s">
        <v>508</v>
      </c>
      <c r="I29" s="742"/>
      <c r="J29" s="216"/>
      <c r="K29" s="216"/>
      <c r="L29" s="216"/>
    </row>
    <row r="30" spans="1:12" ht="16">
      <c r="A30" s="217"/>
      <c r="B30" s="241">
        <f>SUM(B25:B29)</f>
        <v>2298</v>
      </c>
      <c r="C30" s="216"/>
      <c r="D30" s="216"/>
      <c r="E30" s="216"/>
      <c r="H30" s="217"/>
      <c r="I30" s="241"/>
      <c r="J30" s="216"/>
      <c r="K30" s="216"/>
      <c r="L30" s="216"/>
    </row>
    <row r="31" spans="1:12" ht="16">
      <c r="A31" s="228" t="s">
        <v>509</v>
      </c>
      <c r="B31" s="242"/>
      <c r="C31" s="216"/>
      <c r="D31" s="216"/>
      <c r="E31" s="216"/>
      <c r="H31" s="228" t="s">
        <v>509</v>
      </c>
      <c r="I31" s="241"/>
      <c r="J31" s="216"/>
      <c r="K31" s="216"/>
      <c r="L31" s="216"/>
    </row>
    <row r="32" spans="1:12" ht="16">
      <c r="A32" s="214" t="s">
        <v>510</v>
      </c>
      <c r="B32" s="218">
        <f>-Bsproforma_old!J45</f>
        <v>-746</v>
      </c>
      <c r="C32" s="216"/>
      <c r="D32" s="216"/>
      <c r="E32" s="216"/>
      <c r="H32" s="214" t="s">
        <v>510</v>
      </c>
      <c r="I32" s="241">
        <f>B32</f>
        <v>-746</v>
      </c>
      <c r="J32" s="216"/>
      <c r="K32" s="216"/>
      <c r="L32" s="216"/>
    </row>
    <row r="33" spans="1:12" ht="16">
      <c r="A33" s="229" t="s">
        <v>511</v>
      </c>
      <c r="B33" s="218">
        <f>-Bsproforma_old!J46</f>
        <v>-1299</v>
      </c>
      <c r="C33" s="216"/>
      <c r="D33" s="216"/>
      <c r="E33" s="216"/>
      <c r="H33" s="229" t="s">
        <v>511</v>
      </c>
      <c r="I33" s="241">
        <f>B33</f>
        <v>-1299</v>
      </c>
      <c r="J33" s="216"/>
      <c r="K33" s="216"/>
      <c r="L33" s="216"/>
    </row>
    <row r="34" spans="1:12" ht="16">
      <c r="A34" s="219" t="s">
        <v>131</v>
      </c>
      <c r="B34" s="218">
        <f>-Bsproforma_old!J47</f>
        <v>-3314</v>
      </c>
      <c r="C34" s="216"/>
      <c r="D34" s="216"/>
      <c r="E34" s="216"/>
      <c r="H34" s="219" t="s">
        <v>131</v>
      </c>
      <c r="I34" s="241">
        <f>B34</f>
        <v>-3314</v>
      </c>
      <c r="J34" s="216"/>
      <c r="K34" s="216"/>
      <c r="L34" s="216"/>
    </row>
    <row r="35" spans="1:12" ht="16">
      <c r="A35" s="229" t="s">
        <v>536</v>
      </c>
      <c r="B35" s="218">
        <f>B6+B7+SUM(B32:B34)</f>
        <v>-2553</v>
      </c>
      <c r="C35" s="216"/>
      <c r="D35" s="216"/>
      <c r="E35" s="216"/>
      <c r="H35" s="229" t="s">
        <v>536</v>
      </c>
      <c r="I35" s="241">
        <f>B35</f>
        <v>-2553</v>
      </c>
      <c r="J35" s="216"/>
      <c r="K35" s="216"/>
      <c r="L35" s="216"/>
    </row>
    <row r="36" spans="1:12" ht="16">
      <c r="A36" s="229"/>
      <c r="B36" s="218"/>
      <c r="C36" s="216"/>
      <c r="D36" s="216"/>
      <c r="E36" s="216"/>
      <c r="H36" s="229"/>
      <c r="I36" s="218"/>
      <c r="J36" s="216"/>
      <c r="K36" s="216"/>
      <c r="L36" s="216"/>
    </row>
    <row r="37" spans="1:12" ht="16">
      <c r="A37" s="229"/>
      <c r="C37" s="216"/>
      <c r="D37" s="216"/>
      <c r="E37" s="216"/>
      <c r="H37" s="229"/>
      <c r="J37" s="216"/>
      <c r="K37" s="216"/>
      <c r="L37" s="216"/>
    </row>
    <row r="38" spans="1:12" ht="16">
      <c r="A38" s="227" t="s">
        <v>537</v>
      </c>
      <c r="B38" s="241">
        <f>B15+B23+B30+B5+B35</f>
        <v>19456</v>
      </c>
      <c r="C38" s="216"/>
      <c r="D38" s="227" t="s">
        <v>537</v>
      </c>
      <c r="E38" s="243">
        <f>E17+E28</f>
        <v>19456</v>
      </c>
      <c r="H38" s="227" t="s">
        <v>540</v>
      </c>
      <c r="I38" s="241">
        <f>I10+I35</f>
        <v>66017.600000000006</v>
      </c>
      <c r="J38" s="216"/>
      <c r="K38" s="227" t="s">
        <v>540</v>
      </c>
      <c r="L38" s="243">
        <f>L17+L28</f>
        <v>66017.600000000006</v>
      </c>
    </row>
    <row r="39" spans="1:12" ht="16">
      <c r="A39" s="216"/>
      <c r="B39" s="216"/>
      <c r="C39" s="216"/>
      <c r="D39" s="216"/>
      <c r="E39" s="216"/>
    </row>
    <row r="40" spans="1:12" ht="16">
      <c r="A40" s="244"/>
      <c r="B40" s="245"/>
      <c r="C40" s="245"/>
      <c r="D40" s="245"/>
      <c r="E40" s="245"/>
      <c r="F40" s="245"/>
      <c r="G40" s="245"/>
    </row>
    <row r="41" spans="1:12" ht="16">
      <c r="A41" s="245"/>
      <c r="B41" s="246" t="s">
        <v>580</v>
      </c>
      <c r="C41" s="245" t="s">
        <v>581</v>
      </c>
      <c r="D41" s="245"/>
      <c r="E41" s="245"/>
      <c r="F41" s="245"/>
      <c r="G41" s="245"/>
    </row>
    <row r="42" spans="1:12" ht="18">
      <c r="A42" s="257" t="str">
        <f>"Enterprise value"</f>
        <v>Enterprise value</v>
      </c>
      <c r="B42" s="258">
        <f>B38</f>
        <v>19456</v>
      </c>
      <c r="C42" s="258">
        <f>I38</f>
        <v>66017.600000000006</v>
      </c>
      <c r="D42" s="245"/>
      <c r="E42" s="245"/>
      <c r="F42" s="245"/>
      <c r="G42" s="245"/>
    </row>
    <row r="43" spans="1:12" ht="18">
      <c r="A43" s="256" t="s">
        <v>569</v>
      </c>
      <c r="B43" s="258">
        <f>B5</f>
        <v>507</v>
      </c>
      <c r="C43" s="258">
        <f>B5</f>
        <v>507</v>
      </c>
      <c r="D43" s="247"/>
      <c r="E43" s="245"/>
      <c r="F43" s="245"/>
      <c r="G43" s="245"/>
    </row>
    <row r="44" spans="1:12" ht="18">
      <c r="A44" s="256" t="s">
        <v>570</v>
      </c>
      <c r="B44" s="258">
        <f>B43+B42</f>
        <v>19963</v>
      </c>
      <c r="C44" s="258">
        <f>C43+C42</f>
        <v>66524.600000000006</v>
      </c>
      <c r="D44" s="245"/>
      <c r="E44" s="245"/>
      <c r="F44" s="245"/>
      <c r="G44" s="245"/>
    </row>
    <row r="45" spans="1:12" ht="18">
      <c r="A45" s="256" t="s">
        <v>571</v>
      </c>
      <c r="B45" s="258">
        <f>-'Multiples Valuation'!E22</f>
        <v>-11098</v>
      </c>
      <c r="C45" s="258">
        <f>-'Multiples Valuation'!E22</f>
        <v>-11098</v>
      </c>
      <c r="D45" s="247"/>
      <c r="E45" s="245"/>
      <c r="F45" s="245"/>
      <c r="G45" s="245"/>
    </row>
    <row r="46" spans="1:12" ht="15" customHeight="1">
      <c r="A46" s="256" t="s">
        <v>572</v>
      </c>
      <c r="B46" s="258">
        <f>B44+B45</f>
        <v>8865</v>
      </c>
      <c r="C46" s="258">
        <f>C44+C45</f>
        <v>55426.600000000006</v>
      </c>
      <c r="D46" s="245"/>
      <c r="E46" s="245"/>
      <c r="F46" s="245"/>
      <c r="G46" s="245"/>
    </row>
    <row r="47" spans="1:12" ht="18">
      <c r="A47" s="256" t="s">
        <v>574</v>
      </c>
      <c r="B47" s="259">
        <f>B46/'Multiples Valuation'!C22</f>
        <v>28.009478672985782</v>
      </c>
      <c r="C47" s="259">
        <f>C46/'Multiples Valuation'!C22</f>
        <v>175.12353870458136</v>
      </c>
      <c r="D47" s="247"/>
      <c r="E47" s="245"/>
      <c r="F47" s="245"/>
      <c r="G47" s="245"/>
    </row>
    <row r="48" spans="1:12" ht="16">
      <c r="A48" s="245"/>
      <c r="B48" s="248"/>
      <c r="C48" s="245"/>
      <c r="D48" s="247"/>
      <c r="E48" s="245"/>
      <c r="F48" s="245"/>
      <c r="G48" s="245"/>
    </row>
    <row r="49" spans="1:7" ht="16">
      <c r="A49" s="249"/>
      <c r="B49" s="245"/>
      <c r="C49" s="245"/>
      <c r="D49" s="245"/>
      <c r="E49" s="245"/>
      <c r="F49" s="245"/>
      <c r="G49" s="245"/>
    </row>
    <row r="50" spans="1:7" ht="16">
      <c r="A50" s="247"/>
      <c r="B50" s="245"/>
      <c r="C50" s="245"/>
      <c r="D50" s="245"/>
      <c r="E50" s="245"/>
      <c r="F50" s="245"/>
      <c r="G50" s="245"/>
    </row>
    <row r="51" spans="1:7" ht="16">
      <c r="A51" s="245"/>
      <c r="B51" s="245"/>
      <c r="C51" s="245"/>
      <c r="D51" s="247"/>
      <c r="E51" s="245"/>
      <c r="F51" s="245"/>
      <c r="G51" s="245"/>
    </row>
    <row r="52" spans="1:7" ht="15" customHeight="1">
      <c r="A52" s="245"/>
      <c r="B52" s="245"/>
      <c r="C52" s="245"/>
      <c r="D52" s="245"/>
      <c r="E52" s="245"/>
      <c r="F52" s="245"/>
      <c r="G52" s="245"/>
    </row>
    <row r="53" spans="1:7" ht="16">
      <c r="A53" s="245"/>
      <c r="B53" s="245"/>
      <c r="C53" s="245"/>
      <c r="D53" s="245"/>
      <c r="E53" s="245"/>
      <c r="F53" s="245"/>
      <c r="G53" s="245"/>
    </row>
    <row r="54" spans="1:7" ht="15" customHeight="1">
      <c r="A54" s="245"/>
      <c r="B54" s="245"/>
      <c r="C54" s="245"/>
      <c r="D54" s="245"/>
      <c r="E54" s="245"/>
      <c r="F54" s="245"/>
      <c r="G54" s="245"/>
    </row>
    <row r="55" spans="1:7" ht="16">
      <c r="A55" s="250"/>
      <c r="B55" s="245"/>
      <c r="C55" s="245"/>
      <c r="D55" s="250"/>
      <c r="E55" s="245"/>
      <c r="F55" s="245"/>
      <c r="G55" s="245"/>
    </row>
    <row r="56" spans="1:7" ht="15" customHeight="1">
      <c r="A56" s="245"/>
      <c r="B56" s="245"/>
      <c r="C56" s="245"/>
      <c r="D56" s="245"/>
      <c r="E56" s="245"/>
      <c r="F56" s="245"/>
      <c r="G56" s="245"/>
    </row>
    <row r="57" spans="1:7" ht="15" customHeight="1">
      <c r="A57" s="245"/>
      <c r="B57" s="245"/>
      <c r="C57" s="245"/>
      <c r="D57" s="245"/>
      <c r="E57" s="245"/>
      <c r="F57" s="245"/>
      <c r="G57" s="245"/>
    </row>
    <row r="58" spans="1:7" ht="15" customHeight="1">
      <c r="A58" s="245"/>
      <c r="B58" s="245"/>
      <c r="C58" s="245"/>
      <c r="D58" s="245"/>
      <c r="E58" s="245"/>
      <c r="F58" s="245"/>
      <c r="G58" s="245"/>
    </row>
    <row r="59" spans="1:7" ht="15" customHeight="1">
      <c r="A59" s="245"/>
      <c r="B59" s="245"/>
      <c r="C59" s="245"/>
      <c r="D59" s="245"/>
      <c r="E59" s="245"/>
      <c r="F59" s="245"/>
      <c r="G59" s="245"/>
    </row>
    <row r="60" spans="1:7" ht="15" customHeight="1">
      <c r="A60" s="245"/>
      <c r="B60" s="245"/>
      <c r="C60" s="245"/>
      <c r="D60" s="245"/>
      <c r="E60" s="245"/>
      <c r="F60" s="245"/>
      <c r="G60" s="245"/>
    </row>
    <row r="61" spans="1:7" ht="15" customHeight="1">
      <c r="A61" s="245"/>
      <c r="B61" s="245"/>
      <c r="C61" s="245"/>
      <c r="D61" s="245"/>
      <c r="E61" s="245"/>
      <c r="F61" s="245"/>
      <c r="G61" s="245"/>
    </row>
    <row r="62" spans="1:7" ht="15" customHeight="1">
      <c r="A62" s="245"/>
      <c r="B62" s="245"/>
      <c r="C62" s="245"/>
      <c r="D62" s="245"/>
      <c r="E62" s="245"/>
      <c r="F62" s="245"/>
      <c r="G62" s="245"/>
    </row>
    <row r="63" spans="1:7" ht="15" customHeight="1">
      <c r="A63" s="245"/>
      <c r="B63" s="245"/>
      <c r="C63" s="245"/>
      <c r="D63" s="245"/>
      <c r="E63" s="245"/>
      <c r="F63" s="245"/>
      <c r="G63" s="245"/>
    </row>
  </sheetData>
  <mergeCells count="5">
    <mergeCell ref="A1:E1"/>
    <mergeCell ref="A2:E2"/>
    <mergeCell ref="H1:L1"/>
    <mergeCell ref="H2:L2"/>
    <mergeCell ref="I10:I2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5DB1-A88C-7F4D-99DE-97FA47FAB018}">
  <sheetPr codeName="Sheet15">
    <tabColor theme="6" tint="-0.499984740745262"/>
  </sheetPr>
  <dimension ref="A1:Y69"/>
  <sheetViews>
    <sheetView topLeftCell="A23" zoomScale="90" workbookViewId="0">
      <pane xSplit="1" topLeftCell="B1" activePane="topRight" state="frozen"/>
      <selection activeCell="S33" sqref="S33"/>
      <selection pane="topRight" activeCell="S33" sqref="S33"/>
    </sheetView>
  </sheetViews>
  <sheetFormatPr baseColWidth="10" defaultColWidth="10.83203125" defaultRowHeight="17"/>
  <cols>
    <col min="1" max="1" width="47.33203125" style="3" bestFit="1" customWidth="1"/>
    <col min="2" max="2" width="23.33203125" style="3" customWidth="1"/>
    <col min="3" max="3" width="11.33203125" style="57" bestFit="1" customWidth="1"/>
    <col min="4" max="4" width="23.33203125" style="3" customWidth="1"/>
    <col min="5" max="5" width="11.33203125" style="57" bestFit="1" customWidth="1"/>
    <col min="6" max="6" width="23.33203125" style="3" customWidth="1"/>
    <col min="7" max="7" width="11.33203125" style="57" bestFit="1" customWidth="1"/>
    <col min="8" max="8" width="23.33203125" style="3" customWidth="1"/>
    <col min="9" max="9" width="11.33203125" style="57" bestFit="1" customWidth="1"/>
    <col min="10" max="10" width="23.33203125" style="3" customWidth="1"/>
    <col min="11" max="11" width="11.33203125" style="57" bestFit="1" customWidth="1"/>
    <col min="12" max="12" width="4.83203125" style="3" customWidth="1"/>
    <col min="13" max="13" width="17" style="3" bestFit="1" customWidth="1"/>
    <col min="14" max="14" width="6.5" style="57" bestFit="1" customWidth="1"/>
    <col min="15" max="15" width="13.33203125" style="3" bestFit="1" customWidth="1"/>
    <col min="16" max="16" width="6.5" style="57" bestFit="1" customWidth="1"/>
    <col min="17" max="17" width="17.6640625" style="129" bestFit="1" customWidth="1"/>
    <col min="18" max="18" width="3.83203125" style="3" customWidth="1"/>
    <col min="19" max="23" width="13.33203125" style="3" customWidth="1"/>
    <col min="24" max="16384" width="10.83203125" style="3"/>
  </cols>
  <sheetData>
    <row r="1" spans="1:25" ht="25">
      <c r="A1" s="661" t="s">
        <v>182</v>
      </c>
      <c r="B1" s="661"/>
      <c r="C1" s="661"/>
      <c r="D1" s="661"/>
      <c r="E1" s="661"/>
      <c r="F1" s="661"/>
      <c r="G1" s="661"/>
      <c r="H1" s="661"/>
      <c r="I1" s="661"/>
      <c r="J1" s="661"/>
      <c r="K1" s="661"/>
      <c r="L1" s="661"/>
      <c r="M1" s="661"/>
      <c r="N1" s="661"/>
      <c r="O1" s="661"/>
      <c r="P1" s="661"/>
      <c r="Q1" s="661"/>
      <c r="R1" s="661"/>
      <c r="S1" s="661"/>
      <c r="T1" s="661"/>
      <c r="U1" s="661"/>
      <c r="V1" s="661"/>
      <c r="W1" s="661"/>
    </row>
    <row r="2" spans="1:25">
      <c r="A2" s="1"/>
    </row>
    <row r="3" spans="1:25" s="2" customFormat="1">
      <c r="A3" s="662" t="s">
        <v>95</v>
      </c>
      <c r="B3" s="662"/>
      <c r="C3" s="662"/>
      <c r="D3" s="662"/>
      <c r="E3" s="662"/>
      <c r="F3" s="662"/>
      <c r="G3" s="662"/>
      <c r="H3" s="662"/>
      <c r="I3" s="662"/>
      <c r="J3" s="662"/>
      <c r="K3" s="662"/>
      <c r="L3" s="662"/>
      <c r="M3" s="662"/>
      <c r="N3" s="662"/>
      <c r="O3" s="662"/>
      <c r="P3" s="662"/>
      <c r="Q3" s="662"/>
      <c r="R3" s="662"/>
      <c r="S3" s="662"/>
      <c r="T3" s="662"/>
      <c r="U3" s="662"/>
      <c r="V3" s="662"/>
      <c r="W3" s="662"/>
    </row>
    <row r="4" spans="1:25" s="2" customFormat="1">
      <c r="A4" s="20" t="s">
        <v>86</v>
      </c>
      <c r="B4" s="21" t="s">
        <v>87</v>
      </c>
      <c r="C4" s="58"/>
      <c r="D4" s="7"/>
      <c r="E4" s="62"/>
      <c r="F4" s="20" t="s">
        <v>102</v>
      </c>
      <c r="G4" s="65"/>
      <c r="H4" s="23" t="s">
        <v>91</v>
      </c>
      <c r="I4" s="68"/>
      <c r="J4" s="7"/>
      <c r="K4" s="68"/>
      <c r="L4" s="7"/>
      <c r="M4" s="7"/>
      <c r="N4" s="62"/>
      <c r="O4" s="7"/>
      <c r="P4" s="62"/>
      <c r="Q4" s="112"/>
      <c r="R4" s="7"/>
      <c r="S4" s="7"/>
      <c r="T4" s="7"/>
      <c r="U4" s="7"/>
      <c r="V4" s="7"/>
      <c r="W4" s="7"/>
    </row>
    <row r="5" spans="1:25" s="2" customFormat="1">
      <c r="A5" s="20" t="s">
        <v>88</v>
      </c>
      <c r="B5" s="21" t="s">
        <v>85</v>
      </c>
      <c r="C5" s="58"/>
      <c r="D5" s="7"/>
      <c r="E5" s="62"/>
      <c r="F5" s="50" t="s">
        <v>129</v>
      </c>
      <c r="G5" s="66"/>
      <c r="H5" s="23" t="s">
        <v>90</v>
      </c>
      <c r="I5" s="68"/>
      <c r="J5" s="23"/>
      <c r="K5" s="68"/>
      <c r="L5" s="23"/>
      <c r="M5" s="7"/>
      <c r="N5" s="62"/>
      <c r="O5" s="7"/>
      <c r="P5" s="62"/>
      <c r="Q5" s="112"/>
      <c r="R5" s="7"/>
      <c r="S5" s="7"/>
      <c r="T5" s="7"/>
      <c r="U5" s="7"/>
      <c r="V5" s="7"/>
      <c r="W5" s="7"/>
    </row>
    <row r="6" spans="1:25" s="2" customFormat="1">
      <c r="A6" s="20" t="s">
        <v>89</v>
      </c>
      <c r="B6" s="21" t="s">
        <v>130</v>
      </c>
      <c r="C6" s="58"/>
      <c r="D6" s="7"/>
      <c r="E6" s="62"/>
      <c r="F6" s="22"/>
      <c r="G6" s="67"/>
      <c r="H6" s="23" t="s">
        <v>92</v>
      </c>
      <c r="I6" s="68"/>
      <c r="J6" s="23"/>
      <c r="K6" s="68"/>
      <c r="L6" s="23"/>
      <c r="M6" s="7"/>
      <c r="N6" s="62"/>
      <c r="O6" s="7"/>
      <c r="P6" s="62"/>
      <c r="Q6" s="112"/>
      <c r="R6" s="7"/>
      <c r="S6" s="7"/>
      <c r="T6" s="7"/>
      <c r="U6" s="7"/>
      <c r="V6" s="7"/>
      <c r="W6" s="7"/>
    </row>
    <row r="7" spans="1:25">
      <c r="A7" s="1"/>
    </row>
    <row r="8" spans="1:25" s="2" customFormat="1">
      <c r="A8" s="15" t="s">
        <v>105</v>
      </c>
      <c r="B8" s="33">
        <v>43465</v>
      </c>
      <c r="C8" s="59" t="s">
        <v>168</v>
      </c>
      <c r="D8" s="33">
        <v>43830</v>
      </c>
      <c r="E8" s="59" t="s">
        <v>168</v>
      </c>
      <c r="F8" s="33">
        <v>44196</v>
      </c>
      <c r="G8" s="59" t="s">
        <v>168</v>
      </c>
      <c r="H8" s="33">
        <v>44561</v>
      </c>
      <c r="I8" s="59" t="s">
        <v>168</v>
      </c>
      <c r="J8" s="33">
        <v>44926</v>
      </c>
      <c r="K8" s="59" t="s">
        <v>168</v>
      </c>
      <c r="M8" s="716">
        <v>2023</v>
      </c>
      <c r="N8" s="716"/>
      <c r="O8" s="677" t="s">
        <v>378</v>
      </c>
      <c r="P8" s="677"/>
      <c r="Q8" s="134" t="s">
        <v>339</v>
      </c>
      <c r="R8" s="1"/>
      <c r="S8" s="106">
        <v>2023</v>
      </c>
      <c r="T8" s="106">
        <v>2024</v>
      </c>
      <c r="U8" s="106">
        <v>2025</v>
      </c>
      <c r="V8" s="106">
        <v>2026</v>
      </c>
      <c r="W8" s="106">
        <v>2027</v>
      </c>
    </row>
    <row r="9" spans="1:25" s="2" customFormat="1">
      <c r="A9" s="4"/>
      <c r="B9" s="34"/>
      <c r="C9" s="60"/>
      <c r="D9" s="34"/>
      <c r="E9" s="60"/>
      <c r="F9" s="34"/>
      <c r="G9" s="60"/>
      <c r="H9" s="34"/>
      <c r="I9" s="60"/>
      <c r="J9" s="34"/>
      <c r="K9" s="60"/>
      <c r="M9" s="7"/>
      <c r="N9" s="62"/>
      <c r="O9" s="7"/>
      <c r="P9" s="62"/>
      <c r="Q9" s="112"/>
      <c r="S9" s="7"/>
      <c r="T9" s="7"/>
      <c r="U9" s="7"/>
      <c r="V9" s="7"/>
      <c r="W9" s="7"/>
    </row>
    <row r="10" spans="1:25" s="2" customFormat="1" ht="20">
      <c r="A10" s="717" t="s">
        <v>116</v>
      </c>
      <c r="B10" s="717"/>
      <c r="C10" s="717"/>
      <c r="D10" s="717"/>
      <c r="E10" s="717"/>
      <c r="F10" s="717"/>
      <c r="G10" s="717"/>
      <c r="H10" s="717"/>
      <c r="I10" s="717"/>
      <c r="J10" s="717"/>
      <c r="K10" s="717"/>
      <c r="M10" s="675" t="s">
        <v>208</v>
      </c>
      <c r="N10" s="675"/>
      <c r="O10" s="675"/>
      <c r="P10" s="675"/>
      <c r="Q10" s="675"/>
      <c r="S10" s="717" t="s">
        <v>207</v>
      </c>
      <c r="T10" s="717"/>
      <c r="U10" s="717"/>
      <c r="V10" s="717"/>
      <c r="W10" s="717"/>
    </row>
    <row r="11" spans="1:25" s="2" customFormat="1">
      <c r="A11" s="15" t="s">
        <v>109</v>
      </c>
      <c r="B11" s="15"/>
      <c r="C11" s="61"/>
      <c r="D11" s="15"/>
      <c r="E11" s="61"/>
      <c r="F11" s="15"/>
      <c r="G11" s="61"/>
      <c r="H11" s="15"/>
      <c r="I11" s="61"/>
      <c r="J11" s="15"/>
      <c r="K11" s="61"/>
      <c r="M11" s="32"/>
      <c r="N11" s="64"/>
      <c r="O11" s="32"/>
      <c r="P11" s="64"/>
      <c r="Q11" s="113"/>
      <c r="S11" s="32"/>
      <c r="T11" s="32"/>
      <c r="U11" s="32"/>
      <c r="V11" s="32"/>
      <c r="W11" s="32"/>
    </row>
    <row r="12" spans="1:25" s="2" customFormat="1">
      <c r="A12" s="55" t="s">
        <v>141</v>
      </c>
      <c r="B12" s="15"/>
      <c r="C12" s="61"/>
      <c r="D12" s="15"/>
      <c r="E12" s="61"/>
      <c r="F12" s="15"/>
      <c r="G12" s="61"/>
      <c r="H12" s="15"/>
      <c r="I12" s="61"/>
      <c r="J12" s="15"/>
      <c r="K12" s="61"/>
      <c r="M12" s="32"/>
      <c r="N12" s="64"/>
      <c r="O12" s="32"/>
      <c r="P12" s="64"/>
      <c r="Q12" s="113"/>
      <c r="S12" s="32"/>
      <c r="T12" s="32"/>
      <c r="U12" s="32"/>
      <c r="V12" s="32"/>
      <c r="W12" s="32"/>
    </row>
    <row r="13" spans="1:25" s="2" customFormat="1">
      <c r="A13" s="6" t="s">
        <v>135</v>
      </c>
      <c r="B13" s="7">
        <v>2158</v>
      </c>
      <c r="C13" s="62">
        <f t="shared" ref="C13:C18" si="0">B13/$B$29</f>
        <v>0.10395991906734753</v>
      </c>
      <c r="D13" s="7">
        <v>2265</v>
      </c>
      <c r="E13" s="62">
        <f>D13/$D$29</f>
        <v>0.10800114438298684</v>
      </c>
      <c r="F13" s="7">
        <v>914</v>
      </c>
      <c r="G13" s="62">
        <f>F13/$F$29</f>
        <v>8.6462964714785734E-2</v>
      </c>
      <c r="H13" s="7">
        <v>1580</v>
      </c>
      <c r="I13" s="62">
        <f>H13/$H$29</f>
        <v>0.11402179403911381</v>
      </c>
      <c r="J13" s="7">
        <v>2486</v>
      </c>
      <c r="K13" s="62">
        <f>J13/$J$29</f>
        <v>0.11967457757666201</v>
      </c>
      <c r="M13" s="7" t="s">
        <v>209</v>
      </c>
      <c r="N13" s="62">
        <f>'Revenue Growth'!$C$20</f>
        <v>0.22973515272238387</v>
      </c>
      <c r="O13" s="7" t="s">
        <v>174</v>
      </c>
      <c r="P13" s="62">
        <f>'Revenue Growth'!$D$20</f>
        <v>9.1363297736570925E-2</v>
      </c>
      <c r="Q13" s="112" t="s">
        <v>344</v>
      </c>
      <c r="S13" s="7">
        <f>J13*(1+N13)</f>
        <v>3057.1215896678464</v>
      </c>
      <c r="T13" s="7">
        <f>S13*(1+$P$13)</f>
        <v>3336.4302996815686</v>
      </c>
      <c r="U13" s="7">
        <f>T13*(1+$P$13)</f>
        <v>3641.2575745286917</v>
      </c>
      <c r="V13" s="7">
        <f>U13*(1+$P$13)</f>
        <v>3973.9348744459003</v>
      </c>
      <c r="W13" s="7">
        <f>V13*(1+$P$13)</f>
        <v>4337.0066695656433</v>
      </c>
      <c r="Y13" s="294"/>
    </row>
    <row r="14" spans="1:25" s="2" customFormat="1">
      <c r="A14" s="6" t="s">
        <v>136</v>
      </c>
      <c r="B14" s="7">
        <v>-45</v>
      </c>
      <c r="C14" s="62">
        <f t="shared" si="0"/>
        <v>-2.1678389054822235E-3</v>
      </c>
      <c r="D14" s="7">
        <v>-48</v>
      </c>
      <c r="E14" s="62">
        <f t="shared" ref="E14:E46" si="1">D14/$D$29</f>
        <v>-2.2887659736791914E-3</v>
      </c>
      <c r="F14" s="7">
        <v>-108</v>
      </c>
      <c r="G14" s="62">
        <f t="shared" ref="G14:G29" si="2">F14/$F$29</f>
        <v>-1.0216630403935294E-2</v>
      </c>
      <c r="H14" s="7">
        <v>-55</v>
      </c>
      <c r="I14" s="62">
        <f t="shared" ref="I14:I29" si="3">H14/$H$29</f>
        <v>-3.9691130836400374E-3</v>
      </c>
      <c r="J14" s="7">
        <v>-60</v>
      </c>
      <c r="K14" s="62">
        <f t="shared" ref="K14:K29" si="4">J14/$J$29</f>
        <v>-2.888364704183315E-3</v>
      </c>
      <c r="M14" s="7" t="s">
        <v>174</v>
      </c>
      <c r="N14" s="62">
        <f>'Revenue Growth'!$C$20</f>
        <v>0.22973515272238387</v>
      </c>
      <c r="O14" s="7" t="s">
        <v>174</v>
      </c>
      <c r="P14" s="62">
        <f>'Revenue Growth'!$D$20</f>
        <v>9.1363297736570925E-2</v>
      </c>
      <c r="Q14" s="112" t="s">
        <v>344</v>
      </c>
      <c r="S14" s="7">
        <f>J14*(1+N14)</f>
        <v>-73.784109163343032</v>
      </c>
      <c r="T14" s="7">
        <f>S14*(1+$P$14)</f>
        <v>-80.525268697061179</v>
      </c>
      <c r="U14" s="7">
        <f>T14*(1+$P$14)</f>
        <v>-87.882322796348149</v>
      </c>
      <c r="V14" s="7">
        <f>U14*(1+$P$14)</f>
        <v>-95.911541619772322</v>
      </c>
      <c r="W14" s="7">
        <f>V14*(1+$P$14)</f>
        <v>-104.67433635315308</v>
      </c>
      <c r="Y14" s="294"/>
    </row>
    <row r="15" spans="1:25" s="2" customFormat="1" ht="20">
      <c r="A15" s="10" t="s">
        <v>137</v>
      </c>
      <c r="B15" s="9">
        <f>B13+B14</f>
        <v>2113</v>
      </c>
      <c r="C15" s="62">
        <f t="shared" si="0"/>
        <v>0.10179208016186531</v>
      </c>
      <c r="D15" s="9">
        <f t="shared" ref="D15:J15" si="5">D13+D14</f>
        <v>2217</v>
      </c>
      <c r="E15" s="62">
        <f t="shared" si="1"/>
        <v>0.10571237840930765</v>
      </c>
      <c r="F15" s="9">
        <f t="shared" si="5"/>
        <v>806</v>
      </c>
      <c r="G15" s="62">
        <f t="shared" si="2"/>
        <v>7.6246334310850442E-2</v>
      </c>
      <c r="H15" s="9">
        <f t="shared" si="5"/>
        <v>1525</v>
      </c>
      <c r="I15" s="62">
        <f t="shared" si="3"/>
        <v>0.11005268095547377</v>
      </c>
      <c r="J15" s="9">
        <f t="shared" si="5"/>
        <v>2426</v>
      </c>
      <c r="K15" s="62">
        <f t="shared" si="4"/>
        <v>0.1167862128724787</v>
      </c>
      <c r="M15" s="7"/>
      <c r="N15" s="62"/>
      <c r="O15" s="7"/>
      <c r="P15" s="62"/>
      <c r="Q15" s="112"/>
      <c r="S15" s="9">
        <f>S13+S14</f>
        <v>2983.3374805045032</v>
      </c>
      <c r="T15" s="9">
        <f>T13+T14</f>
        <v>3255.9050309845074</v>
      </c>
      <c r="U15" s="9">
        <f>U13+U14</f>
        <v>3553.3752517323437</v>
      </c>
      <c r="V15" s="9">
        <f>V13+V14</f>
        <v>3878.0233328261279</v>
      </c>
      <c r="W15" s="9">
        <f>W13+W14</f>
        <v>4232.3323332124901</v>
      </c>
    </row>
    <row r="16" spans="1:25" s="2" customFormat="1">
      <c r="A16" s="6" t="s">
        <v>138</v>
      </c>
      <c r="B16" s="7">
        <f>593+128</f>
        <v>721</v>
      </c>
      <c r="C16" s="62">
        <f t="shared" si="0"/>
        <v>3.4733596685615181E-2</v>
      </c>
      <c r="D16" s="7">
        <v>715</v>
      </c>
      <c r="E16" s="62">
        <f t="shared" si="1"/>
        <v>3.409307648292962E-2</v>
      </c>
      <c r="F16" s="7">
        <v>198</v>
      </c>
      <c r="G16" s="62">
        <f t="shared" si="2"/>
        <v>1.8730489073881373E-2</v>
      </c>
      <c r="H16" s="7">
        <v>282</v>
      </c>
      <c r="I16" s="62">
        <f t="shared" si="3"/>
        <v>2.0350725265208921E-2</v>
      </c>
      <c r="J16" s="7">
        <v>479</v>
      </c>
      <c r="K16" s="62">
        <f t="shared" si="4"/>
        <v>2.3058778221730129E-2</v>
      </c>
      <c r="M16" s="7" t="s">
        <v>174</v>
      </c>
      <c r="N16" s="62">
        <f>'Revenue Growth'!$C$20</f>
        <v>0.22973515272238387</v>
      </c>
      <c r="O16" s="7" t="s">
        <v>174</v>
      </c>
      <c r="P16" s="62">
        <f>'Revenue Growth'!$D$20</f>
        <v>9.1363297736570925E-2</v>
      </c>
      <c r="Q16" s="112" t="s">
        <v>344</v>
      </c>
      <c r="S16" s="7">
        <f>J16*(1+N16)</f>
        <v>589.0431381540219</v>
      </c>
      <c r="T16" s="7">
        <f>S16*(1+$P$16)</f>
        <v>642.86006176487183</v>
      </c>
      <c r="U16" s="7">
        <f>T16*(1+$P$16)</f>
        <v>701.59387699084607</v>
      </c>
      <c r="V16" s="7">
        <f>U16*(1+$P$16)</f>
        <v>765.69380726451573</v>
      </c>
      <c r="W16" s="7">
        <f>V16*(1+$P$16)</f>
        <v>835.6501185526721</v>
      </c>
    </row>
    <row r="17" spans="1:25" s="2" customFormat="1">
      <c r="A17" s="6" t="s">
        <v>147</v>
      </c>
      <c r="B17" s="7">
        <v>13455</v>
      </c>
      <c r="C17" s="62">
        <f t="shared" si="0"/>
        <v>0.6481838327391849</v>
      </c>
      <c r="D17" s="7">
        <v>13901</v>
      </c>
      <c r="E17" s="62">
        <f t="shared" si="1"/>
        <v>0.66283616250238409</v>
      </c>
      <c r="F17" s="7">
        <v>6901</v>
      </c>
      <c r="G17" s="62">
        <f t="shared" si="2"/>
        <v>0.65282376312553214</v>
      </c>
      <c r="H17" s="7">
        <v>8549</v>
      </c>
      <c r="I17" s="62">
        <f t="shared" si="3"/>
        <v>0.61694450458252148</v>
      </c>
      <c r="J17" s="7">
        <v>12848</v>
      </c>
      <c r="K17" s="62">
        <f t="shared" si="4"/>
        <v>0.61849516198912047</v>
      </c>
      <c r="M17" s="7" t="s">
        <v>174</v>
      </c>
      <c r="N17" s="62">
        <f>'Revenue Growth'!$C$20</f>
        <v>0.22973515272238387</v>
      </c>
      <c r="O17" s="7" t="s">
        <v>174</v>
      </c>
      <c r="P17" s="62">
        <f>'Revenue Growth'!$D$20</f>
        <v>9.1363297736570925E-2</v>
      </c>
      <c r="Q17" s="112" t="s">
        <v>344</v>
      </c>
      <c r="S17" s="7">
        <f>J17*(1+N17)</f>
        <v>15799.637242177188</v>
      </c>
      <c r="T17" s="7">
        <f>S17*(1+$P$17)</f>
        <v>17243.144203664036</v>
      </c>
      <c r="U17" s="7">
        <f>T17*(1+$P$17)</f>
        <v>18818.534721458018</v>
      </c>
      <c r="V17" s="7">
        <f>U17*(1+$P$17)</f>
        <v>20537.858112180584</v>
      </c>
      <c r="W17" s="7">
        <f>V17*(1+$P$17)</f>
        <v>22414.264557755185</v>
      </c>
    </row>
    <row r="18" spans="1:25" s="2" customFormat="1" ht="20">
      <c r="A18" s="10" t="s">
        <v>139</v>
      </c>
      <c r="B18" s="9">
        <f>B16+B17+B15</f>
        <v>16289</v>
      </c>
      <c r="C18" s="62">
        <f t="shared" si="0"/>
        <v>0.78470950958666541</v>
      </c>
      <c r="D18" s="9">
        <f t="shared" ref="D18:J18" si="6">D16+D17+D15</f>
        <v>16833</v>
      </c>
      <c r="E18" s="62">
        <f t="shared" si="1"/>
        <v>0.80264161739462137</v>
      </c>
      <c r="F18" s="9">
        <f t="shared" si="6"/>
        <v>7905</v>
      </c>
      <c r="G18" s="62">
        <f t="shared" si="2"/>
        <v>0.74780058651026393</v>
      </c>
      <c r="H18" s="9">
        <f t="shared" si="6"/>
        <v>10356</v>
      </c>
      <c r="I18" s="62">
        <f t="shared" si="3"/>
        <v>0.74734791080320417</v>
      </c>
      <c r="J18" s="9">
        <f t="shared" si="6"/>
        <v>15753</v>
      </c>
      <c r="K18" s="62">
        <f t="shared" si="4"/>
        <v>0.75834015308332936</v>
      </c>
      <c r="M18" s="7"/>
      <c r="N18" s="62"/>
      <c r="O18" s="7"/>
      <c r="P18" s="62"/>
      <c r="Q18" s="112"/>
      <c r="S18" s="9">
        <f>S16+S17+S15</f>
        <v>19372.017860835713</v>
      </c>
      <c r="T18" s="9">
        <f>T16+T17+T15</f>
        <v>21141.909296413418</v>
      </c>
      <c r="U18" s="9">
        <f>U16+U17+U15</f>
        <v>23073.503850181209</v>
      </c>
      <c r="V18" s="9">
        <f>V16+V17+V15</f>
        <v>25181.575252271228</v>
      </c>
      <c r="W18" s="9">
        <f>W16+W17+W15</f>
        <v>27482.247009520346</v>
      </c>
    </row>
    <row r="19" spans="1:25" s="2" customFormat="1">
      <c r="A19" s="7"/>
      <c r="B19" s="7"/>
      <c r="C19" s="62"/>
      <c r="D19" s="7"/>
      <c r="E19" s="62"/>
      <c r="F19" s="7"/>
      <c r="G19" s="62"/>
      <c r="H19" s="7"/>
      <c r="I19" s="62"/>
      <c r="J19" s="7"/>
      <c r="K19" s="62"/>
      <c r="M19" s="7"/>
      <c r="N19" s="62"/>
      <c r="O19" s="7"/>
      <c r="P19" s="62"/>
      <c r="Q19" s="112"/>
      <c r="S19" s="7"/>
      <c r="T19" s="7"/>
      <c r="U19" s="7"/>
      <c r="V19" s="7"/>
      <c r="W19" s="7"/>
    </row>
    <row r="20" spans="1:25" s="2" customFormat="1">
      <c r="A20" s="55" t="s">
        <v>146</v>
      </c>
      <c r="B20" s="15"/>
      <c r="C20" s="61"/>
      <c r="D20" s="15"/>
      <c r="E20" s="64"/>
      <c r="F20" s="15"/>
      <c r="G20" s="64"/>
      <c r="H20" s="15"/>
      <c r="I20" s="64"/>
      <c r="J20" s="15"/>
      <c r="K20" s="64"/>
      <c r="M20" s="32"/>
      <c r="N20" s="64"/>
      <c r="O20" s="32"/>
      <c r="P20" s="64"/>
      <c r="Q20" s="113"/>
      <c r="S20" s="32"/>
      <c r="T20" s="32"/>
      <c r="U20" s="32"/>
      <c r="V20" s="32"/>
      <c r="W20" s="32"/>
    </row>
    <row r="21" spans="1:25" s="2" customFormat="1">
      <c r="A21" s="6" t="s">
        <v>135</v>
      </c>
      <c r="B21" s="7">
        <f>479+518</f>
        <v>997</v>
      </c>
      <c r="C21" s="62">
        <f>B21/$B$29</f>
        <v>4.8029675305906155E-2</v>
      </c>
      <c r="D21" s="7">
        <v>1032</v>
      </c>
      <c r="E21" s="62">
        <f t="shared" si="1"/>
        <v>4.9208468434102613E-2</v>
      </c>
      <c r="F21" s="7">
        <v>338</v>
      </c>
      <c r="G21" s="62">
        <f t="shared" si="2"/>
        <v>3.1974269227130828E-2</v>
      </c>
      <c r="H21" s="7">
        <v>568</v>
      </c>
      <c r="I21" s="62">
        <f t="shared" si="3"/>
        <v>4.0990113300137118E-2</v>
      </c>
      <c r="J21" s="7">
        <v>917</v>
      </c>
      <c r="K21" s="62">
        <f t="shared" si="4"/>
        <v>4.4143840562268326E-2</v>
      </c>
      <c r="M21" s="7" t="s">
        <v>174</v>
      </c>
      <c r="N21" s="62">
        <f>'Revenue Growth'!$C$21</f>
        <v>0.30675290302434066</v>
      </c>
      <c r="O21" s="7" t="s">
        <v>174</v>
      </c>
      <c r="P21" s="62">
        <f>'Revenue Growth'!$D$21</f>
        <v>4.9083316512498865E-2</v>
      </c>
      <c r="Q21" s="112" t="s">
        <v>344</v>
      </c>
      <c r="S21" s="7">
        <f>J21*(1+N21)</f>
        <v>1198.2924120733203</v>
      </c>
      <c r="T21" s="7">
        <f>S21*(1+$P$21)</f>
        <v>1257.1085778096408</v>
      </c>
      <c r="U21" s="7">
        <f>T21*(1+$P$21)</f>
        <v>1318.8116360248487</v>
      </c>
      <c r="V21" s="7">
        <f>U21*(1+$P$21)</f>
        <v>1383.5432849762228</v>
      </c>
      <c r="W21" s="7">
        <f>V21*(1+$P$21)</f>
        <v>1451.4521779414531</v>
      </c>
      <c r="Y21" s="294"/>
    </row>
    <row r="22" spans="1:25" s="2" customFormat="1">
      <c r="A22" s="6" t="s">
        <v>136</v>
      </c>
      <c r="B22" s="7">
        <v>-13</v>
      </c>
      <c r="C22" s="62">
        <f t="shared" ref="C22:C29" si="7">B22/$B$29</f>
        <v>-6.2626457269486459E-4</v>
      </c>
      <c r="D22" s="7">
        <v>-14</v>
      </c>
      <c r="E22" s="62">
        <f t="shared" si="1"/>
        <v>-6.6755674232309744E-4</v>
      </c>
      <c r="F22" s="7">
        <v>-24</v>
      </c>
      <c r="G22" s="62">
        <f t="shared" si="2"/>
        <v>-2.2703623119856211E-3</v>
      </c>
      <c r="H22" s="7">
        <v>-20</v>
      </c>
      <c r="I22" s="62">
        <f t="shared" si="3"/>
        <v>-1.4433138485963773E-3</v>
      </c>
      <c r="J22" s="7">
        <v>-29</v>
      </c>
      <c r="K22" s="62">
        <f t="shared" si="4"/>
        <v>-1.3960429403552688E-3</v>
      </c>
      <c r="M22" s="7" t="s">
        <v>174</v>
      </c>
      <c r="N22" s="62">
        <f>'Revenue Growth'!$C$21</f>
        <v>0.30675290302434066</v>
      </c>
      <c r="O22" s="7" t="s">
        <v>174</v>
      </c>
      <c r="P22" s="62">
        <f>'Revenue Growth'!$D$21</f>
        <v>4.9083316512498865E-2</v>
      </c>
      <c r="Q22" s="112" t="s">
        <v>344</v>
      </c>
      <c r="S22" s="7">
        <f>J22*(1+N22)</f>
        <v>-37.895834187705873</v>
      </c>
      <c r="T22" s="7">
        <f>S22*(1+$P$22)</f>
        <v>-39.755887411646214</v>
      </c>
      <c r="U22" s="7">
        <f>T22*(1+$P$22)</f>
        <v>-41.707238216707317</v>
      </c>
      <c r="V22" s="7">
        <f>U22*(1+$P$22)</f>
        <v>-43.754367790960153</v>
      </c>
      <c r="W22" s="7">
        <f>V22*(1+$P$22)</f>
        <v>-45.901977274048136</v>
      </c>
    </row>
    <row r="23" spans="1:25" s="2" customFormat="1" ht="20">
      <c r="A23" s="10" t="s">
        <v>137</v>
      </c>
      <c r="B23" s="9">
        <f>B21+B22</f>
        <v>984</v>
      </c>
      <c r="C23" s="62">
        <f t="shared" si="7"/>
        <v>4.740341073321129E-2</v>
      </c>
      <c r="D23" s="9">
        <f t="shared" ref="D23:J23" si="8">D21+D22</f>
        <v>1018</v>
      </c>
      <c r="E23" s="62">
        <f t="shared" si="1"/>
        <v>4.8540911691779515E-2</v>
      </c>
      <c r="F23" s="9">
        <f t="shared" si="8"/>
        <v>314</v>
      </c>
      <c r="G23" s="62">
        <f t="shared" si="2"/>
        <v>2.9703906915145208E-2</v>
      </c>
      <c r="H23" s="9">
        <f t="shared" si="8"/>
        <v>548</v>
      </c>
      <c r="I23" s="62">
        <f t="shared" si="3"/>
        <v>3.9546799451540736E-2</v>
      </c>
      <c r="J23" s="9">
        <f t="shared" si="8"/>
        <v>888</v>
      </c>
      <c r="K23" s="62">
        <f t="shared" si="4"/>
        <v>4.274779762191306E-2</v>
      </c>
      <c r="M23" s="7"/>
      <c r="N23" s="62"/>
      <c r="O23" s="7"/>
      <c r="P23" s="62"/>
      <c r="Q23" s="112"/>
      <c r="S23" s="9">
        <f>S21+S22</f>
        <v>1160.3965778856145</v>
      </c>
      <c r="T23" s="9">
        <f>T21+T22</f>
        <v>1217.3526903979946</v>
      </c>
      <c r="U23" s="9">
        <f>U21+U22</f>
        <v>1277.1043978081414</v>
      </c>
      <c r="V23" s="9">
        <f>V21+V22</f>
        <v>1339.7889171852626</v>
      </c>
      <c r="W23" s="9">
        <f>W21+W22</f>
        <v>1405.5502006674051</v>
      </c>
    </row>
    <row r="24" spans="1:25" s="2" customFormat="1">
      <c r="A24" s="6" t="s">
        <v>138</v>
      </c>
      <c r="B24" s="7">
        <f>668+182</f>
        <v>850</v>
      </c>
      <c r="C24" s="62">
        <f t="shared" si="7"/>
        <v>4.0948068214664228E-2</v>
      </c>
      <c r="D24" s="7">
        <v>841</v>
      </c>
      <c r="E24" s="62">
        <f t="shared" si="1"/>
        <v>4.01010871638375E-2</v>
      </c>
      <c r="F24" s="7">
        <v>317</v>
      </c>
      <c r="G24" s="62">
        <f t="shared" si="2"/>
        <v>2.9987702204143412E-2</v>
      </c>
      <c r="H24" s="7">
        <v>467</v>
      </c>
      <c r="I24" s="62">
        <f t="shared" si="3"/>
        <v>3.3701378364725407E-2</v>
      </c>
      <c r="J24" s="7">
        <v>801</v>
      </c>
      <c r="K24" s="62">
        <f t="shared" si="4"/>
        <v>3.8559668800847255E-2</v>
      </c>
      <c r="M24" s="7" t="s">
        <v>174</v>
      </c>
      <c r="N24" s="62">
        <f>'Revenue Growth'!$C$21</f>
        <v>0.30675290302434066</v>
      </c>
      <c r="O24" s="7" t="s">
        <v>174</v>
      </c>
      <c r="P24" s="62">
        <f>'Revenue Growth'!$D$21</f>
        <v>4.9083316512498865E-2</v>
      </c>
      <c r="Q24" s="112" t="s">
        <v>344</v>
      </c>
      <c r="S24" s="7">
        <f>J24*(1+N24)</f>
        <v>1046.7090753224968</v>
      </c>
      <c r="T24" s="7">
        <f>S24*(1+$P$24)</f>
        <v>1098.085028163056</v>
      </c>
      <c r="U24" s="7">
        <f>T24*(1+$P$24)</f>
        <v>1151.9826831580194</v>
      </c>
      <c r="V24" s="7">
        <f>U24*(1+$P$24)</f>
        <v>1208.5258138123822</v>
      </c>
      <c r="W24" s="7">
        <f>V24*(1+$P$24)</f>
        <v>1267.8442688452606</v>
      </c>
    </row>
    <row r="25" spans="1:25" s="2" customFormat="1">
      <c r="A25" s="6" t="s">
        <v>147</v>
      </c>
      <c r="B25" s="7">
        <f>459+1091</f>
        <v>1550</v>
      </c>
      <c r="C25" s="62">
        <f t="shared" si="7"/>
        <v>7.4670006744387701E-2</v>
      </c>
      <c r="D25" s="7">
        <v>1685</v>
      </c>
      <c r="E25" s="62">
        <f t="shared" si="1"/>
        <v>8.034522220102995E-2</v>
      </c>
      <c r="F25" s="7">
        <v>966</v>
      </c>
      <c r="G25" s="62">
        <f t="shared" si="2"/>
        <v>9.1382083057421251E-2</v>
      </c>
      <c r="H25" s="7">
        <v>1239</v>
      </c>
      <c r="I25" s="62">
        <f t="shared" si="3"/>
        <v>8.9413292920545576E-2</v>
      </c>
      <c r="J25" s="7">
        <v>1797</v>
      </c>
      <c r="K25" s="62">
        <f t="shared" si="4"/>
        <v>8.6506522890290274E-2</v>
      </c>
      <c r="M25" s="7" t="s">
        <v>174</v>
      </c>
      <c r="N25" s="62">
        <f>'Revenue Growth'!$C$21</f>
        <v>0.30675290302434066</v>
      </c>
      <c r="O25" s="7" t="s">
        <v>174</v>
      </c>
      <c r="P25" s="62">
        <f>'Revenue Growth'!$D$21</f>
        <v>4.9083316512498865E-2</v>
      </c>
      <c r="Q25" s="112" t="s">
        <v>344</v>
      </c>
      <c r="S25" s="7">
        <f>J25*(1+N25)</f>
        <v>2348.2349667347398</v>
      </c>
      <c r="T25" s="7">
        <f>S25*(1+$P$25)</f>
        <v>2463.4941268526982</v>
      </c>
      <c r="U25" s="7">
        <f>T25*(1+$P$25)</f>
        <v>2584.4105888076911</v>
      </c>
      <c r="V25" s="7">
        <f>U25*(1+$P$25)</f>
        <v>2711.2620317363926</v>
      </c>
      <c r="W25" s="7">
        <f>V25*(1+$P$25)</f>
        <v>2844.3397641884308</v>
      </c>
    </row>
    <row r="26" spans="1:25" s="2" customFormat="1" ht="20">
      <c r="A26" s="10" t="s">
        <v>139</v>
      </c>
      <c r="B26" s="9">
        <f>B23+B24+B25</f>
        <v>3384</v>
      </c>
      <c r="C26" s="62">
        <f t="shared" si="7"/>
        <v>0.16302148569226321</v>
      </c>
      <c r="D26" s="9">
        <f t="shared" ref="D26:J26" si="9">D23+D24+D25</f>
        <v>3544</v>
      </c>
      <c r="E26" s="62">
        <f t="shared" si="1"/>
        <v>0.16898722105664696</v>
      </c>
      <c r="F26" s="9">
        <f t="shared" si="9"/>
        <v>1597</v>
      </c>
      <c r="G26" s="62">
        <f t="shared" si="2"/>
        <v>0.15107369217670988</v>
      </c>
      <c r="H26" s="9">
        <f t="shared" si="9"/>
        <v>2254</v>
      </c>
      <c r="I26" s="62">
        <f t="shared" si="3"/>
        <v>0.16266147073681173</v>
      </c>
      <c r="J26" s="9">
        <f t="shared" si="9"/>
        <v>3486</v>
      </c>
      <c r="K26" s="62">
        <f t="shared" si="4"/>
        <v>0.16781398931305058</v>
      </c>
      <c r="M26" s="7"/>
      <c r="N26" s="62"/>
      <c r="O26" s="7"/>
      <c r="P26" s="62"/>
      <c r="Q26" s="112"/>
      <c r="S26" s="9">
        <f>S23+S24+S25</f>
        <v>4555.3406199428509</v>
      </c>
      <c r="T26" s="9">
        <f>T23+T24+T25</f>
        <v>4778.9318454137483</v>
      </c>
      <c r="U26" s="9">
        <f>U23+U24+U25</f>
        <v>5013.4976697738521</v>
      </c>
      <c r="V26" s="9">
        <f>V23+V24+V25</f>
        <v>5259.5767627340374</v>
      </c>
      <c r="W26" s="9">
        <f>W23+W24+W25</f>
        <v>5517.7342337010959</v>
      </c>
    </row>
    <row r="27" spans="1:25" s="2" customFormat="1">
      <c r="A27" s="6"/>
      <c r="B27" s="7"/>
      <c r="C27" s="62"/>
      <c r="D27" s="7"/>
      <c r="E27" s="62"/>
      <c r="F27" s="7"/>
      <c r="G27" s="62"/>
      <c r="H27" s="7"/>
      <c r="I27" s="62"/>
      <c r="J27" s="7"/>
      <c r="K27" s="62"/>
      <c r="M27" s="7"/>
      <c r="N27" s="62"/>
      <c r="O27" s="7"/>
      <c r="P27" s="62"/>
      <c r="Q27" s="112"/>
      <c r="S27" s="7"/>
      <c r="T27" s="7"/>
      <c r="U27" s="7"/>
      <c r="V27" s="7"/>
      <c r="W27" s="7"/>
    </row>
    <row r="28" spans="1:25" s="2" customFormat="1">
      <c r="A28" s="7" t="s">
        <v>140</v>
      </c>
      <c r="B28" s="7">
        <v>1085</v>
      </c>
      <c r="C28" s="62">
        <f t="shared" si="7"/>
        <v>5.2269004721071391E-2</v>
      </c>
      <c r="D28" s="7">
        <v>595</v>
      </c>
      <c r="E28" s="62">
        <f t="shared" si="1"/>
        <v>2.8371161548731642E-2</v>
      </c>
      <c r="F28" s="7">
        <v>1069</v>
      </c>
      <c r="G28" s="62">
        <f t="shared" si="2"/>
        <v>0.1011257213130262</v>
      </c>
      <c r="H28" s="7">
        <v>1247</v>
      </c>
      <c r="I28" s="62">
        <f t="shared" si="3"/>
        <v>8.9990618459984129E-2</v>
      </c>
      <c r="J28" s="7">
        <v>1534</v>
      </c>
      <c r="K28" s="62">
        <f t="shared" si="4"/>
        <v>7.3845857603620085E-2</v>
      </c>
      <c r="M28" s="7" t="s">
        <v>174</v>
      </c>
      <c r="N28" s="62">
        <f>'Revenue Growth'!$C$21</f>
        <v>0.30675290302434066</v>
      </c>
      <c r="O28" s="7" t="s">
        <v>174</v>
      </c>
      <c r="P28" s="62">
        <f>'Revenue Growth'!$D$21</f>
        <v>4.9083316512498865E-2</v>
      </c>
      <c r="Q28" s="112" t="s">
        <v>344</v>
      </c>
      <c r="S28" s="7">
        <f>J28*(1+N28)</f>
        <v>2004.5589532393385</v>
      </c>
      <c r="T28" s="7">
        <f>S28*(1+$P$28)</f>
        <v>2102.9493548091482</v>
      </c>
      <c r="U28" s="7">
        <f>T28*(1+$P$28)</f>
        <v>2206.1690836010007</v>
      </c>
      <c r="V28" s="7">
        <f>U28*(1+$P$28)</f>
        <v>2314.4551790114783</v>
      </c>
      <c r="W28" s="7">
        <f>V28*(1+$P$28)</f>
        <v>2428.0563151168908</v>
      </c>
    </row>
    <row r="29" spans="1:25" s="2" customFormat="1" ht="20">
      <c r="A29" s="16" t="s">
        <v>142</v>
      </c>
      <c r="B29" s="16">
        <f>B18+B28+B26</f>
        <v>20758</v>
      </c>
      <c r="C29" s="64">
        <f t="shared" si="7"/>
        <v>1</v>
      </c>
      <c r="D29" s="16">
        <f t="shared" ref="D29:J29" si="10">D18+D28+D26</f>
        <v>20972</v>
      </c>
      <c r="E29" s="64">
        <f t="shared" si="1"/>
        <v>1</v>
      </c>
      <c r="F29" s="16">
        <f t="shared" si="10"/>
        <v>10571</v>
      </c>
      <c r="G29" s="64">
        <f t="shared" si="2"/>
        <v>1</v>
      </c>
      <c r="H29" s="16">
        <f t="shared" si="10"/>
        <v>13857</v>
      </c>
      <c r="I29" s="64">
        <f t="shared" si="3"/>
        <v>1</v>
      </c>
      <c r="J29" s="16">
        <f t="shared" si="10"/>
        <v>20773</v>
      </c>
      <c r="K29" s="64">
        <f t="shared" si="4"/>
        <v>1</v>
      </c>
      <c r="M29" s="32"/>
      <c r="N29" s="64"/>
      <c r="O29" s="32"/>
      <c r="P29" s="64"/>
      <c r="Q29" s="113"/>
      <c r="S29" s="16">
        <f>S18+S28+S26</f>
        <v>25931.917434017902</v>
      </c>
      <c r="T29" s="16">
        <f>T18+T28+T26</f>
        <v>28023.790496636313</v>
      </c>
      <c r="U29" s="16">
        <f>U18+U28+U26</f>
        <v>30293.170603556064</v>
      </c>
      <c r="V29" s="16">
        <f>V18+V28+V26</f>
        <v>32755.607194016746</v>
      </c>
      <c r="W29" s="16">
        <f>W18+W28+W26</f>
        <v>35428.037558338328</v>
      </c>
    </row>
    <row r="30" spans="1:25" s="2" customFormat="1" ht="20">
      <c r="A30" s="37"/>
      <c r="B30" s="37"/>
      <c r="C30" s="63"/>
      <c r="D30" s="37"/>
      <c r="E30" s="62"/>
      <c r="F30" s="37"/>
      <c r="G30" s="63"/>
      <c r="H30" s="37"/>
      <c r="I30" s="63"/>
      <c r="J30" s="37"/>
      <c r="K30" s="63"/>
      <c r="M30" s="7"/>
      <c r="N30" s="62"/>
      <c r="O30" s="7"/>
      <c r="P30" s="62"/>
      <c r="Q30" s="112"/>
      <c r="S30" s="7"/>
      <c r="T30" s="7"/>
      <c r="U30" s="7"/>
      <c r="V30" s="7"/>
      <c r="W30" s="7"/>
    </row>
    <row r="31" spans="1:25" s="2" customFormat="1">
      <c r="A31" s="15" t="s">
        <v>145</v>
      </c>
      <c r="B31" s="32"/>
      <c r="C31" s="64"/>
      <c r="D31" s="32"/>
      <c r="E31" s="64"/>
      <c r="F31" s="32"/>
      <c r="G31" s="64"/>
      <c r="H31" s="32"/>
      <c r="I31" s="64"/>
      <c r="J31" s="32"/>
      <c r="K31" s="64"/>
      <c r="M31" s="7"/>
      <c r="N31" s="62"/>
      <c r="O31" s="7"/>
      <c r="P31" s="62"/>
      <c r="Q31" s="112"/>
      <c r="S31" s="7"/>
      <c r="T31" s="7"/>
      <c r="U31" s="7"/>
      <c r="V31" s="7"/>
      <c r="W31" s="7"/>
    </row>
    <row r="32" spans="1:25" s="2" customFormat="1">
      <c r="A32" s="6" t="s">
        <v>7</v>
      </c>
      <c r="B32" s="7">
        <v>-1306</v>
      </c>
      <c r="C32" s="62">
        <f t="shared" ref="C32:C46" si="11">B32/$B$29</f>
        <v>-6.2915502456884098E-2</v>
      </c>
      <c r="D32" s="7">
        <v>-1316</v>
      </c>
      <c r="E32" s="62">
        <f t="shared" si="1"/>
        <v>-6.2750333778371165E-2</v>
      </c>
      <c r="F32" s="7">
        <v>-677</v>
      </c>
      <c r="G32" s="62">
        <f t="shared" ref="G32:G46" si="12">F32/$F$29</f>
        <v>-6.4043136883927723E-2</v>
      </c>
      <c r="H32" s="7">
        <v>-734</v>
      </c>
      <c r="I32" s="62">
        <f t="shared" ref="I32:I46" si="13">H32/$H$29</f>
        <v>-5.2969618243487046E-2</v>
      </c>
      <c r="J32" s="7">
        <v>-1074</v>
      </c>
      <c r="K32" s="62">
        <f t="shared" ref="K32:K46" si="14">J32/$J$29</f>
        <v>-5.1701728204881336E-2</v>
      </c>
      <c r="M32" s="7" t="s">
        <v>211</v>
      </c>
      <c r="N32" s="62">
        <f>AVERAGE(K32,I32,G32,E32,C32)</f>
        <v>-5.8876063913510281E-2</v>
      </c>
      <c r="O32" s="7" t="s">
        <v>168</v>
      </c>
      <c r="P32" s="62">
        <f>AVERAGE(C32,K32,I32,G32,E32)</f>
        <v>-5.8876063913510281E-2</v>
      </c>
      <c r="Q32" s="112" t="s">
        <v>342</v>
      </c>
      <c r="S32" s="7">
        <f>N32*$S$29</f>
        <v>-1526.7692282451094</v>
      </c>
      <c r="T32" s="7">
        <f>P32*$T$29</f>
        <v>-1649.9304803787816</v>
      </c>
      <c r="U32" s="7">
        <f>P32*$U$29</f>
        <v>-1783.5426485978376</v>
      </c>
      <c r="V32" s="7">
        <f>P32*$V$29</f>
        <v>-1928.5212226807671</v>
      </c>
      <c r="W32" s="7">
        <f>P32*$W$29</f>
        <v>-2085.8634036149701</v>
      </c>
    </row>
    <row r="33" spans="1:25" s="2" customFormat="1">
      <c r="A33" s="6" t="s">
        <v>41</v>
      </c>
      <c r="B33" s="7">
        <v>-226</v>
      </c>
      <c r="C33" s="62">
        <f t="shared" si="11"/>
        <v>-1.0887368725310724E-2</v>
      </c>
      <c r="D33" s="7">
        <v>-341</v>
      </c>
      <c r="E33" s="62">
        <f t="shared" si="1"/>
        <v>-1.6259774938012589E-2</v>
      </c>
      <c r="F33" s="7">
        <v>-346</v>
      </c>
      <c r="G33" s="62">
        <f t="shared" si="12"/>
        <v>-3.2731056664459371E-2</v>
      </c>
      <c r="H33" s="7">
        <v>-220</v>
      </c>
      <c r="I33" s="62">
        <f t="shared" si="13"/>
        <v>-1.587645233456015E-2</v>
      </c>
      <c r="J33" s="7">
        <v>-193</v>
      </c>
      <c r="K33" s="62">
        <f t="shared" si="14"/>
        <v>-9.2909064651229955E-3</v>
      </c>
      <c r="M33" s="7" t="s">
        <v>168</v>
      </c>
      <c r="N33" s="62">
        <f t="shared" ref="N33:N43" si="15">AVERAGE(K33,I33,G33,E33,C33)</f>
        <v>-1.7009111825493164E-2</v>
      </c>
      <c r="O33" s="7" t="s">
        <v>168</v>
      </c>
      <c r="P33" s="62">
        <f>AVERAGE(C33,K33,I33,G33,E33)</f>
        <v>-1.7009111825493167E-2</v>
      </c>
      <c r="Q33" s="112" t="s">
        <v>342</v>
      </c>
      <c r="S33" s="7">
        <f>N33*$S$29</f>
        <v>-441.07888348466622</v>
      </c>
      <c r="T33" s="7">
        <f>P33*$T$29</f>
        <v>-476.65978633147972</v>
      </c>
      <c r="U33" s="7">
        <f>P33*$U$29</f>
        <v>-515.25992634462739</v>
      </c>
      <c r="V33" s="7">
        <f>P33*$V$29</f>
        <v>-557.1437856749593</v>
      </c>
      <c r="W33" s="7">
        <f>P33*$W$29</f>
        <v>-602.59945258754851</v>
      </c>
    </row>
    <row r="34" spans="1:25" s="2" customFormat="1">
      <c r="A34" s="6" t="s">
        <v>9</v>
      </c>
      <c r="B34" s="7">
        <v>-927</v>
      </c>
      <c r="C34" s="62">
        <f t="shared" si="11"/>
        <v>-4.4657481452933807E-2</v>
      </c>
      <c r="D34" s="7">
        <v>-938</v>
      </c>
      <c r="E34" s="62">
        <f t="shared" si="1"/>
        <v>-4.4726301735647532E-2</v>
      </c>
      <c r="F34" s="7">
        <v>-762</v>
      </c>
      <c r="G34" s="62">
        <f t="shared" si="12"/>
        <v>-7.2084003405543468E-2</v>
      </c>
      <c r="H34" s="7">
        <v>-823</v>
      </c>
      <c r="I34" s="62">
        <f t="shared" si="13"/>
        <v>-5.9392364869740928E-2</v>
      </c>
      <c r="J34" s="7">
        <v>-891</v>
      </c>
      <c r="K34" s="62">
        <f t="shared" si="14"/>
        <v>-4.2892215857122225E-2</v>
      </c>
      <c r="M34" s="7" t="s">
        <v>168</v>
      </c>
      <c r="N34" s="62">
        <f t="shared" si="15"/>
        <v>-5.2750473464197603E-2</v>
      </c>
      <c r="O34" s="7" t="s">
        <v>168</v>
      </c>
      <c r="P34" s="62">
        <f>AVERAGE(C34,K34,I34,G34,E34)</f>
        <v>-5.2750473464197589E-2</v>
      </c>
      <c r="Q34" s="112" t="s">
        <v>342</v>
      </c>
      <c r="S34" s="7">
        <f>N34*$S$29</f>
        <v>-1367.9209224789245</v>
      </c>
      <c r="T34" s="7">
        <f>P34*$T$29</f>
        <v>-1478.2682169590464</v>
      </c>
      <c r="U34" s="7">
        <f>P34*$U$29</f>
        <v>-1597.9790920692947</v>
      </c>
      <c r="V34" s="7">
        <f>P34*$V$29</f>
        <v>-1727.8737880916599</v>
      </c>
      <c r="W34" s="7">
        <f>P34*$W$29</f>
        <v>-1868.8457551097215</v>
      </c>
    </row>
    <row r="35" spans="1:25" s="2" customFormat="1">
      <c r="A35" s="6" t="s">
        <v>8</v>
      </c>
      <c r="B35" s="7">
        <v>-155</v>
      </c>
      <c r="C35" s="62">
        <f t="shared" si="11"/>
        <v>-7.467000674438771E-3</v>
      </c>
      <c r="D35" s="7">
        <v>-138</v>
      </c>
      <c r="E35" s="62">
        <f t="shared" si="1"/>
        <v>-6.580202174327675E-3</v>
      </c>
      <c r="F35" s="7">
        <v>-267</v>
      </c>
      <c r="G35" s="62">
        <f t="shared" si="12"/>
        <v>-2.5257780720840034E-2</v>
      </c>
      <c r="H35" s="7">
        <v>-8</v>
      </c>
      <c r="I35" s="62">
        <f t="shared" si="13"/>
        <v>-5.7732553943855096E-4</v>
      </c>
      <c r="J35" s="7">
        <v>-12</v>
      </c>
      <c r="K35" s="62">
        <f t="shared" si="14"/>
        <v>-5.7767294083666302E-4</v>
      </c>
      <c r="M35" s="7" t="s">
        <v>168</v>
      </c>
      <c r="N35" s="62">
        <f t="shared" si="15"/>
        <v>-8.0919964099763382E-3</v>
      </c>
      <c r="O35" s="7" t="s">
        <v>168</v>
      </c>
      <c r="P35" s="62">
        <f>AVERAGE(C35,K35,I35,G35,E35)</f>
        <v>-8.0919964099763382E-3</v>
      </c>
      <c r="Q35" s="112" t="s">
        <v>342</v>
      </c>
      <c r="S35" s="7">
        <f>N35*$S$29</f>
        <v>-209.84098277987567</v>
      </c>
      <c r="T35" s="7">
        <f>P35*$T$29</f>
        <v>-226.76841209271007</v>
      </c>
      <c r="U35" s="7">
        <f>P35*$U$29</f>
        <v>-245.13222777077641</v>
      </c>
      <c r="V35" s="7">
        <f>P35*$V$29</f>
        <v>-265.05825582057861</v>
      </c>
      <c r="W35" s="7">
        <f>P35*$W$29</f>
        <v>-286.68355273458064</v>
      </c>
    </row>
    <row r="36" spans="1:25" s="2" customFormat="1">
      <c r="A36" s="6" t="s">
        <v>372</v>
      </c>
      <c r="B36" s="7">
        <v>-15778</v>
      </c>
      <c r="C36" s="62">
        <f t="shared" si="11"/>
        <v>-0.76009249445996729</v>
      </c>
      <c r="D36" s="7">
        <v>-16439</v>
      </c>
      <c r="E36" s="62">
        <f t="shared" si="1"/>
        <v>-0.78385466336067133</v>
      </c>
      <c r="F36" s="7">
        <v>-8435</v>
      </c>
      <c r="G36" s="62">
        <f t="shared" si="12"/>
        <v>-0.79793775423327973</v>
      </c>
      <c r="H36" s="7">
        <v>-10322</v>
      </c>
      <c r="I36" s="62">
        <f t="shared" si="13"/>
        <v>-0.74489427726059032</v>
      </c>
      <c r="J36" s="7">
        <v>-15141</v>
      </c>
      <c r="K36" s="62">
        <f t="shared" si="14"/>
        <v>-0.72887883310065948</v>
      </c>
      <c r="M36" s="7" t="s">
        <v>168</v>
      </c>
      <c r="N36" s="62">
        <f t="shared" si="15"/>
        <v>-0.76313160448303363</v>
      </c>
      <c r="O36" s="7" t="s">
        <v>168</v>
      </c>
      <c r="P36" s="62">
        <f>AVERAGE(C36,K36,I36,G36,E36)</f>
        <v>-0.76313160448303363</v>
      </c>
      <c r="Q36" s="112" t="s">
        <v>342</v>
      </c>
      <c r="S36" s="7">
        <f>N36*$S$29</f>
        <v>-19789.465758743634</v>
      </c>
      <c r="T36" s="7">
        <f>P36*$T$29</f>
        <v>-21385.840205394459</v>
      </c>
      <c r="U36" s="7">
        <f>P36*$U$29</f>
        <v>-23117.675887570007</v>
      </c>
      <c r="V36" s="7">
        <f>P36*$V$29</f>
        <v>-24996.839073785999</v>
      </c>
      <c r="W36" s="7">
        <f>P36*$W$29</f>
        <v>-27036.255145579908</v>
      </c>
    </row>
    <row r="37" spans="1:25" s="2" customFormat="1" ht="20">
      <c r="A37" s="36" t="s">
        <v>107</v>
      </c>
      <c r="B37" s="36">
        <f>SUM(B32:B36)</f>
        <v>-18392</v>
      </c>
      <c r="C37" s="64">
        <f t="shared" si="11"/>
        <v>-0.88601984776953469</v>
      </c>
      <c r="D37" s="36">
        <f t="shared" ref="D37:J37" si="16">SUM(D32:D36)</f>
        <v>-19172</v>
      </c>
      <c r="E37" s="64">
        <f t="shared" si="1"/>
        <v>-0.9141712759870303</v>
      </c>
      <c r="F37" s="36">
        <f t="shared" si="16"/>
        <v>-10487</v>
      </c>
      <c r="G37" s="64">
        <f t="shared" si="12"/>
        <v>-0.99205373190805035</v>
      </c>
      <c r="H37" s="36">
        <f t="shared" si="16"/>
        <v>-12107</v>
      </c>
      <c r="I37" s="64">
        <f t="shared" si="13"/>
        <v>-0.87371003824781701</v>
      </c>
      <c r="J37" s="36">
        <f t="shared" si="16"/>
        <v>-17311</v>
      </c>
      <c r="K37" s="64">
        <f t="shared" si="14"/>
        <v>-0.83334135656862274</v>
      </c>
      <c r="M37" s="32"/>
      <c r="N37" s="64"/>
      <c r="O37" s="32"/>
      <c r="P37" s="64"/>
      <c r="Q37" s="113"/>
      <c r="S37" s="36">
        <f>SUM(S32:S36)</f>
        <v>-23335.07577573221</v>
      </c>
      <c r="T37" s="36">
        <f>SUM(T32:T36)</f>
        <v>-25217.467101156479</v>
      </c>
      <c r="U37" s="36">
        <f>SUM(U32:U36)</f>
        <v>-27259.589782352545</v>
      </c>
      <c r="V37" s="36">
        <f>SUM(V32:V36)</f>
        <v>-29475.436126053966</v>
      </c>
      <c r="W37" s="36">
        <f>SUM(W32:W36)</f>
        <v>-31880.247309626728</v>
      </c>
    </row>
    <row r="38" spans="1:25" s="2" customFormat="1">
      <c r="A38" s="7"/>
      <c r="B38" s="7"/>
      <c r="C38" s="62"/>
      <c r="D38" s="7"/>
      <c r="E38" s="62"/>
      <c r="F38" s="7"/>
      <c r="G38" s="62"/>
      <c r="H38" s="7"/>
      <c r="I38" s="62"/>
      <c r="J38" s="7"/>
      <c r="K38" s="62"/>
      <c r="M38" s="7"/>
      <c r="N38" s="62"/>
      <c r="O38" s="7"/>
      <c r="P38" s="62"/>
      <c r="Q38" s="112"/>
      <c r="S38" s="7"/>
      <c r="T38" s="7"/>
      <c r="U38" s="7"/>
      <c r="V38" s="7"/>
      <c r="W38" s="7"/>
    </row>
    <row r="39" spans="1:25" s="2" customFormat="1">
      <c r="A39" s="6" t="s">
        <v>12</v>
      </c>
      <c r="B39" s="7">
        <v>194</v>
      </c>
      <c r="C39" s="62">
        <f t="shared" si="11"/>
        <v>9.3457943925233638E-3</v>
      </c>
      <c r="D39" s="7">
        <v>154</v>
      </c>
      <c r="E39" s="62">
        <f t="shared" si="1"/>
        <v>7.3431241655540717E-3</v>
      </c>
      <c r="F39" s="7">
        <v>9</v>
      </c>
      <c r="G39" s="62">
        <f t="shared" si="12"/>
        <v>8.5138586699460791E-4</v>
      </c>
      <c r="H39" s="7">
        <v>10</v>
      </c>
      <c r="I39" s="62">
        <f t="shared" si="13"/>
        <v>7.2165692429818865E-4</v>
      </c>
      <c r="J39" s="7">
        <v>11</v>
      </c>
      <c r="K39" s="62">
        <f t="shared" si="14"/>
        <v>5.2953352910027444E-4</v>
      </c>
      <c r="M39" s="7" t="s">
        <v>168</v>
      </c>
      <c r="N39" s="62">
        <f t="shared" si="15"/>
        <v>3.7582989756941008E-3</v>
      </c>
      <c r="O39" s="7" t="s">
        <v>168</v>
      </c>
      <c r="P39" s="62">
        <f>AVERAGE(C39,K39,I39,G39,E39)</f>
        <v>3.7582989756941012E-3</v>
      </c>
      <c r="Q39" s="112" t="s">
        <v>342</v>
      </c>
      <c r="S39" s="7">
        <f>N39*$S$29</f>
        <v>97.459898730053467</v>
      </c>
      <c r="T39" s="7">
        <f>P39*$T$29</f>
        <v>105.32178311857434</v>
      </c>
      <c r="U39" s="7">
        <f>P39*$U$29</f>
        <v>113.85079204987142</v>
      </c>
      <c r="V39" s="7">
        <f>P39*$V$29</f>
        <v>123.10536496551147</v>
      </c>
      <c r="W39" s="7">
        <f>P39*$W$29</f>
        <v>133.14915726635508</v>
      </c>
    </row>
    <row r="40" spans="1:25" s="2" customFormat="1">
      <c r="A40" s="6" t="s">
        <v>38</v>
      </c>
      <c r="B40" s="8">
        <v>0</v>
      </c>
      <c r="C40" s="62">
        <f t="shared" si="11"/>
        <v>0</v>
      </c>
      <c r="D40" s="8">
        <v>0</v>
      </c>
      <c r="E40" s="62">
        <f t="shared" si="1"/>
        <v>0</v>
      </c>
      <c r="F40" s="8">
        <v>0</v>
      </c>
      <c r="G40" s="62">
        <f t="shared" si="12"/>
        <v>0</v>
      </c>
      <c r="H40" s="8">
        <v>-164</v>
      </c>
      <c r="I40" s="62">
        <f t="shared" si="13"/>
        <v>-1.1835173558490293E-2</v>
      </c>
      <c r="J40" s="8">
        <v>0</v>
      </c>
      <c r="K40" s="62">
        <f t="shared" si="14"/>
        <v>0</v>
      </c>
      <c r="M40" s="7" t="s">
        <v>168</v>
      </c>
      <c r="N40" s="62">
        <f t="shared" si="15"/>
        <v>-2.3670347116980586E-3</v>
      </c>
      <c r="O40" s="7" t="s">
        <v>168</v>
      </c>
      <c r="P40" s="62">
        <f>AVERAGE(C40,K40,I40,G40,E40)</f>
        <v>-2.3670347116980586E-3</v>
      </c>
      <c r="Q40" s="112" t="s">
        <v>342</v>
      </c>
      <c r="S40" s="7">
        <f>N40*$S$29</f>
        <v>-61.381748707208423</v>
      </c>
      <c r="T40" s="7">
        <f>P40*$T$29</f>
        <v>-66.333284858892327</v>
      </c>
      <c r="U40" s="7">
        <f>P40*$U$29</f>
        <v>-71.704986346008425</v>
      </c>
      <c r="V40" s="7">
        <f>P40*$V$29</f>
        <v>-77.533659230984284</v>
      </c>
      <c r="W40" s="7">
        <f>P40*$W$29</f>
        <v>-83.859394667929351</v>
      </c>
    </row>
    <row r="41" spans="1:25" s="2" customFormat="1">
      <c r="A41" s="6" t="s">
        <v>13</v>
      </c>
      <c r="B41" s="7">
        <v>-340</v>
      </c>
      <c r="C41" s="62">
        <f t="shared" si="11"/>
        <v>-1.6379227285865692E-2</v>
      </c>
      <c r="D41" s="7">
        <v>-394</v>
      </c>
      <c r="E41" s="62">
        <f t="shared" si="1"/>
        <v>-1.8786954033950028E-2</v>
      </c>
      <c r="F41" s="7">
        <v>-445</v>
      </c>
      <c r="G41" s="62">
        <f t="shared" si="12"/>
        <v>-4.2096301201400059E-2</v>
      </c>
      <c r="H41" s="7">
        <v>-420</v>
      </c>
      <c r="I41" s="62">
        <f t="shared" si="13"/>
        <v>-3.0309590820523924E-2</v>
      </c>
      <c r="J41" s="7">
        <v>-403</v>
      </c>
      <c r="K41" s="62">
        <f t="shared" si="14"/>
        <v>-1.9400182929764597E-2</v>
      </c>
      <c r="M41" s="7" t="s">
        <v>168</v>
      </c>
      <c r="N41" s="62">
        <f t="shared" si="15"/>
        <v>-2.539445125430086E-2</v>
      </c>
      <c r="O41" s="7" t="s">
        <v>168</v>
      </c>
      <c r="P41" s="62">
        <f>AVERAGE(C41,K41,I41,G41,E41)</f>
        <v>-2.539445125430086E-2</v>
      </c>
      <c r="Q41" s="112" t="s">
        <v>342</v>
      </c>
      <c r="S41" s="7">
        <f>N41*$S$29</f>
        <v>-658.52681320872227</v>
      </c>
      <c r="T41" s="7">
        <f>P41*$T$29</f>
        <v>-711.64878172757051</v>
      </c>
      <c r="U41" s="7">
        <f>P41*$U$29</f>
        <v>-769.27844423022418</v>
      </c>
      <c r="V41" s="7">
        <f>P41*$V$29</f>
        <v>-831.81067019348484</v>
      </c>
      <c r="W41" s="7">
        <f>P41*$W$29</f>
        <v>-899.67557281076279</v>
      </c>
      <c r="Y41" s="294"/>
    </row>
    <row r="42" spans="1:25" s="2" customFormat="1">
      <c r="A42" s="6" t="s">
        <v>14</v>
      </c>
      <c r="B42" s="7">
        <v>22</v>
      </c>
      <c r="C42" s="62">
        <f t="shared" si="11"/>
        <v>1.0598323537913093E-3</v>
      </c>
      <c r="D42" s="7">
        <v>26</v>
      </c>
      <c r="E42" s="62">
        <f t="shared" si="1"/>
        <v>1.2397482357428952E-3</v>
      </c>
      <c r="F42" s="7">
        <v>27</v>
      </c>
      <c r="G42" s="62">
        <f t="shared" si="12"/>
        <v>2.5541576009838235E-3</v>
      </c>
      <c r="H42" s="7">
        <v>28</v>
      </c>
      <c r="I42" s="62">
        <f t="shared" si="13"/>
        <v>2.0206393880349283E-3</v>
      </c>
      <c r="J42" s="7">
        <v>26</v>
      </c>
      <c r="K42" s="62">
        <f t="shared" si="14"/>
        <v>1.2516247051461032E-3</v>
      </c>
      <c r="M42" s="7" t="s">
        <v>217</v>
      </c>
      <c r="N42" s="147">
        <f>AVERAGE(B42,D42,F42,H42,J42)</f>
        <v>25.8</v>
      </c>
      <c r="O42" s="7" t="s">
        <v>215</v>
      </c>
      <c r="P42" s="147">
        <f>N42</f>
        <v>25.8</v>
      </c>
      <c r="Q42" s="199" t="s">
        <v>343</v>
      </c>
      <c r="S42" s="7">
        <f>P42</f>
        <v>25.8</v>
      </c>
      <c r="T42" s="7">
        <f>P42</f>
        <v>25.8</v>
      </c>
      <c r="U42" s="7">
        <f>P42</f>
        <v>25.8</v>
      </c>
      <c r="V42" s="7">
        <f>P42</f>
        <v>25.8</v>
      </c>
      <c r="W42" s="7">
        <f>P42</f>
        <v>25.8</v>
      </c>
      <c r="Y42" s="294"/>
    </row>
    <row r="43" spans="1:25" s="2" customFormat="1">
      <c r="A43" s="6" t="s">
        <v>371</v>
      </c>
      <c r="B43" s="7">
        <v>103</v>
      </c>
      <c r="C43" s="62">
        <f t="shared" si="11"/>
        <v>4.9619423836593122E-3</v>
      </c>
      <c r="D43" s="7">
        <v>13</v>
      </c>
      <c r="E43" s="62">
        <f t="shared" si="1"/>
        <v>6.198741178714476E-4</v>
      </c>
      <c r="F43" s="7">
        <v>-141</v>
      </c>
      <c r="G43" s="62">
        <f t="shared" si="12"/>
        <v>-1.3338378582915523E-2</v>
      </c>
      <c r="H43" s="7">
        <v>-24</v>
      </c>
      <c r="I43" s="62">
        <f t="shared" si="13"/>
        <v>-1.7319766183156527E-3</v>
      </c>
      <c r="J43" s="7">
        <v>18</v>
      </c>
      <c r="K43" s="62">
        <f t="shared" si="14"/>
        <v>8.6650941125499448E-4</v>
      </c>
      <c r="M43" s="7" t="s">
        <v>168</v>
      </c>
      <c r="N43" s="62">
        <f t="shared" si="15"/>
        <v>-1.7244058576890841E-3</v>
      </c>
      <c r="O43" s="7" t="s">
        <v>168</v>
      </c>
      <c r="P43" s="62">
        <f>AVERAGE(C43,K43,I43,G43,E43)</f>
        <v>-1.7244058576890841E-3</v>
      </c>
      <c r="Q43" s="112" t="s">
        <v>342</v>
      </c>
      <c r="S43" s="7">
        <f>N43*$S$29</f>
        <v>-44.717150324330149</v>
      </c>
      <c r="T43" s="7">
        <f>P43*$T$29</f>
        <v>-48.324388487051344</v>
      </c>
      <c r="U43" s="7">
        <f>P43*$U$29</f>
        <v>-52.237720836746846</v>
      </c>
      <c r="V43" s="7">
        <f>P43*$V$29</f>
        <v>-56.483960917525181</v>
      </c>
      <c r="W43" s="7">
        <f>P43*$W$29</f>
        <v>-61.092315492027488</v>
      </c>
    </row>
    <row r="44" spans="1:25" s="2" customFormat="1" ht="20">
      <c r="A44" s="9" t="s">
        <v>110</v>
      </c>
      <c r="B44" s="9">
        <f>SUM(B39:B43)+B29+B37</f>
        <v>2345</v>
      </c>
      <c r="C44" s="62">
        <f t="shared" si="11"/>
        <v>0.11296849407457366</v>
      </c>
      <c r="D44" s="9">
        <f t="shared" ref="D44:J44" si="17">SUM(D39:D43)+D29+D37</f>
        <v>1599</v>
      </c>
      <c r="E44" s="62">
        <f t="shared" si="1"/>
        <v>7.6244516498188059E-2</v>
      </c>
      <c r="F44" s="9">
        <f t="shared" si="17"/>
        <v>-466</v>
      </c>
      <c r="G44" s="62">
        <f t="shared" si="12"/>
        <v>-4.4082868224387478E-2</v>
      </c>
      <c r="H44" s="9">
        <f t="shared" si="17"/>
        <v>1180</v>
      </c>
      <c r="I44" s="62">
        <f t="shared" si="13"/>
        <v>8.5155517067186257E-2</v>
      </c>
      <c r="J44" s="9">
        <f t="shared" si="17"/>
        <v>3114</v>
      </c>
      <c r="K44" s="62">
        <f t="shared" si="14"/>
        <v>0.14990612814711404</v>
      </c>
      <c r="M44" s="7"/>
      <c r="N44" s="62"/>
      <c r="O44" s="7"/>
      <c r="P44" s="62"/>
      <c r="Q44" s="112"/>
      <c r="S44" s="9">
        <f>SUM(S39:S43)+S29+S37</f>
        <v>1955.475844775483</v>
      </c>
      <c r="T44" s="9">
        <f>SUM(T39:T43)+T29+T37</f>
        <v>2111.1387235248949</v>
      </c>
      <c r="U44" s="9">
        <f>SUM(U39:U43)+U29+U37</f>
        <v>2280.0104618404112</v>
      </c>
      <c r="V44" s="9">
        <f>SUM(V39:V43)+V29+V37</f>
        <v>2463.248142586297</v>
      </c>
      <c r="W44" s="9">
        <f>SUM(W39:W43)+W29+W37</f>
        <v>2662.1121230072386</v>
      </c>
    </row>
    <row r="45" spans="1:25" s="2" customFormat="1">
      <c r="A45" s="6" t="s">
        <v>11</v>
      </c>
      <c r="B45" s="7">
        <v>-438</v>
      </c>
      <c r="C45" s="62">
        <f t="shared" si="11"/>
        <v>-2.1100298680026979E-2</v>
      </c>
      <c r="D45" s="7">
        <v>-326</v>
      </c>
      <c r="E45" s="62">
        <f t="shared" si="1"/>
        <v>-1.5544535571237842E-2</v>
      </c>
      <c r="F45" s="7">
        <v>199</v>
      </c>
      <c r="G45" s="62">
        <f t="shared" si="12"/>
        <v>1.8825087503547441E-2</v>
      </c>
      <c r="H45" s="7">
        <v>-81</v>
      </c>
      <c r="I45" s="62">
        <f t="shared" si="13"/>
        <v>-5.8454210868153283E-3</v>
      </c>
      <c r="J45" s="7">
        <v>-756</v>
      </c>
      <c r="K45" s="62">
        <f t="shared" si="14"/>
        <v>-3.6393395272709766E-2</v>
      </c>
      <c r="M45" s="7" t="s">
        <v>210</v>
      </c>
      <c r="N45" s="62">
        <f>'Tax Rate'!G18/100</f>
        <v>0.20816666666666667</v>
      </c>
      <c r="O45" s="7" t="s">
        <v>205</v>
      </c>
      <c r="P45" s="62">
        <f>'Tax Rate'!G18/100</f>
        <v>0.20816666666666667</v>
      </c>
      <c r="Q45" s="112" t="s">
        <v>344</v>
      </c>
      <c r="S45" s="7">
        <f>-S44*($P$45)</f>
        <v>-407.06488835409635</v>
      </c>
      <c r="T45" s="7">
        <f>-T44*($P$45)</f>
        <v>-439.46871094709894</v>
      </c>
      <c r="U45" s="7">
        <f>-U44*($P$45)</f>
        <v>-474.62217780644556</v>
      </c>
      <c r="V45" s="7">
        <f>-V44*($P$45)</f>
        <v>-512.7661550150475</v>
      </c>
      <c r="W45" s="7">
        <f>-W44*($P$45)</f>
        <v>-554.16300693934011</v>
      </c>
    </row>
    <row r="46" spans="1:25" s="2" customFormat="1" ht="20">
      <c r="A46" s="16" t="s">
        <v>108</v>
      </c>
      <c r="B46" s="16">
        <f>SUM(B44:B45)</f>
        <v>1907</v>
      </c>
      <c r="C46" s="64">
        <f t="shared" si="11"/>
        <v>9.1868195394546687E-2</v>
      </c>
      <c r="D46" s="16">
        <f>SUM(D44:D45)</f>
        <v>1273</v>
      </c>
      <c r="E46" s="64">
        <f t="shared" si="1"/>
        <v>6.0699980926950219E-2</v>
      </c>
      <c r="F46" s="16">
        <f>SUM(F44:F45)</f>
        <v>-267</v>
      </c>
      <c r="G46" s="64">
        <f t="shared" si="12"/>
        <v>-2.5257780720840034E-2</v>
      </c>
      <c r="H46" s="16">
        <f>SUM(H44:H45)</f>
        <v>1099</v>
      </c>
      <c r="I46" s="64">
        <f t="shared" si="13"/>
        <v>7.9310095980370934E-2</v>
      </c>
      <c r="J46" s="16">
        <f>SUM(J44:J45)</f>
        <v>2358</v>
      </c>
      <c r="K46" s="64">
        <f t="shared" si="14"/>
        <v>0.11351273287440428</v>
      </c>
      <c r="M46" s="32"/>
      <c r="N46" s="64"/>
      <c r="O46" s="32"/>
      <c r="P46" s="64"/>
      <c r="Q46" s="113"/>
      <c r="S46" s="16">
        <f>SUM(S44:S45)</f>
        <v>1548.4109564213866</v>
      </c>
      <c r="T46" s="16">
        <f>SUM(T44:T45)</f>
        <v>1671.6700125777959</v>
      </c>
      <c r="U46" s="16">
        <f>SUM(U44:U45)</f>
        <v>1805.3882840339656</v>
      </c>
      <c r="V46" s="16">
        <f>SUM(V44:V45)</f>
        <v>1950.4819875712496</v>
      </c>
      <c r="W46" s="16">
        <f>SUM(W44:W45)</f>
        <v>2107.9491160678986</v>
      </c>
    </row>
    <row r="49" spans="1:10">
      <c r="A49" s="677" t="s">
        <v>96</v>
      </c>
      <c r="B49" s="677"/>
      <c r="C49" s="677"/>
      <c r="D49" s="677"/>
      <c r="E49" s="677"/>
      <c r="F49" s="677"/>
    </row>
    <row r="50" spans="1:10">
      <c r="A50" s="179">
        <v>1</v>
      </c>
      <c r="B50" s="744" t="s">
        <v>373</v>
      </c>
      <c r="C50" s="744"/>
      <c r="D50" s="744"/>
      <c r="E50" s="744"/>
      <c r="F50" s="744"/>
      <c r="J50" s="156"/>
    </row>
    <row r="51" spans="1:10">
      <c r="A51" s="714">
        <v>2</v>
      </c>
      <c r="B51" s="718" t="s">
        <v>214</v>
      </c>
      <c r="C51" s="718"/>
      <c r="D51" s="718"/>
      <c r="E51" s="718"/>
      <c r="F51" s="718"/>
      <c r="J51" s="156"/>
    </row>
    <row r="52" spans="1:10">
      <c r="A52" s="686"/>
      <c r="B52" s="719"/>
      <c r="C52" s="719"/>
      <c r="D52" s="719"/>
      <c r="E52" s="719"/>
      <c r="F52" s="719"/>
      <c r="J52" s="156"/>
    </row>
    <row r="53" spans="1:10">
      <c r="A53" s="686"/>
      <c r="B53" s="719"/>
      <c r="C53" s="719"/>
      <c r="D53" s="719"/>
      <c r="E53" s="719"/>
      <c r="F53" s="719"/>
    </row>
    <row r="54" spans="1:10">
      <c r="A54" s="715"/>
      <c r="B54" s="720"/>
      <c r="C54" s="720"/>
      <c r="D54" s="720"/>
      <c r="E54" s="720"/>
      <c r="F54" s="720"/>
    </row>
    <row r="55" spans="1:10">
      <c r="A55" s="714">
        <v>3</v>
      </c>
      <c r="B55" s="718" t="s">
        <v>212</v>
      </c>
      <c r="C55" s="718"/>
      <c r="D55" s="718"/>
      <c r="E55" s="718"/>
      <c r="F55" s="718"/>
    </row>
    <row r="56" spans="1:10">
      <c r="A56" s="686"/>
      <c r="B56" s="719"/>
      <c r="C56" s="719"/>
      <c r="D56" s="719"/>
      <c r="E56" s="719"/>
      <c r="F56" s="719"/>
    </row>
    <row r="57" spans="1:10">
      <c r="A57" s="686"/>
      <c r="B57" s="719"/>
      <c r="C57" s="719"/>
      <c r="D57" s="719"/>
      <c r="E57" s="719"/>
      <c r="F57" s="719"/>
    </row>
    <row r="58" spans="1:10">
      <c r="A58" s="686"/>
      <c r="B58" s="719"/>
      <c r="C58" s="719"/>
      <c r="D58" s="719"/>
      <c r="E58" s="719"/>
      <c r="F58" s="719"/>
    </row>
    <row r="59" spans="1:10">
      <c r="A59" s="686"/>
      <c r="B59" s="719"/>
      <c r="C59" s="719"/>
      <c r="D59" s="719"/>
      <c r="E59" s="719"/>
      <c r="F59" s="719"/>
    </row>
    <row r="60" spans="1:10">
      <c r="A60" s="715"/>
      <c r="B60" s="720"/>
      <c r="C60" s="720"/>
      <c r="D60" s="720"/>
      <c r="E60" s="720"/>
      <c r="F60" s="720"/>
    </row>
    <row r="61" spans="1:10">
      <c r="A61" s="683">
        <v>4</v>
      </c>
      <c r="B61" s="657" t="s">
        <v>213</v>
      </c>
      <c r="C61" s="657"/>
      <c r="D61" s="657"/>
      <c r="E61" s="657"/>
      <c r="F61" s="657"/>
    </row>
    <row r="62" spans="1:10">
      <c r="A62" s="683"/>
      <c r="B62" s="657"/>
      <c r="C62" s="657"/>
      <c r="D62" s="657"/>
      <c r="E62" s="657"/>
      <c r="F62" s="657"/>
    </row>
    <row r="63" spans="1:10">
      <c r="A63" s="683"/>
      <c r="B63" s="657"/>
      <c r="C63" s="657"/>
      <c r="D63" s="657"/>
      <c r="E63" s="657"/>
      <c r="F63" s="657"/>
    </row>
    <row r="64" spans="1:10">
      <c r="A64" s="683"/>
      <c r="B64" s="657"/>
      <c r="C64" s="657"/>
      <c r="D64" s="657"/>
      <c r="E64" s="657"/>
      <c r="F64" s="657"/>
    </row>
    <row r="65" spans="1:6">
      <c r="A65" s="683"/>
      <c r="B65" s="657"/>
      <c r="C65" s="657"/>
      <c r="D65" s="657"/>
      <c r="E65" s="657"/>
      <c r="F65" s="657"/>
    </row>
    <row r="66" spans="1:6">
      <c r="A66" s="683"/>
      <c r="B66" s="657"/>
      <c r="C66" s="657"/>
      <c r="D66" s="657"/>
      <c r="E66" s="657"/>
      <c r="F66" s="657"/>
    </row>
    <row r="67" spans="1:6">
      <c r="A67" s="683"/>
      <c r="B67" s="657"/>
      <c r="C67" s="657"/>
      <c r="D67" s="657"/>
      <c r="E67" s="657"/>
      <c r="F67" s="657"/>
    </row>
    <row r="68" spans="1:6" ht="17" customHeight="1">
      <c r="A68" s="682">
        <v>5</v>
      </c>
      <c r="B68" s="743" t="s">
        <v>303</v>
      </c>
      <c r="C68" s="743"/>
      <c r="D68" s="743"/>
      <c r="E68" s="743"/>
      <c r="F68" s="743"/>
    </row>
    <row r="69" spans="1:6" ht="17" customHeight="1">
      <c r="A69" s="683"/>
      <c r="B69" s="657"/>
      <c r="C69" s="657"/>
      <c r="D69" s="657"/>
      <c r="E69" s="657"/>
      <c r="F69" s="657"/>
    </row>
  </sheetData>
  <mergeCells count="17">
    <mergeCell ref="A10:K10"/>
    <mergeCell ref="A3:W3"/>
    <mergeCell ref="B68:F69"/>
    <mergeCell ref="A68:A69"/>
    <mergeCell ref="S10:W10"/>
    <mergeCell ref="A1:W1"/>
    <mergeCell ref="A61:A67"/>
    <mergeCell ref="B61:F67"/>
    <mergeCell ref="M8:N8"/>
    <mergeCell ref="O8:P8"/>
    <mergeCell ref="B50:F50"/>
    <mergeCell ref="A49:F49"/>
    <mergeCell ref="A51:A54"/>
    <mergeCell ref="B51:F54"/>
    <mergeCell ref="A55:A60"/>
    <mergeCell ref="B55:F60"/>
    <mergeCell ref="M10:Q10"/>
  </mergeCells>
  <hyperlinks>
    <hyperlink ref="H4" r:id="rId1" xr:uid="{F51DA169-F62E-684D-9FA8-CA87DBB3DF4C}"/>
    <hyperlink ref="H6" r:id="rId2" xr:uid="{432BFDE4-83F1-8F41-A96E-D40035EFBB5D}"/>
    <hyperlink ref="H5" r:id="rId3" xr:uid="{3FE88C6A-208E-4A44-A05D-A9A3E675527A}"/>
  </hyperlinks>
  <pageMargins left="0.7" right="0.7" top="0.75" bottom="0.75" header="0.3" footer="0.3"/>
  <legacyDrawing r:id="rId4"/>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8BAD3-E782-3245-9423-6A8C8CC5D11D}">
  <sheetPr codeName="Sheet16">
    <tabColor theme="6" tint="-0.499984740745262"/>
  </sheetPr>
  <dimension ref="A1:AG88"/>
  <sheetViews>
    <sheetView zoomScale="84" workbookViewId="0">
      <pane xSplit="1" topLeftCell="B1" activePane="topRight" state="frozen"/>
      <selection activeCell="S33" sqref="S33"/>
      <selection pane="topRight" activeCell="A65" sqref="A65"/>
    </sheetView>
  </sheetViews>
  <sheetFormatPr baseColWidth="10" defaultColWidth="10.83203125" defaultRowHeight="16"/>
  <cols>
    <col min="1" max="1" width="55.83203125" style="3" bestFit="1" customWidth="1"/>
    <col min="2" max="2" width="23.33203125" style="3" customWidth="1"/>
    <col min="3" max="3" width="11.33203125" style="57" bestFit="1" customWidth="1"/>
    <col min="4" max="4" width="23.33203125" style="3" customWidth="1"/>
    <col min="5" max="5" width="11.33203125" style="57" bestFit="1" customWidth="1"/>
    <col min="6" max="6" width="23.33203125" style="3" customWidth="1"/>
    <col min="7" max="7" width="11.33203125" style="57" bestFit="1" customWidth="1"/>
    <col min="8" max="8" width="23.33203125" style="3" customWidth="1"/>
    <col min="9" max="9" width="11.33203125" style="57" bestFit="1" customWidth="1"/>
    <col min="10" max="10" width="23.33203125" style="3" customWidth="1"/>
    <col min="11" max="11" width="11.33203125" style="57" bestFit="1" customWidth="1"/>
    <col min="12" max="12" width="10.83203125" style="3"/>
    <col min="13" max="13" width="26.1640625" style="3" bestFit="1" customWidth="1"/>
    <col min="14" max="14" width="16" style="105" customWidth="1"/>
    <col min="15" max="15" width="17.6640625" style="51" bestFit="1" customWidth="1"/>
    <col min="16" max="16" width="3.83203125" style="3" customWidth="1"/>
    <col min="17" max="21" width="23.33203125" style="3" customWidth="1"/>
    <col min="22" max="16384" width="10.83203125" style="3"/>
  </cols>
  <sheetData>
    <row r="1" spans="1:21" ht="25">
      <c r="A1" s="661" t="s">
        <v>181</v>
      </c>
      <c r="B1" s="661"/>
      <c r="C1" s="661"/>
      <c r="D1" s="661"/>
      <c r="E1" s="661"/>
      <c r="F1" s="661"/>
      <c r="G1" s="661"/>
      <c r="H1" s="661"/>
      <c r="I1" s="661"/>
      <c r="J1" s="661"/>
      <c r="K1" s="661"/>
      <c r="L1" s="661"/>
      <c r="M1" s="661"/>
      <c r="N1" s="661"/>
      <c r="O1" s="661"/>
      <c r="P1" s="661"/>
      <c r="Q1" s="661"/>
      <c r="R1" s="661"/>
      <c r="S1" s="661"/>
      <c r="T1" s="661"/>
      <c r="U1" s="661"/>
    </row>
    <row r="2" spans="1:21" ht="17">
      <c r="A2" s="1"/>
    </row>
    <row r="3" spans="1:21" s="2" customFormat="1" ht="17">
      <c r="A3" s="662" t="s">
        <v>95</v>
      </c>
      <c r="B3" s="662"/>
      <c r="C3" s="662"/>
      <c r="D3" s="662"/>
      <c r="E3" s="662"/>
      <c r="F3" s="662"/>
      <c r="G3" s="662"/>
      <c r="H3" s="662"/>
      <c r="I3" s="662"/>
      <c r="J3" s="662"/>
      <c r="K3" s="62"/>
      <c r="M3" s="7"/>
      <c r="N3" s="112"/>
      <c r="O3" s="133"/>
      <c r="P3" s="7"/>
      <c r="Q3" s="7"/>
      <c r="R3" s="7"/>
      <c r="S3" s="7"/>
      <c r="T3" s="7"/>
      <c r="U3" s="7"/>
    </row>
    <row r="4" spans="1:21" s="2" customFormat="1" ht="17">
      <c r="A4" s="20" t="s">
        <v>86</v>
      </c>
      <c r="B4" s="21" t="s">
        <v>87</v>
      </c>
      <c r="C4" s="58"/>
      <c r="D4" s="7"/>
      <c r="E4" s="62"/>
      <c r="F4" s="20" t="s">
        <v>102</v>
      </c>
      <c r="G4" s="65"/>
      <c r="H4" s="23" t="s">
        <v>91</v>
      </c>
      <c r="I4" s="68"/>
      <c r="J4" s="7"/>
      <c r="K4" s="68"/>
      <c r="M4" s="7"/>
      <c r="N4" s="112"/>
      <c r="O4" s="133"/>
      <c r="P4" s="7"/>
      <c r="Q4" s="7"/>
      <c r="R4" s="7"/>
      <c r="S4" s="7"/>
      <c r="T4" s="7"/>
      <c r="U4" s="7"/>
    </row>
    <row r="5" spans="1:21" s="2" customFormat="1" ht="17">
      <c r="A5" s="20" t="s">
        <v>88</v>
      </c>
      <c r="B5" s="21" t="s">
        <v>85</v>
      </c>
      <c r="C5" s="58"/>
      <c r="D5" s="7"/>
      <c r="E5" s="62"/>
      <c r="F5" s="50" t="s">
        <v>129</v>
      </c>
      <c r="G5" s="66"/>
      <c r="H5" s="23" t="s">
        <v>90</v>
      </c>
      <c r="I5" s="68"/>
      <c r="J5" s="23"/>
      <c r="K5" s="68"/>
      <c r="L5" s="24"/>
      <c r="M5" s="7"/>
      <c r="N5" s="112"/>
      <c r="O5" s="133"/>
      <c r="P5" s="7"/>
      <c r="Q5" s="23"/>
      <c r="R5" s="23"/>
      <c r="S5" s="23"/>
      <c r="T5" s="7"/>
      <c r="U5" s="7"/>
    </row>
    <row r="6" spans="1:21" s="2" customFormat="1" ht="17">
      <c r="A6" s="20" t="s">
        <v>89</v>
      </c>
      <c r="B6" s="21" t="s">
        <v>130</v>
      </c>
      <c r="C6" s="58"/>
      <c r="D6" s="7"/>
      <c r="E6" s="62"/>
      <c r="F6" s="22"/>
      <c r="G6" s="67"/>
      <c r="H6" s="23" t="s">
        <v>92</v>
      </c>
      <c r="I6" s="68"/>
      <c r="J6" s="23"/>
      <c r="K6" s="68"/>
      <c r="L6" s="24"/>
      <c r="M6" s="7"/>
      <c r="N6" s="112"/>
      <c r="O6" s="133"/>
      <c r="P6" s="7"/>
      <c r="Q6" s="23"/>
      <c r="R6" s="23"/>
      <c r="S6" s="23"/>
      <c r="T6" s="7"/>
      <c r="U6" s="7"/>
    </row>
    <row r="7" spans="1:21" ht="17">
      <c r="A7" s="1"/>
    </row>
    <row r="8" spans="1:21" s="2" customFormat="1" ht="17">
      <c r="A8" s="15" t="s">
        <v>105</v>
      </c>
      <c r="B8" s="33">
        <v>43465</v>
      </c>
      <c r="C8" s="59" t="s">
        <v>168</v>
      </c>
      <c r="D8" s="33">
        <v>43830</v>
      </c>
      <c r="E8" s="59" t="s">
        <v>168</v>
      </c>
      <c r="F8" s="33">
        <v>44196</v>
      </c>
      <c r="G8" s="59" t="s">
        <v>168</v>
      </c>
      <c r="H8" s="33">
        <v>44561</v>
      </c>
      <c r="I8" s="59" t="s">
        <v>168</v>
      </c>
      <c r="J8" s="33">
        <v>44926</v>
      </c>
      <c r="K8" s="59" t="s">
        <v>168</v>
      </c>
      <c r="M8" s="716" t="s">
        <v>338</v>
      </c>
      <c r="N8" s="716"/>
      <c r="O8" s="148" t="s">
        <v>339</v>
      </c>
      <c r="Q8" s="33">
        <v>45291</v>
      </c>
      <c r="R8" s="33">
        <v>45657</v>
      </c>
      <c r="S8" s="33">
        <v>46022</v>
      </c>
      <c r="T8" s="33">
        <v>46387</v>
      </c>
      <c r="U8" s="33">
        <v>46752</v>
      </c>
    </row>
    <row r="9" spans="1:21" s="2" customFormat="1" ht="17">
      <c r="A9" s="4"/>
      <c r="B9" s="34"/>
      <c r="C9" s="60"/>
      <c r="D9" s="34"/>
      <c r="E9" s="60"/>
      <c r="F9" s="34"/>
      <c r="G9" s="60"/>
      <c r="H9" s="34"/>
      <c r="I9" s="60"/>
      <c r="J9" s="34"/>
      <c r="K9" s="60"/>
      <c r="M9" s="7"/>
      <c r="N9" s="112"/>
      <c r="O9" s="133"/>
      <c r="Q9" s="34"/>
      <c r="R9" s="34"/>
      <c r="S9" s="34"/>
      <c r="T9" s="7"/>
      <c r="U9" s="7"/>
    </row>
    <row r="11" spans="1:21" s="2" customFormat="1" ht="20">
      <c r="A11" s="717" t="s">
        <v>115</v>
      </c>
      <c r="B11" s="717"/>
      <c r="C11" s="717"/>
      <c r="D11" s="717"/>
      <c r="E11" s="717"/>
      <c r="F11" s="717"/>
      <c r="G11" s="717"/>
      <c r="H11" s="717"/>
      <c r="I11" s="717"/>
      <c r="J11" s="717"/>
      <c r="K11" s="717"/>
      <c r="M11" s="675" t="s">
        <v>206</v>
      </c>
      <c r="N11" s="675"/>
      <c r="O11" s="675"/>
      <c r="Q11" s="717" t="s">
        <v>207</v>
      </c>
      <c r="R11" s="717"/>
      <c r="S11" s="717"/>
      <c r="T11" s="717"/>
      <c r="U11" s="717"/>
    </row>
    <row r="12" spans="1:21" s="1" customFormat="1" ht="18" thickBot="1">
      <c r="A12" s="15" t="s">
        <v>97</v>
      </c>
      <c r="B12" s="15"/>
      <c r="C12" s="61"/>
      <c r="D12" s="15"/>
      <c r="E12" s="61"/>
      <c r="F12" s="15"/>
      <c r="G12" s="61"/>
      <c r="H12" s="15"/>
      <c r="I12" s="61"/>
      <c r="J12" s="15"/>
      <c r="K12" s="61"/>
      <c r="M12" s="32"/>
      <c r="N12" s="113"/>
      <c r="O12" s="149"/>
      <c r="P12" s="2"/>
      <c r="Q12" s="15"/>
      <c r="R12" s="15"/>
      <c r="S12" s="15"/>
      <c r="T12" s="15"/>
      <c r="U12" s="15"/>
    </row>
    <row r="13" spans="1:21" s="2" customFormat="1" ht="18" thickBot="1">
      <c r="A13" s="173" t="s">
        <v>275</v>
      </c>
      <c r="B13" s="7">
        <v>316</v>
      </c>
      <c r="C13" s="62">
        <f>B13/Isproforma_old!$B$29</f>
        <v>1.5223046536275171E-2</v>
      </c>
      <c r="D13" s="7">
        <v>225</v>
      </c>
      <c r="E13" s="62">
        <f>D13/Isproforma_old!$D$29</f>
        <v>1.072859050162121E-2</v>
      </c>
      <c r="F13" s="7">
        <v>877</v>
      </c>
      <c r="G13" s="62">
        <f>F13/Isproforma_old!$F$29</f>
        <v>8.2962822817141235E-2</v>
      </c>
      <c r="H13" s="7">
        <v>1393</v>
      </c>
      <c r="I13" s="62">
        <f>H13/Isproforma_old!$H$29</f>
        <v>0.10052680955473768</v>
      </c>
      <c r="J13" s="7">
        <v>507</v>
      </c>
      <c r="K13" s="62">
        <f>J13/Isproforma_old!$J$29</f>
        <v>2.4406681750349012E-2</v>
      </c>
      <c r="M13" s="7" t="s">
        <v>336</v>
      </c>
      <c r="N13" s="114">
        <f>AVERAGE(C13,E13,K13)</f>
        <v>1.6786106262748464E-2</v>
      </c>
      <c r="O13" s="53" t="s">
        <v>341</v>
      </c>
      <c r="P13" s="3"/>
      <c r="Q13" s="174">
        <f ca="1">IF(Q73&lt;-Q74,-Q73,Q74)</f>
        <v>532.37243694609788</v>
      </c>
      <c r="R13" s="175">
        <f ca="1">IF(R73&lt;-R74,-R73,R74)</f>
        <v>879.17023234787121</v>
      </c>
      <c r="S13" s="175">
        <f ca="1">IF(S73&lt;-S74,-S73,S74)</f>
        <v>1252.2765490678066</v>
      </c>
      <c r="T13" s="175">
        <f ca="1">IF(T73&lt;-T74,-T73,T74)</f>
        <v>1653.9227585118424</v>
      </c>
      <c r="U13" s="176">
        <f ca="1">IF(U73&lt;-U74,-U73,U74)</f>
        <v>2086.5356423526027</v>
      </c>
    </row>
    <row r="14" spans="1:21" s="2" customFormat="1" ht="17">
      <c r="A14" s="6" t="s">
        <v>76</v>
      </c>
      <c r="B14" s="7">
        <v>2133</v>
      </c>
      <c r="C14" s="62">
        <f>B14/Isproforma_old!$B$29</f>
        <v>0.10275556411985741</v>
      </c>
      <c r="D14" s="7">
        <v>2395</v>
      </c>
      <c r="E14" s="62">
        <f>D14/Isproforma_old!$D$29</f>
        <v>0.11419988556170131</v>
      </c>
      <c r="F14" s="7">
        <v>1768</v>
      </c>
      <c r="G14" s="62">
        <f>F14/Isproforma_old!$F$29</f>
        <v>0.16725002364960742</v>
      </c>
      <c r="H14" s="7">
        <v>1982</v>
      </c>
      <c r="I14" s="62">
        <f>H14/Isproforma_old!$H$29</f>
        <v>0.14303240239590098</v>
      </c>
      <c r="J14" s="7">
        <v>2571</v>
      </c>
      <c r="K14" s="62">
        <f>J14/Isproforma_old!$J$29</f>
        <v>0.12376642757425504</v>
      </c>
      <c r="M14" s="7" t="s">
        <v>168</v>
      </c>
      <c r="N14" s="114">
        <f>AVERAGE(C14,E14,K14)</f>
        <v>0.11357395908527125</v>
      </c>
      <c r="O14" s="53" t="s">
        <v>341</v>
      </c>
      <c r="P14" s="3"/>
      <c r="Q14" s="7">
        <f>N14*Isproforma_old!$S$29</f>
        <v>2945.1905296537816</v>
      </c>
      <c r="R14" s="7">
        <f>N14*Isproforma_old!$T$29</f>
        <v>3182.772835279186</v>
      </c>
      <c r="S14" s="7">
        <f>N14*Isproforma_old!$U$29</f>
        <v>3440.5153186914181</v>
      </c>
      <c r="T14" s="7">
        <f>N14*Isproforma_old!$V$29</f>
        <v>3720.1839912664745</v>
      </c>
      <c r="U14" s="7">
        <f>N14*Isproforma_old!$W$29</f>
        <v>4023.7024881221705</v>
      </c>
    </row>
    <row r="15" spans="1:21" s="2" customFormat="1" ht="17">
      <c r="A15" s="6" t="s">
        <v>77</v>
      </c>
      <c r="B15" s="7">
        <v>249</v>
      </c>
      <c r="C15" s="62">
        <f>B15/Isproforma_old!$B$29</f>
        <v>1.1995375277001638E-2</v>
      </c>
      <c r="D15" s="7">
        <v>252</v>
      </c>
      <c r="E15" s="62">
        <f>D15/Isproforma_old!$D$29</f>
        <v>1.2016021361815754E-2</v>
      </c>
      <c r="F15" s="7">
        <v>172</v>
      </c>
      <c r="G15" s="62">
        <f>F15/Isproforma_old!$F$29</f>
        <v>1.6270929902563618E-2</v>
      </c>
      <c r="H15" s="7">
        <v>251</v>
      </c>
      <c r="I15" s="62">
        <f>H15/Isproforma_old!$H$29</f>
        <v>1.8113588799884534E-2</v>
      </c>
      <c r="J15" s="7">
        <v>235</v>
      </c>
      <c r="K15" s="62">
        <f>J15/Isproforma_old!$J$29</f>
        <v>1.1312761758051317E-2</v>
      </c>
      <c r="M15" s="7" t="s">
        <v>168</v>
      </c>
      <c r="N15" s="114">
        <f>AVERAGE(C15,E15,K15)</f>
        <v>1.1774719465622904E-2</v>
      </c>
      <c r="O15" s="53" t="s">
        <v>341</v>
      </c>
      <c r="P15" s="3"/>
      <c r="Q15" s="7">
        <f>N15*Isproforma_old!$S$29</f>
        <v>305.34105299125656</v>
      </c>
      <c r="R15" s="7">
        <f>N15*Isproforma_old!$T$29</f>
        <v>329.97227146128176</v>
      </c>
      <c r="S15" s="7">
        <f>N15*Isproforma_old!$U$29</f>
        <v>356.69358558112714</v>
      </c>
      <c r="T15" s="7">
        <f>N15*Isproforma_old!$V$29</f>
        <v>385.6880856356866</v>
      </c>
      <c r="U15" s="7">
        <f>N15*Isproforma_old!$W$29</f>
        <v>417.15520346698565</v>
      </c>
    </row>
    <row r="16" spans="1:21" s="2" customFormat="1" ht="17">
      <c r="A16" s="6" t="s">
        <v>17</v>
      </c>
      <c r="B16" s="7">
        <v>8</v>
      </c>
      <c r="C16" s="62">
        <f>B16/Isproforma_old!$B$29</f>
        <v>3.8539358319683977E-4</v>
      </c>
      <c r="D16" s="7">
        <v>255</v>
      </c>
      <c r="E16" s="62">
        <f>D16/Isproforma_old!$D$29</f>
        <v>1.2159069235170704E-2</v>
      </c>
      <c r="F16" s="7">
        <v>8</v>
      </c>
      <c r="G16" s="62">
        <f>F16/Isproforma_old!$F$29</f>
        <v>7.5678743732854033E-4</v>
      </c>
      <c r="H16" s="8">
        <v>0</v>
      </c>
      <c r="I16" s="62">
        <f>H16/Isproforma_old!$H$29</f>
        <v>0</v>
      </c>
      <c r="J16" s="8">
        <v>0</v>
      </c>
      <c r="K16" s="62">
        <f>J16/Isproforma_old!$J$29</f>
        <v>0</v>
      </c>
      <c r="M16" s="48" t="s">
        <v>216</v>
      </c>
      <c r="N16" s="114">
        <v>0</v>
      </c>
      <c r="O16" s="53" t="s">
        <v>344</v>
      </c>
      <c r="P16" s="3"/>
      <c r="Q16" s="8">
        <f>N16*Isproforma_old!$S$29</f>
        <v>0</v>
      </c>
      <c r="R16" s="8">
        <f>N16*Isproforma_old!$T$29</f>
        <v>0</v>
      </c>
      <c r="S16" s="8">
        <f>N16*Isproforma_old!$U$29</f>
        <v>0</v>
      </c>
      <c r="T16" s="8">
        <f>N16*Isproforma_old!$T$29</f>
        <v>0</v>
      </c>
      <c r="U16" s="8">
        <f>N16*Isproforma_old!$U$29</f>
        <v>0</v>
      </c>
    </row>
    <row r="17" spans="1:33" s="2" customFormat="1" ht="20">
      <c r="A17" s="9" t="s">
        <v>117</v>
      </c>
      <c r="B17" s="9">
        <f>SUM(B13:B16)</f>
        <v>2706</v>
      </c>
      <c r="C17" s="62">
        <f>B17/Isproforma_old!$B$29</f>
        <v>0.13035937951633106</v>
      </c>
      <c r="D17" s="9">
        <f t="shared" ref="D17:J17" si="0">SUM(D13:D16)</f>
        <v>3127</v>
      </c>
      <c r="E17" s="62">
        <f>D17/Isproforma_old!$D$29</f>
        <v>0.14910356666030899</v>
      </c>
      <c r="F17" s="9">
        <f t="shared" si="0"/>
        <v>2825</v>
      </c>
      <c r="G17" s="62">
        <f>F17/Isproforma_old!$F$29</f>
        <v>0.2672405638066408</v>
      </c>
      <c r="H17" s="9">
        <f t="shared" si="0"/>
        <v>3626</v>
      </c>
      <c r="I17" s="62">
        <f>H17/Isproforma_old!$H$29</f>
        <v>0.26167280075052318</v>
      </c>
      <c r="J17" s="9">
        <f t="shared" si="0"/>
        <v>3313</v>
      </c>
      <c r="K17" s="62">
        <f>J17/Isproforma_old!$J$29</f>
        <v>0.15948587108265538</v>
      </c>
      <c r="M17" s="10"/>
      <c r="N17" s="114"/>
      <c r="O17" s="53"/>
      <c r="P17" s="3"/>
      <c r="Q17" s="9">
        <f ca="1">SUM(Q13:Q16)</f>
        <v>3782.9040195911361</v>
      </c>
      <c r="R17" s="9">
        <f ca="1">SUM(R13:R16)</f>
        <v>4391.9153390883394</v>
      </c>
      <c r="S17" s="9">
        <f ca="1">SUM(S13:S16)</f>
        <v>5049.4854533403513</v>
      </c>
      <c r="T17" s="9">
        <f ca="1">SUM(T13:T16)</f>
        <v>5759.7948354140035</v>
      </c>
      <c r="U17" s="9">
        <f ca="1">SUM(U13:U16)</f>
        <v>6527.393333941759</v>
      </c>
    </row>
    <row r="18" spans="1:33" s="2" customFormat="1" ht="20">
      <c r="A18" s="7"/>
      <c r="B18" s="9"/>
      <c r="C18" s="62"/>
      <c r="D18" s="9"/>
      <c r="E18" s="62"/>
      <c r="F18" s="9"/>
      <c r="G18" s="62"/>
      <c r="H18" s="9"/>
      <c r="I18" s="62"/>
      <c r="J18" s="9"/>
      <c r="K18" s="62"/>
      <c r="M18" s="10"/>
      <c r="N18" s="114"/>
      <c r="O18" s="53"/>
      <c r="P18" s="3"/>
      <c r="Q18" s="9"/>
      <c r="R18" s="9"/>
      <c r="S18" s="9"/>
      <c r="T18" s="9"/>
      <c r="U18" s="9"/>
    </row>
    <row r="19" spans="1:33" s="2" customFormat="1" ht="17">
      <c r="A19" s="6" t="s">
        <v>155</v>
      </c>
      <c r="B19" s="7">
        <v>591</v>
      </c>
      <c r="C19" s="62">
        <f>B19/Isproforma_old!$B$29</f>
        <v>2.8470950958666537E-2</v>
      </c>
      <c r="D19" s="7">
        <v>684</v>
      </c>
      <c r="E19" s="62">
        <f>D19/Isproforma_old!$D$29</f>
        <v>3.2614915124928479E-2</v>
      </c>
      <c r="F19" s="7">
        <v>688</v>
      </c>
      <c r="G19" s="62">
        <f>F19/Isproforma_old!$F$29</f>
        <v>6.508371961025447E-2</v>
      </c>
      <c r="H19" s="7">
        <v>686</v>
      </c>
      <c r="I19" s="62">
        <f>H19/Isproforma_old!$H$29</f>
        <v>4.9505665006855742E-2</v>
      </c>
      <c r="J19" s="7">
        <v>688</v>
      </c>
      <c r="K19" s="62">
        <f>J19/Isproforma_old!$J$29</f>
        <v>3.3119915274635342E-2</v>
      </c>
      <c r="M19" s="48" t="s">
        <v>168</v>
      </c>
      <c r="N19" s="114">
        <f>AVERAGE(C19,E19,K19)</f>
        <v>3.1401927119410117E-2</v>
      </c>
      <c r="O19" s="53" t="s">
        <v>341</v>
      </c>
      <c r="P19" s="3"/>
      <c r="Q19" s="7">
        <f>N19*Isproforma_old!$S$29</f>
        <v>814.31218132959077</v>
      </c>
      <c r="R19" s="7">
        <f>N19*Isproforma_old!$T$29</f>
        <v>880.00102678499138</v>
      </c>
      <c r="S19" s="7">
        <f>N19*Isproforma_old!$U$29</f>
        <v>951.26393550872444</v>
      </c>
      <c r="T19" s="7">
        <f>N19*Isproforma_old!$V$29</f>
        <v>1028.5891898585396</v>
      </c>
      <c r="U19" s="7">
        <f>N19*Isproforma_old!$W$29</f>
        <v>1112.5086533906644</v>
      </c>
      <c r="W19" s="294"/>
    </row>
    <row r="20" spans="1:33" s="2" customFormat="1" ht="17">
      <c r="A20" s="6" t="s">
        <v>156</v>
      </c>
      <c r="B20" s="7">
        <v>1275</v>
      </c>
      <c r="C20" s="62">
        <f>B20/Isproforma_old!$B$29</f>
        <v>6.1422102321996339E-2</v>
      </c>
      <c r="D20" s="7">
        <v>1100</v>
      </c>
      <c r="E20" s="62">
        <f>D20/Isproforma_old!$D$29</f>
        <v>5.2450886896814798E-2</v>
      </c>
      <c r="F20" s="7">
        <v>1045</v>
      </c>
      <c r="G20" s="62">
        <f>F20/Isproforma_old!$F$29</f>
        <v>9.8855359001040588E-2</v>
      </c>
      <c r="H20" s="7">
        <v>985</v>
      </c>
      <c r="I20" s="62">
        <f>H20/Isproforma_old!$H$29</f>
        <v>7.108320704337158E-2</v>
      </c>
      <c r="J20" s="7">
        <v>1086</v>
      </c>
      <c r="K20" s="62">
        <f>J20/Isproforma_old!$J$29</f>
        <v>5.2279401145717996E-2</v>
      </c>
      <c r="M20" s="48" t="s">
        <v>168</v>
      </c>
      <c r="N20" s="114">
        <f>AVERAGE(C20,E20,K20)</f>
        <v>5.5384130121509716E-2</v>
      </c>
      <c r="O20" s="53" t="s">
        <v>341</v>
      </c>
      <c r="P20" s="3"/>
      <c r="Q20" s="7">
        <f>N20*Isproforma_old!$S$29</f>
        <v>1436.2166894658938</v>
      </c>
      <c r="R20" s="7">
        <f>N20*Isproforma_old!$T$29</f>
        <v>1552.073259363633</v>
      </c>
      <c r="S20" s="7">
        <f>N20*Isproforma_old!$U$29</f>
        <v>1677.7609025004419</v>
      </c>
      <c r="T20" s="7">
        <f>N20*Isproforma_old!$V$29</f>
        <v>1814.1408110424832</v>
      </c>
      <c r="U20" s="7">
        <f>N20*Isproforma_old!$W$29</f>
        <v>1962.1510420807433</v>
      </c>
    </row>
    <row r="21" spans="1:33" s="2" customFormat="1" ht="17">
      <c r="A21" s="6" t="s">
        <v>157</v>
      </c>
      <c r="B21" s="7">
        <v>1439</v>
      </c>
      <c r="C21" s="62">
        <f>B21/Isproforma_old!$B$29</f>
        <v>6.9322670777531556E-2</v>
      </c>
      <c r="D21" s="7">
        <v>1225</v>
      </c>
      <c r="E21" s="62">
        <f>D21/Isproforma_old!$D$29</f>
        <v>5.8411214953271028E-2</v>
      </c>
      <c r="F21" s="7">
        <v>640</v>
      </c>
      <c r="G21" s="62">
        <f>F21/Isproforma_old!$F$29</f>
        <v>6.0542994986283225E-2</v>
      </c>
      <c r="H21" s="7">
        <v>545</v>
      </c>
      <c r="I21" s="62">
        <f>H21/Isproforma_old!$H$29</f>
        <v>3.933030237425128E-2</v>
      </c>
      <c r="J21" s="7">
        <v>649</v>
      </c>
      <c r="K21" s="62">
        <f>J21/Isproforma_old!$J$29</f>
        <v>3.124247821691619E-2</v>
      </c>
      <c r="M21" s="48" t="s">
        <v>337</v>
      </c>
      <c r="N21" s="114">
        <f>K21</f>
        <v>3.124247821691619E-2</v>
      </c>
      <c r="O21" s="53" t="s">
        <v>340</v>
      </c>
      <c r="P21" s="3"/>
      <c r="Q21" s="7">
        <f>N21*Isproforma_old!$S$29</f>
        <v>810.17736555517354</v>
      </c>
      <c r="R21" s="7">
        <f>N21*Isproforma_old!$T$29</f>
        <v>875.53266414658299</v>
      </c>
      <c r="S21" s="7">
        <f>N21*Isproforma_old!$U$29</f>
        <v>946.43372270292616</v>
      </c>
      <c r="T21" s="7">
        <f>N21*Isproforma_old!$V$29</f>
        <v>1023.3663442409314</v>
      </c>
      <c r="U21" s="7">
        <f>N21*Isproforma_old!$W$29</f>
        <v>1106.8596916844738</v>
      </c>
    </row>
    <row r="22" spans="1:33" s="2" customFormat="1" ht="17">
      <c r="A22" s="6" t="s">
        <v>158</v>
      </c>
      <c r="B22" s="7">
        <v>168</v>
      </c>
      <c r="C22" s="62">
        <f>B22/Isproforma_old!$B$29</f>
        <v>8.0932652471336353E-3</v>
      </c>
      <c r="D22" s="7">
        <v>196</v>
      </c>
      <c r="E22" s="62">
        <f>D22/Isproforma_old!$D$29</f>
        <v>9.3457943925233638E-3</v>
      </c>
      <c r="F22" s="7">
        <v>29</v>
      </c>
      <c r="G22" s="62">
        <f>F22/Isproforma_old!$F$29</f>
        <v>2.7433544603159589E-3</v>
      </c>
      <c r="H22" s="7">
        <v>137</v>
      </c>
      <c r="I22" s="62">
        <f>H22/Isproforma_old!$H$29</f>
        <v>9.886699862885184E-3</v>
      </c>
      <c r="J22" s="7">
        <v>36</v>
      </c>
      <c r="K22" s="62">
        <f>J22/Isproforma_old!$J$29</f>
        <v>1.733018822509989E-3</v>
      </c>
      <c r="M22" s="48" t="s">
        <v>215</v>
      </c>
      <c r="N22" s="114">
        <f>K22</f>
        <v>1.733018822509989E-3</v>
      </c>
      <c r="O22" s="53" t="s">
        <v>340</v>
      </c>
      <c r="P22" s="3"/>
      <c r="Q22" s="7">
        <f>N22*Isproforma_old!$S$29</f>
        <v>44.940501016927961</v>
      </c>
      <c r="R22" s="7">
        <f>N22*Isproforma_old!$T$29</f>
        <v>48.565756408747284</v>
      </c>
      <c r="S22" s="7">
        <f>N22*Isproforma_old!$U$29</f>
        <v>52.498634849468942</v>
      </c>
      <c r="T22" s="7">
        <f>N22*Isproforma_old!$V$29</f>
        <v>56.766083809974624</v>
      </c>
      <c r="U22" s="7">
        <f>N22*Isproforma_old!$W$29</f>
        <v>61.397455933191154</v>
      </c>
    </row>
    <row r="23" spans="1:33" s="2" customFormat="1" ht="17">
      <c r="A23" s="6" t="s">
        <v>159</v>
      </c>
      <c r="B23" s="7">
        <v>-1517</v>
      </c>
      <c r="C23" s="62">
        <f>B23/Isproforma_old!$B$29</f>
        <v>-7.3080258213700747E-2</v>
      </c>
      <c r="D23" s="7">
        <v>-1301</v>
      </c>
      <c r="E23" s="62">
        <f>D23/Isproforma_old!$D$29</f>
        <v>-6.2035094411596416E-2</v>
      </c>
      <c r="F23" s="7">
        <v>-888</v>
      </c>
      <c r="G23" s="62">
        <f>F23/Isproforma_old!$F$29</f>
        <v>-8.4003405543467982E-2</v>
      </c>
      <c r="H23" s="8">
        <v>-850</v>
      </c>
      <c r="I23" s="62">
        <f>H23/Isproforma_old!$H$29</f>
        <v>-6.1340838565346036E-2</v>
      </c>
      <c r="J23" s="8">
        <v>-874</v>
      </c>
      <c r="K23" s="62">
        <f>J23/Isproforma_old!$J$29</f>
        <v>-4.2073845857603619E-2</v>
      </c>
      <c r="M23" s="48" t="s">
        <v>215</v>
      </c>
      <c r="N23" s="114">
        <f>K23</f>
        <v>-4.2073845857603619E-2</v>
      </c>
      <c r="O23" s="53" t="s">
        <v>340</v>
      </c>
      <c r="P23" s="3"/>
      <c r="Q23" s="8">
        <f>N23*Isproforma_old!$S$29</f>
        <v>-1091.055496910973</v>
      </c>
      <c r="R23" s="8">
        <f>N23*Isproforma_old!$T$29</f>
        <v>-1179.0686417012535</v>
      </c>
      <c r="S23" s="8">
        <f>N23*Isproforma_old!$U$29</f>
        <v>-1274.5501905121071</v>
      </c>
      <c r="T23" s="7">
        <f>N23*Isproforma_old!$V$29</f>
        <v>-1378.1543680532727</v>
      </c>
      <c r="U23" s="7">
        <f>N23*Isproforma_old!$W$29</f>
        <v>-1490.5937912669185</v>
      </c>
    </row>
    <row r="24" spans="1:33" s="2" customFormat="1" ht="20">
      <c r="A24" s="10" t="s">
        <v>220</v>
      </c>
      <c r="B24" s="9">
        <f>SUM(B19:B23)</f>
        <v>1956</v>
      </c>
      <c r="C24" s="62">
        <f>B24/Isproforma_old!$B$29</f>
        <v>9.4228731091627327E-2</v>
      </c>
      <c r="D24" s="9">
        <f t="shared" ref="D24:J24" si="1">SUM(D19:D23)</f>
        <v>1904</v>
      </c>
      <c r="E24" s="62">
        <f>D24/Isproforma_old!$D$29</f>
        <v>9.0787716955941261E-2</v>
      </c>
      <c r="F24" s="9">
        <f t="shared" si="1"/>
        <v>1514</v>
      </c>
      <c r="G24" s="62">
        <f>F24/Isproforma_old!$F$29</f>
        <v>0.14322202251442626</v>
      </c>
      <c r="H24" s="9">
        <f t="shared" si="1"/>
        <v>1503</v>
      </c>
      <c r="I24" s="62">
        <f>H24/Isproforma_old!$H$29</f>
        <v>0.10846503572201775</v>
      </c>
      <c r="J24" s="9">
        <f t="shared" si="1"/>
        <v>1585</v>
      </c>
      <c r="K24" s="62">
        <f>J24/Isproforma_old!$J$29</f>
        <v>7.6300967602175904E-2</v>
      </c>
      <c r="M24" s="10"/>
      <c r="N24" s="114"/>
      <c r="O24" s="53"/>
      <c r="P24" s="3"/>
      <c r="Q24" s="9">
        <f>SUM(Q19:Q23)</f>
        <v>2014.5912404566134</v>
      </c>
      <c r="R24" s="9">
        <f>SUM(R19:R23)</f>
        <v>2177.1040650027012</v>
      </c>
      <c r="S24" s="9">
        <f>SUM(S19:S23)</f>
        <v>2353.4070050494547</v>
      </c>
      <c r="T24" s="9">
        <f>SUM(T19:T23)</f>
        <v>2544.7080608986562</v>
      </c>
      <c r="U24" s="9">
        <f>SUM(U19:U23)</f>
        <v>2752.3230518221535</v>
      </c>
    </row>
    <row r="25" spans="1:33" s="27" customFormat="1" ht="17">
      <c r="A25" s="26"/>
      <c r="B25" s="26"/>
      <c r="C25" s="62"/>
      <c r="D25" s="26"/>
      <c r="E25" s="62"/>
      <c r="F25" s="26"/>
      <c r="G25" s="62"/>
      <c r="H25" s="26"/>
      <c r="I25" s="62"/>
      <c r="J25" s="26"/>
      <c r="K25" s="62"/>
      <c r="M25" s="56"/>
      <c r="N25" s="114"/>
      <c r="O25" s="53"/>
      <c r="P25" s="3"/>
      <c r="Q25" s="26"/>
      <c r="R25" s="26"/>
      <c r="S25" s="26"/>
      <c r="T25" s="26"/>
      <c r="U25" s="26"/>
    </row>
    <row r="26" spans="1:33" s="27" customFormat="1" ht="17">
      <c r="A26" s="6" t="s">
        <v>161</v>
      </c>
      <c r="B26" s="26">
        <v>1347</v>
      </c>
      <c r="C26" s="62">
        <f>B26/Isproforma_old!$B$29</f>
        <v>6.4890644570767902E-2</v>
      </c>
      <c r="D26" s="26">
        <v>1588</v>
      </c>
      <c r="E26" s="62">
        <f>D26/Isproforma_old!$D$29</f>
        <v>7.5720007629219918E-2</v>
      </c>
      <c r="F26" s="26">
        <v>1674</v>
      </c>
      <c r="G26" s="62">
        <f>F26/Isproforma_old!$F$29</f>
        <v>0.15835777126099707</v>
      </c>
      <c r="H26" s="26">
        <v>1875</v>
      </c>
      <c r="I26" s="62">
        <f>H26/Isproforma_old!$H$29</f>
        <v>0.13531067330591037</v>
      </c>
      <c r="J26" s="26">
        <v>1995</v>
      </c>
      <c r="K26" s="62">
        <f>J26/Isproforma_old!$J$29</f>
        <v>9.6038126414095218E-2</v>
      </c>
      <c r="M26" s="56" t="s">
        <v>168</v>
      </c>
      <c r="N26" s="114">
        <f>AVERAGE(C26,E26,K26)</f>
        <v>7.8882926204694337E-2</v>
      </c>
      <c r="O26" s="53" t="s">
        <v>341</v>
      </c>
      <c r="P26" s="3"/>
      <c r="Q26" s="128">
        <f>N26*Isproforma_old!$S$29</f>
        <v>2045.5855292938606</v>
      </c>
      <c r="R26" s="128">
        <f>N26*Isproforma_old!$T$29</f>
        <v>2210.5985977219766</v>
      </c>
      <c r="S26" s="128">
        <f>N26*Isproforma_old!$U$29</f>
        <v>2389.6139412265288</v>
      </c>
      <c r="T26" s="7">
        <f>N26*Isproforma_old!$V$29</f>
        <v>2583.8581450755778</v>
      </c>
      <c r="U26" s="7">
        <f>N26*Isproforma_old!$W$29</f>
        <v>2794.6672722915418</v>
      </c>
    </row>
    <row r="27" spans="1:33" s="27" customFormat="1" ht="17">
      <c r="A27" s="6" t="s">
        <v>162</v>
      </c>
      <c r="B27" s="26">
        <v>1983</v>
      </c>
      <c r="C27" s="62">
        <f>B27/Isproforma_old!$B$29</f>
        <v>9.5529434434916655E-2</v>
      </c>
      <c r="D27" s="26">
        <v>1972</v>
      </c>
      <c r="E27" s="62">
        <f>D27/Isproforma_old!$D$29</f>
        <v>9.4030135418653446E-2</v>
      </c>
      <c r="F27" s="26">
        <v>2257</v>
      </c>
      <c r="G27" s="62">
        <f>F27/Isproforma_old!$F$29</f>
        <v>0.21350865575631445</v>
      </c>
      <c r="H27" s="26">
        <v>2187</v>
      </c>
      <c r="I27" s="62">
        <f>H27/Isproforma_old!$H$29</f>
        <v>0.15782636934401387</v>
      </c>
      <c r="J27" s="26">
        <v>2173</v>
      </c>
      <c r="K27" s="62">
        <f>J27/Isproforma_old!$J$29</f>
        <v>0.10460694170317239</v>
      </c>
      <c r="M27" s="56" t="s">
        <v>168</v>
      </c>
      <c r="N27" s="114">
        <f>AVERAGE(C27,E27,K27)</f>
        <v>9.8055503852247483E-2</v>
      </c>
      <c r="O27" s="53" t="s">
        <v>341</v>
      </c>
      <c r="P27" s="3"/>
      <c r="Q27" s="128">
        <f>N27*Isproforma_old!$S$29</f>
        <v>2542.7672298475059</v>
      </c>
      <c r="R27" s="128">
        <f>N27*Isproforma_old!$T$29</f>
        <v>2747.8868969974983</v>
      </c>
      <c r="S27" s="128">
        <f>N27*Isproforma_old!$U$29</f>
        <v>2970.412106813782</v>
      </c>
      <c r="T27" s="7">
        <f>N27*Isproforma_old!$V$29</f>
        <v>3211.8675673956145</v>
      </c>
      <c r="U27" s="7">
        <f>N27*Isproforma_old!$W$29</f>
        <v>3473.9140732792125</v>
      </c>
    </row>
    <row r="28" spans="1:33" s="2" customFormat="1" ht="17">
      <c r="A28" s="6" t="s">
        <v>163</v>
      </c>
      <c r="B28" s="7">
        <v>-674</v>
      </c>
      <c r="C28" s="62">
        <f>B28/Isproforma_old!$B$29</f>
        <v>-3.246940938433375E-2</v>
      </c>
      <c r="D28" s="7">
        <v>-808</v>
      </c>
      <c r="E28" s="62">
        <f>D28/Isproforma_old!$D$29</f>
        <v>-3.8527560556933051E-2</v>
      </c>
      <c r="F28" s="7">
        <v>-937</v>
      </c>
      <c r="G28" s="62">
        <f>F28/Isproforma_old!$F$29</f>
        <v>-8.8638728597105282E-2</v>
      </c>
      <c r="H28" s="7">
        <v>-1052</v>
      </c>
      <c r="I28" s="62">
        <f>H28/Isproforma_old!$H$29</f>
        <v>-7.5918308436169452E-2</v>
      </c>
      <c r="J28" s="7">
        <v>-1172</v>
      </c>
      <c r="K28" s="62">
        <f>J28/Isproforma_old!$J$29</f>
        <v>-5.6419390555047418E-2</v>
      </c>
      <c r="M28" s="48" t="s">
        <v>168</v>
      </c>
      <c r="N28" s="114">
        <f>AVERAGE(C28,E28,K28)</f>
        <v>-4.2472120165438075E-2</v>
      </c>
      <c r="O28" s="53" t="s">
        <v>341</v>
      </c>
      <c r="P28" s="3"/>
      <c r="Q28" s="7">
        <f>N28*Isproforma_old!$S$29</f>
        <v>-1101.3835133778268</v>
      </c>
      <c r="R28" s="7">
        <f>N28*Isproforma_old!$T$29</f>
        <v>-1190.229797464199</v>
      </c>
      <c r="S28" s="7">
        <f>N28*Isproforma_old!$U$29</f>
        <v>-1286.6151820663495</v>
      </c>
      <c r="T28" s="7">
        <f>N28*Isproforma_old!$V$29</f>
        <v>-1391.2000848361672</v>
      </c>
      <c r="U28" s="7">
        <f>N28*Isproforma_old!$W$29</f>
        <v>-1504.7038684033989</v>
      </c>
      <c r="V28" s="27"/>
      <c r="W28" s="27"/>
      <c r="X28" s="27"/>
      <c r="Y28" s="27"/>
      <c r="Z28" s="27"/>
      <c r="AA28" s="27"/>
      <c r="AB28" s="27"/>
      <c r="AC28" s="27"/>
      <c r="AD28" s="27"/>
      <c r="AE28" s="27"/>
      <c r="AF28" s="27"/>
      <c r="AG28" s="27"/>
    </row>
    <row r="29" spans="1:33" s="2" customFormat="1" ht="17">
      <c r="A29" s="6" t="s">
        <v>164</v>
      </c>
      <c r="B29" s="7">
        <v>5724</v>
      </c>
      <c r="C29" s="62">
        <f>B29/Isproforma_old!$B$29</f>
        <v>0.27574910877733888</v>
      </c>
      <c r="D29" s="7">
        <v>5889</v>
      </c>
      <c r="E29" s="62">
        <f>D29/Isproforma_old!$D$29</f>
        <v>0.28080297539576576</v>
      </c>
      <c r="F29" s="7">
        <v>5995</v>
      </c>
      <c r="G29" s="62">
        <f>F29/Isproforma_old!$F$29</f>
        <v>0.56711758584807492</v>
      </c>
      <c r="H29" s="7">
        <v>5916</v>
      </c>
      <c r="I29" s="62">
        <f>H29/Isproforma_old!$H$29</f>
        <v>0.42693223641480837</v>
      </c>
      <c r="J29" s="7">
        <v>5751</v>
      </c>
      <c r="K29" s="62">
        <f>J29/Isproforma_old!$J$29</f>
        <v>0.27684975689597074</v>
      </c>
      <c r="M29" s="48" t="s">
        <v>168</v>
      </c>
      <c r="N29" s="114">
        <f>AVERAGE(C29,E29,K29)</f>
        <v>0.27780061368969178</v>
      </c>
      <c r="O29" s="53" t="s">
        <v>341</v>
      </c>
      <c r="P29" s="3"/>
      <c r="Q29" s="7">
        <f>N29*Isproforma_old!$S$29</f>
        <v>7203.9025773205904</v>
      </c>
      <c r="R29" s="7">
        <f>N29*Isproforma_old!$T$29</f>
        <v>7785.0261978769204</v>
      </c>
      <c r="S29" s="7">
        <f>N29*Isproforma_old!$U$29</f>
        <v>8415.4613842744056</v>
      </c>
      <c r="T29" s="7">
        <f>N29*Isproforma_old!$V$29</f>
        <v>9099.5277802763358</v>
      </c>
      <c r="U29" s="7">
        <f>N29*Isproforma_old!$W$29</f>
        <v>9841.9305755278365</v>
      </c>
    </row>
    <row r="30" spans="1:33" s="2" customFormat="1" ht="17">
      <c r="A30" s="6" t="s">
        <v>20</v>
      </c>
      <c r="B30" s="7">
        <v>9039</v>
      </c>
      <c r="C30" s="62">
        <f>B30/Isproforma_old!$B$29</f>
        <v>0.43544657481452936</v>
      </c>
      <c r="D30" s="7">
        <v>9048</v>
      </c>
      <c r="E30" s="62">
        <f>D30/Isproforma_old!$D$29</f>
        <v>0.43143238603852757</v>
      </c>
      <c r="F30" s="7">
        <v>9175</v>
      </c>
      <c r="G30" s="62">
        <f>F30/Isproforma_old!$F$29</f>
        <v>0.8679405921861697</v>
      </c>
      <c r="H30" s="7">
        <v>9073</v>
      </c>
      <c r="I30" s="62">
        <f>H30/Isproforma_old!$H$29</f>
        <v>0.65475932741574661</v>
      </c>
      <c r="J30" s="7">
        <v>8872</v>
      </c>
      <c r="K30" s="62">
        <f>J30/Isproforma_old!$J$29</f>
        <v>0.42709286092523951</v>
      </c>
      <c r="M30" s="48" t="s">
        <v>168</v>
      </c>
      <c r="N30" s="114">
        <f>AVERAGE(C30,E30,K30)</f>
        <v>0.43132394059276552</v>
      </c>
      <c r="O30" s="53" t="s">
        <v>341</v>
      </c>
      <c r="P30" s="3"/>
      <c r="Q30" s="7">
        <f>N30*Isproforma_old!$S$29</f>
        <v>11185.056814766838</v>
      </c>
      <c r="R30" s="7">
        <f>N30*Isproforma_old!$T$29</f>
        <v>12087.331747355269</v>
      </c>
      <c r="S30" s="7">
        <f>N30*Isproforma_old!$U$29</f>
        <v>13066.169717774726</v>
      </c>
      <c r="T30" s="7">
        <f>N30*Isproforma_old!$V$29</f>
        <v>14128.277571432041</v>
      </c>
      <c r="U30" s="7">
        <f>N30*Isproforma_old!$W$29</f>
        <v>15280.960767130986</v>
      </c>
    </row>
    <row r="31" spans="1:33" s="2" customFormat="1" ht="20">
      <c r="A31" s="10" t="s">
        <v>118</v>
      </c>
      <c r="B31" s="9">
        <f>SUM(B26:B30)</f>
        <v>17419</v>
      </c>
      <c r="C31" s="62">
        <f>B31/Isproforma_old!$B$29</f>
        <v>0.83914635321321895</v>
      </c>
      <c r="D31" s="9">
        <f>SUM(D26:D30)</f>
        <v>17689</v>
      </c>
      <c r="E31" s="62">
        <f>D31/Isproforma_old!$D$29</f>
        <v>0.84345794392523366</v>
      </c>
      <c r="F31" s="9">
        <f>SUM(F26:F30)</f>
        <v>18164</v>
      </c>
      <c r="G31" s="62">
        <f>F31/Isproforma_old!$F$29</f>
        <v>1.7182858764544509</v>
      </c>
      <c r="H31" s="9">
        <f>SUM(H26:H30)</f>
        <v>17999</v>
      </c>
      <c r="I31" s="62">
        <f>H31/Isproforma_old!$H$29</f>
        <v>1.2989102980443097</v>
      </c>
      <c r="J31" s="9">
        <f>SUM(J26:J30)</f>
        <v>17619</v>
      </c>
      <c r="K31" s="62">
        <f>J31/Isproforma_old!$J$29</f>
        <v>0.84816829538343042</v>
      </c>
      <c r="M31" s="10"/>
      <c r="N31" s="114"/>
      <c r="O31" s="53"/>
      <c r="P31" s="3"/>
      <c r="Q31" s="9">
        <f>SUM(Q26:Q30)</f>
        <v>21875.928637850968</v>
      </c>
      <c r="R31" s="9">
        <f>SUM(R26:R30)</f>
        <v>23640.613642487464</v>
      </c>
      <c r="S31" s="9">
        <f>SUM(S26:S30)</f>
        <v>25555.041968023092</v>
      </c>
      <c r="T31" s="9">
        <f>SUM(T26:T30)</f>
        <v>27632.330979343402</v>
      </c>
      <c r="U31" s="9">
        <f>SUM(U26:U30)</f>
        <v>29886.768819826179</v>
      </c>
    </row>
    <row r="32" spans="1:33" s="2" customFormat="1" ht="17">
      <c r="A32" s="6"/>
      <c r="B32" s="7"/>
      <c r="C32" s="62"/>
      <c r="D32" s="7"/>
      <c r="E32" s="62"/>
      <c r="F32" s="7"/>
      <c r="G32" s="62"/>
      <c r="H32" s="7"/>
      <c r="I32" s="62"/>
      <c r="J32" s="7"/>
      <c r="K32" s="62"/>
      <c r="M32" s="48"/>
      <c r="N32" s="114"/>
      <c r="O32" s="53"/>
      <c r="P32" s="3"/>
      <c r="Q32" s="7"/>
      <c r="R32" s="7"/>
      <c r="S32" s="7"/>
      <c r="T32" s="7"/>
      <c r="U32" s="7"/>
    </row>
    <row r="33" spans="1:33" s="2" customFormat="1" ht="17">
      <c r="A33" s="6" t="s">
        <v>79</v>
      </c>
      <c r="B33" s="7">
        <v>732</v>
      </c>
      <c r="C33" s="62">
        <f>B33/Isproforma_old!$B$29</f>
        <v>3.5263512862510837E-2</v>
      </c>
      <c r="D33" s="7">
        <v>577</v>
      </c>
      <c r="E33" s="62">
        <f>D33/Isproforma_old!$D$29</f>
        <v>2.7512874308601946E-2</v>
      </c>
      <c r="F33" s="7">
        <v>422</v>
      </c>
      <c r="G33" s="62">
        <f>F33/Isproforma_old!$F$29</f>
        <v>3.9920537319080504E-2</v>
      </c>
      <c r="H33" s="7">
        <v>387</v>
      </c>
      <c r="I33" s="62">
        <f>H33/Isproforma_old!$H$29</f>
        <v>2.7928122970339902E-2</v>
      </c>
      <c r="J33" s="7">
        <v>335</v>
      </c>
      <c r="K33" s="62">
        <f>J33/Isproforma_old!$J$29</f>
        <v>1.6126702931690176E-2</v>
      </c>
      <c r="M33" s="48" t="s">
        <v>168</v>
      </c>
      <c r="N33" s="114">
        <f>AVERAGE(C33,E33,K33)</f>
        <v>2.6301030034267651E-2</v>
      </c>
      <c r="O33" s="53" t="s">
        <v>341</v>
      </c>
      <c r="P33" s="3"/>
      <c r="Q33" s="7">
        <f>N33*Isproforma_old!$S$29</f>
        <v>682.0361392782537</v>
      </c>
      <c r="R33" s="7">
        <f>N33*Isproforma_old!$T$29</f>
        <v>737.05455552605599</v>
      </c>
      <c r="S33" s="7">
        <f>N33*Isproforma_old!$U$29</f>
        <v>796.74158987732199</v>
      </c>
      <c r="T33" s="7">
        <f>N33*Isproforma_old!$V$29</f>
        <v>861.50620860050799</v>
      </c>
      <c r="U33" s="7">
        <f>N33*Isproforma_old!$W$29</f>
        <v>931.79387987701875</v>
      </c>
    </row>
    <row r="34" spans="1:33" s="2" customFormat="1" ht="17">
      <c r="A34" s="6" t="s">
        <v>21</v>
      </c>
      <c r="B34" s="7">
        <v>125</v>
      </c>
      <c r="C34" s="62">
        <f>B34/Isproforma_old!$B$29</f>
        <v>6.0217747374506211E-3</v>
      </c>
      <c r="D34" s="7">
        <v>117</v>
      </c>
      <c r="E34" s="62">
        <f>D34/Isproforma_old!$D$29</f>
        <v>5.5788670608430289E-3</v>
      </c>
      <c r="F34" s="7">
        <v>159</v>
      </c>
      <c r="G34" s="62">
        <f>F34/Isproforma_old!$F$29</f>
        <v>1.504115031690474E-2</v>
      </c>
      <c r="H34" s="7">
        <v>144</v>
      </c>
      <c r="I34" s="62">
        <f>H34/Isproforma_old!$H$29</f>
        <v>1.0391859709893916E-2</v>
      </c>
      <c r="J34" s="7">
        <v>152</v>
      </c>
      <c r="K34" s="62">
        <f>J34/Isproforma_old!$J$29</f>
        <v>7.3171905839310644E-3</v>
      </c>
      <c r="M34" s="48" t="s">
        <v>168</v>
      </c>
      <c r="N34" s="114">
        <f>AVERAGE(C34,E34,K34)</f>
        <v>6.3059441274082376E-3</v>
      </c>
      <c r="O34" s="53" t="s">
        <v>341</v>
      </c>
      <c r="P34" s="3"/>
      <c r="Q34" s="7">
        <f>N34*Isproforma_old!$S$29</f>
        <v>163.52522245548047</v>
      </c>
      <c r="R34" s="7">
        <f>N34*Isproforma_old!$T$29</f>
        <v>176.71645710998254</v>
      </c>
      <c r="S34" s="7">
        <f>N34*Isproforma_old!$U$29</f>
        <v>191.02704126807021</v>
      </c>
      <c r="T34" s="7">
        <f>N34*Isproforma_old!$V$29</f>
        <v>206.55502882480093</v>
      </c>
      <c r="U34" s="7">
        <f>N34*Isproforma_old!$W$29</f>
        <v>223.40722538660205</v>
      </c>
      <c r="W34" s="294"/>
    </row>
    <row r="35" spans="1:33" s="2" customFormat="1" ht="17">
      <c r="A35" s="6" t="s">
        <v>22</v>
      </c>
      <c r="B35" s="7">
        <v>171</v>
      </c>
      <c r="C35" s="62">
        <f>B35/Isproforma_old!$B$29</f>
        <v>8.2377878408324504E-3</v>
      </c>
      <c r="D35" s="7">
        <v>154</v>
      </c>
      <c r="E35" s="62">
        <f>D35/Isproforma_old!$D$29</f>
        <v>7.3431241655540717E-3</v>
      </c>
      <c r="F35" s="7">
        <v>249</v>
      </c>
      <c r="G35" s="62">
        <f>F35/Isproforma_old!$F$29</f>
        <v>2.3555008986850819E-2</v>
      </c>
      <c r="H35" s="7">
        <v>228</v>
      </c>
      <c r="I35" s="62">
        <f>H35/Isproforma_old!$H$29</f>
        <v>1.6453777873998703E-2</v>
      </c>
      <c r="J35" s="7">
        <v>240</v>
      </c>
      <c r="K35" s="62">
        <f>J35/Isproforma_old!$J$29</f>
        <v>1.155345881673326E-2</v>
      </c>
      <c r="M35" s="48" t="s">
        <v>168</v>
      </c>
      <c r="N35" s="114">
        <f>AVERAGE(C35,E35,K35)</f>
        <v>9.0447902743732607E-3</v>
      </c>
      <c r="O35" s="53" t="s">
        <v>341</v>
      </c>
      <c r="P35" s="3"/>
      <c r="Q35" s="7">
        <f>N35*Isproforma_old!$S$29</f>
        <v>234.54875460305553</v>
      </c>
      <c r="R35" s="7">
        <f>N35*Isproforma_old!$T$29</f>
        <v>253.46930773504994</v>
      </c>
      <c r="S35" s="7">
        <f>N35*Isproforma_old!$U$29</f>
        <v>273.99537485497382</v>
      </c>
      <c r="T35" s="7">
        <f>N35*Isproforma_old!$V$29</f>
        <v>296.26759737963346</v>
      </c>
      <c r="U35" s="7">
        <f>N35*Isproforma_old!$W$29</f>
        <v>320.43916954778911</v>
      </c>
    </row>
    <row r="36" spans="1:33" s="2" customFormat="1" ht="17">
      <c r="A36" s="6" t="s">
        <v>23</v>
      </c>
      <c r="B36" s="7">
        <v>0</v>
      </c>
      <c r="C36" s="62">
        <f>B36/Isproforma_old!$B$29</f>
        <v>0</v>
      </c>
      <c r="D36" s="7">
        <v>888</v>
      </c>
      <c r="E36" s="62">
        <f>D36/Isproforma_old!$D$29</f>
        <v>4.234217051306504E-2</v>
      </c>
      <c r="F36" s="7">
        <v>752</v>
      </c>
      <c r="G36" s="62">
        <f>F36/Isproforma_old!$F$29</f>
        <v>7.1138019108882788E-2</v>
      </c>
      <c r="H36" s="7">
        <v>1062</v>
      </c>
      <c r="I36" s="62">
        <f>H36/Isproforma_old!$H$29</f>
        <v>7.6639965360467632E-2</v>
      </c>
      <c r="J36" s="7">
        <v>987</v>
      </c>
      <c r="K36" s="62">
        <f>J36/Isproforma_old!$J$29</f>
        <v>4.7513599383815532E-2</v>
      </c>
      <c r="M36" s="48" t="s">
        <v>168</v>
      </c>
      <c r="N36" s="114">
        <f>AVERAGE(C36,E36,K36)</f>
        <v>2.9951923298960192E-2</v>
      </c>
      <c r="O36" s="53" t="s">
        <v>341</v>
      </c>
      <c r="P36" s="3"/>
      <c r="Q36" s="7">
        <f>N36*Isproforma_old!$S$29</f>
        <v>776.71080197867275</v>
      </c>
      <c r="R36" s="7">
        <f>N36*Isproforma_old!$T$29</f>
        <v>839.36642350138038</v>
      </c>
      <c r="S36" s="7">
        <f>N36*Isproforma_old!$U$29</f>
        <v>907.33872240002688</v>
      </c>
      <c r="T36" s="7">
        <f>N36*Isproforma_old!$V$29</f>
        <v>981.09343428605825</v>
      </c>
      <c r="U36" s="7">
        <f>N36*Isproforma_old!$W$29</f>
        <v>1061.1378635800306</v>
      </c>
    </row>
    <row r="37" spans="1:33" s="2" customFormat="1" ht="17">
      <c r="A37" s="6" t="s">
        <v>24</v>
      </c>
      <c r="B37" s="7">
        <v>587</v>
      </c>
      <c r="C37" s="62">
        <f>B37/Isproforma_old!$B$29</f>
        <v>2.8278254167068119E-2</v>
      </c>
      <c r="D37" s="7">
        <v>595</v>
      </c>
      <c r="E37" s="62">
        <f>D37/Isproforma_old!$D$29</f>
        <v>2.8371161548731642E-2</v>
      </c>
      <c r="F37" s="7">
        <v>616</v>
      </c>
      <c r="G37" s="62">
        <f>F37/Isproforma_old!$F$29</f>
        <v>5.8272632674297609E-2</v>
      </c>
      <c r="H37" s="7">
        <v>604</v>
      </c>
      <c r="I37" s="62">
        <f>H37/Isproforma_old!$H$29</f>
        <v>4.3588078227610592E-2</v>
      </c>
      <c r="J37" s="7">
        <v>584</v>
      </c>
      <c r="K37" s="62">
        <f>J37/Isproforma_old!$J$29</f>
        <v>2.8113416454050931E-2</v>
      </c>
      <c r="M37" s="48" t="s">
        <v>168</v>
      </c>
      <c r="N37" s="114">
        <f>AVERAGE(C37,E37,K37)</f>
        <v>2.8254277389950233E-2</v>
      </c>
      <c r="O37" s="53" t="s">
        <v>341</v>
      </c>
      <c r="P37" s="3"/>
      <c r="Q37" s="7">
        <f>N37*Isproforma_old!$S$29</f>
        <v>732.68758843402827</v>
      </c>
      <c r="R37" s="7">
        <f>N37*Isproforma_old!$T$29</f>
        <v>791.79195020981365</v>
      </c>
      <c r="S37" s="7">
        <f>N37*Isproforma_old!$U$29</f>
        <v>855.91164525395914</v>
      </c>
      <c r="T37" s="7">
        <f>N37*Isproforma_old!$V$29</f>
        <v>925.48601173599855</v>
      </c>
      <c r="U37" s="7">
        <f>N37*Isproforma_old!$W$29</f>
        <v>1000.9936005548662</v>
      </c>
    </row>
    <row r="38" spans="1:33" s="2" customFormat="1" ht="20">
      <c r="A38" s="49" t="s">
        <v>119</v>
      </c>
      <c r="B38" s="9">
        <f>SUM(B33:B37)</f>
        <v>1615</v>
      </c>
      <c r="C38" s="62">
        <f>B38/Isproforma_old!$B$29</f>
        <v>7.7801329607862027E-2</v>
      </c>
      <c r="D38" s="9">
        <f t="shared" ref="D38:J38" si="2">SUM(D33:D37)</f>
        <v>2331</v>
      </c>
      <c r="E38" s="62">
        <f>D38/Isproforma_old!$D$29</f>
        <v>0.11114819759679573</v>
      </c>
      <c r="F38" s="9">
        <f t="shared" si="2"/>
        <v>2198</v>
      </c>
      <c r="G38" s="62">
        <f>F38/Isproforma_old!$F$29</f>
        <v>0.20792734840601645</v>
      </c>
      <c r="H38" s="9">
        <f t="shared" si="2"/>
        <v>2425</v>
      </c>
      <c r="I38" s="62">
        <f>H38/Isproforma_old!$H$29</f>
        <v>0.17500180414231076</v>
      </c>
      <c r="J38" s="9">
        <f t="shared" si="2"/>
        <v>2298</v>
      </c>
      <c r="K38" s="62">
        <f>J38/Isproforma_old!$J$29</f>
        <v>0.11062436817022096</v>
      </c>
      <c r="M38" s="10"/>
      <c r="N38" s="114"/>
      <c r="O38" s="53"/>
      <c r="P38" s="3"/>
      <c r="Q38" s="9">
        <f>SUM(Q33:Q37)</f>
        <v>2589.5085067494911</v>
      </c>
      <c r="R38" s="9">
        <f>SUM(R33:R37)</f>
        <v>2798.3986940822824</v>
      </c>
      <c r="S38" s="9">
        <f>SUM(S33:S37)</f>
        <v>3025.0143736543523</v>
      </c>
      <c r="T38" s="9">
        <f>SUM(T33:T37)</f>
        <v>3270.9082808269991</v>
      </c>
      <c r="U38" s="9">
        <f>SUM(U33:U37)</f>
        <v>3537.7717389463069</v>
      </c>
    </row>
    <row r="39" spans="1:33" s="2" customFormat="1" ht="17">
      <c r="A39" s="7"/>
      <c r="B39" s="7"/>
      <c r="C39" s="62"/>
      <c r="D39" s="7"/>
      <c r="E39" s="62"/>
      <c r="F39" s="7"/>
      <c r="G39" s="62"/>
      <c r="H39" s="7"/>
      <c r="I39" s="62"/>
      <c r="J39" s="7"/>
      <c r="K39" s="62"/>
      <c r="M39" s="48"/>
      <c r="N39" s="114"/>
      <c r="O39" s="53"/>
      <c r="P39" s="3"/>
      <c r="Q39" s="7"/>
      <c r="R39" s="7"/>
      <c r="S39" s="7"/>
      <c r="T39" s="7"/>
      <c r="U39" s="7"/>
    </row>
    <row r="40" spans="1:33" s="1" customFormat="1" ht="20">
      <c r="A40" s="16" t="s">
        <v>40</v>
      </c>
      <c r="B40" s="16">
        <f>B17+B24+B31+SUM(B33:B37)</f>
        <v>23696</v>
      </c>
      <c r="C40" s="62">
        <f>B40/Isproforma_old!$B$29</f>
        <v>1.1415357934290393</v>
      </c>
      <c r="D40" s="16">
        <f>D17+D24+D31+SUM(D33:D37)</f>
        <v>25051</v>
      </c>
      <c r="E40" s="62">
        <f>D40/Isproforma_old!$D$29</f>
        <v>1.1944974251382796</v>
      </c>
      <c r="F40" s="16">
        <f>F17+F24+F31+SUM(F33:F37)</f>
        <v>24701</v>
      </c>
      <c r="G40" s="62">
        <f>F40/Isproforma_old!$F$29</f>
        <v>2.3366758111815344</v>
      </c>
      <c r="H40" s="16">
        <f>H17+H24+H31+SUM(H33:H37)</f>
        <v>25553</v>
      </c>
      <c r="I40" s="62">
        <f>H40/Isproforma_old!$H$29</f>
        <v>1.8440499386591613</v>
      </c>
      <c r="J40" s="16">
        <f>J17+J24+J31+SUM(J33:J37)</f>
        <v>24815</v>
      </c>
      <c r="K40" s="62">
        <f>J40/Isproforma_old!$J$29</f>
        <v>1.1945795022384826</v>
      </c>
      <c r="M40" s="109"/>
      <c r="N40" s="115"/>
      <c r="O40" s="116"/>
      <c r="P40" s="3"/>
      <c r="Q40" s="16">
        <f ca="1">Q17+Q24+Q31+SUM(Q33:Q37)</f>
        <v>30262.932404648211</v>
      </c>
      <c r="R40" s="16">
        <f ca="1">R17+R24+R31+SUM(R33:R37)</f>
        <v>33008.031740660786</v>
      </c>
      <c r="S40" s="16">
        <f ca="1">S17+S24+S31+SUM(S33:S37)</f>
        <v>35982.94880006725</v>
      </c>
      <c r="T40" s="16">
        <f ca="1">T17+T24+T31+SUM(T33:T37)</f>
        <v>39207.742156483058</v>
      </c>
      <c r="U40" s="16">
        <f ca="1">U17+U24+U31+SUM(U33:U37)</f>
        <v>42704.256944536399</v>
      </c>
      <c r="V40" s="2"/>
      <c r="W40" s="2"/>
      <c r="X40" s="2"/>
      <c r="Y40" s="2"/>
      <c r="Z40" s="2"/>
      <c r="AA40" s="2"/>
      <c r="AB40" s="2"/>
      <c r="AC40" s="2"/>
      <c r="AD40" s="2"/>
      <c r="AE40" s="2"/>
      <c r="AF40" s="2"/>
      <c r="AG40" s="2"/>
    </row>
    <row r="41" spans="1:33" s="1" customFormat="1" ht="20">
      <c r="A41" s="12"/>
      <c r="B41" s="12"/>
      <c r="C41" s="62"/>
      <c r="D41" s="12"/>
      <c r="E41" s="62"/>
      <c r="F41" s="12"/>
      <c r="G41" s="62"/>
      <c r="H41" s="12"/>
      <c r="I41" s="62"/>
      <c r="J41" s="12"/>
      <c r="K41" s="62"/>
      <c r="M41" s="110"/>
      <c r="N41" s="114"/>
      <c r="O41" s="53"/>
      <c r="P41" s="3"/>
      <c r="Q41" s="12"/>
      <c r="R41" s="12"/>
      <c r="S41" s="12"/>
      <c r="T41" s="12"/>
      <c r="U41" s="12"/>
    </row>
    <row r="42" spans="1:33" s="1" customFormat="1" ht="17">
      <c r="A42" s="15" t="s">
        <v>25</v>
      </c>
      <c r="B42" s="15"/>
      <c r="C42" s="62"/>
      <c r="D42" s="15"/>
      <c r="E42" s="62"/>
      <c r="F42" s="15"/>
      <c r="G42" s="62"/>
      <c r="H42" s="15"/>
      <c r="I42" s="62"/>
      <c r="J42" s="15"/>
      <c r="K42" s="62"/>
      <c r="M42" s="55"/>
      <c r="N42" s="115"/>
      <c r="O42" s="116"/>
      <c r="P42" s="3"/>
      <c r="Q42" s="15"/>
      <c r="R42" s="15"/>
      <c r="S42" s="15"/>
      <c r="T42" s="15"/>
      <c r="U42" s="15"/>
    </row>
    <row r="43" spans="1:33" s="1" customFormat="1" ht="17">
      <c r="A43" s="15" t="s">
        <v>100</v>
      </c>
      <c r="B43" s="15"/>
      <c r="C43" s="62"/>
      <c r="D43" s="15"/>
      <c r="E43" s="62"/>
      <c r="F43" s="15"/>
      <c r="G43" s="62"/>
      <c r="H43" s="15"/>
      <c r="I43" s="62"/>
      <c r="J43" s="15"/>
      <c r="K43" s="62"/>
      <c r="M43" s="55"/>
      <c r="N43" s="115"/>
      <c r="O43" s="116"/>
      <c r="P43" s="3"/>
      <c r="Q43" s="15"/>
      <c r="R43" s="15"/>
      <c r="S43" s="15"/>
      <c r="T43" s="15"/>
      <c r="U43" s="15"/>
    </row>
    <row r="44" spans="1:33" s="2" customFormat="1" ht="17">
      <c r="A44" s="6" t="s">
        <v>26</v>
      </c>
      <c r="B44" s="7">
        <v>833</v>
      </c>
      <c r="C44" s="62">
        <f>B44/Isproforma_old!$B$29</f>
        <v>4.0129106850370938E-2</v>
      </c>
      <c r="D44" s="7">
        <v>977</v>
      </c>
      <c r="E44" s="62">
        <f>D44/Isproforma_old!$D$29</f>
        <v>4.658592408926187E-2</v>
      </c>
      <c r="F44" s="7">
        <v>1173</v>
      </c>
      <c r="G44" s="62">
        <f>F44/Isproforma_old!$F$29</f>
        <v>0.11096395799829722</v>
      </c>
      <c r="H44" s="7">
        <v>805</v>
      </c>
      <c r="I44" s="62">
        <f>H44/Isproforma_old!$H$29</f>
        <v>5.8093382406004188E-2</v>
      </c>
      <c r="J44" s="7">
        <v>684</v>
      </c>
      <c r="K44" s="62">
        <f>J44/Isproforma_old!$J$29</f>
        <v>3.2927357627689786E-2</v>
      </c>
      <c r="M44" s="48" t="s">
        <v>168</v>
      </c>
      <c r="N44" s="114">
        <f>AVERAGE(C44,E44,I44,K44)</f>
        <v>4.4433942743331692E-2</v>
      </c>
      <c r="O44" s="53" t="s">
        <v>341</v>
      </c>
      <c r="P44" s="3"/>
      <c r="Q44" s="7">
        <f>$N$44*Isproforma_old!S29</f>
        <v>1152.2573344879563</v>
      </c>
      <c r="R44" s="7">
        <f>$N$44*Isproforma_old!T29</f>
        <v>1245.2075023786608</v>
      </c>
      <c r="S44" s="7">
        <f>$N$44*Isproforma_old!U29</f>
        <v>1346.0450081123888</v>
      </c>
      <c r="T44" s="7">
        <f>$N$44*Isproforma_old!V29</f>
        <v>1455.4607745820038</v>
      </c>
      <c r="U44" s="7">
        <f>$N$44*Isproforma_old!W29</f>
        <v>1574.2073923758101</v>
      </c>
      <c r="V44" s="1"/>
      <c r="W44" s="1"/>
      <c r="X44" s="1"/>
      <c r="Y44" s="1"/>
      <c r="Z44" s="1"/>
      <c r="AA44" s="1"/>
      <c r="AB44" s="1"/>
      <c r="AC44" s="1"/>
      <c r="AD44" s="1"/>
      <c r="AE44" s="1"/>
      <c r="AF44" s="1"/>
      <c r="AG44" s="1"/>
    </row>
    <row r="45" spans="1:33" s="2" customFormat="1" ht="17">
      <c r="A45" s="6" t="s">
        <v>80</v>
      </c>
      <c r="B45" s="7">
        <v>767</v>
      </c>
      <c r="C45" s="62">
        <f>B45/Isproforma_old!$B$29</f>
        <v>3.6949609788997015E-2</v>
      </c>
      <c r="D45" s="7">
        <v>720</v>
      </c>
      <c r="E45" s="62">
        <f>D45/Isproforma_old!$D$29</f>
        <v>3.4331489605187872E-2</v>
      </c>
      <c r="F45" s="7">
        <v>527</v>
      </c>
      <c r="G45" s="62">
        <f>F45/Isproforma_old!$F$29</f>
        <v>4.9853372434017593E-2</v>
      </c>
      <c r="H45" s="7">
        <v>726</v>
      </c>
      <c r="I45" s="62">
        <f>H45/Isproforma_old!$H$29</f>
        <v>5.2392292704048493E-2</v>
      </c>
      <c r="J45" s="7">
        <v>746</v>
      </c>
      <c r="K45" s="62">
        <f>J45/Isproforma_old!$J$29</f>
        <v>3.5912001155345881E-2</v>
      </c>
      <c r="M45" s="48" t="s">
        <v>217</v>
      </c>
      <c r="N45" s="114">
        <f>AVERAGE(K45,I45,G45,E45,C45)</f>
        <v>4.1887753137519371E-2</v>
      </c>
      <c r="O45" s="53" t="s">
        <v>342</v>
      </c>
      <c r="P45" s="3"/>
      <c r="Q45" s="7">
        <f>N45*Isproforma_old!$S$29</f>
        <v>1086.2297558586765</v>
      </c>
      <c r="R45" s="7">
        <f>N45*Isproforma_old!$T$29</f>
        <v>1173.8536183006634</v>
      </c>
      <c r="S45" s="7">
        <f>N45*Isproforma_old!$U$29</f>
        <v>1268.912851994515</v>
      </c>
      <c r="T45" s="7">
        <f>N45*Isproforma_old!$V$29</f>
        <v>1372.058788012527</v>
      </c>
      <c r="U45" s="7">
        <f>N45*Isproforma_old!$W$29</f>
        <v>1484.0008913904405</v>
      </c>
      <c r="W45" s="297"/>
      <c r="X45" s="297"/>
      <c r="Y45" s="297"/>
      <c r="Z45" s="297"/>
      <c r="AA45" s="297"/>
    </row>
    <row r="46" spans="1:33" s="2" customFormat="1" ht="17">
      <c r="A46" s="6" t="s">
        <v>27</v>
      </c>
      <c r="B46" s="7">
        <v>1345</v>
      </c>
      <c r="C46" s="62">
        <f>B46/Isproforma_old!$B$29</f>
        <v>6.4794296174968694E-2</v>
      </c>
      <c r="D46" s="7">
        <v>1339</v>
      </c>
      <c r="E46" s="62">
        <f>D46/Isproforma_old!$D$29</f>
        <v>6.384703414075911E-2</v>
      </c>
      <c r="F46" s="7">
        <v>831</v>
      </c>
      <c r="G46" s="62">
        <f>F46/Isproforma_old!$F$29</f>
        <v>7.8611295052502125E-2</v>
      </c>
      <c r="H46" s="7">
        <v>1187</v>
      </c>
      <c r="I46" s="62">
        <f>H46/Isproforma_old!$H$29</f>
        <v>8.5660676914194989E-2</v>
      </c>
      <c r="J46" s="7">
        <v>1299</v>
      </c>
      <c r="K46" s="62">
        <f>J46/Isproforma_old!$J$29</f>
        <v>6.2533095845568765E-2</v>
      </c>
      <c r="M46" s="48" t="s">
        <v>168</v>
      </c>
      <c r="N46" s="114">
        <f>AVERAGE(C46,E46,K46)</f>
        <v>6.3724808720432194E-2</v>
      </c>
      <c r="O46" s="53" t="s">
        <v>341</v>
      </c>
      <c r="P46" s="3"/>
      <c r="Q46" s="7">
        <f>N46*Isproforma_old!$S$29</f>
        <v>1652.5064782368315</v>
      </c>
      <c r="R46" s="7">
        <f>N46*Isproforma_old!$T$29</f>
        <v>1785.8106890196145</v>
      </c>
      <c r="S46" s="7">
        <f>N46*Isproforma_old!$U$29</f>
        <v>1930.4265022470297</v>
      </c>
      <c r="T46" s="7">
        <f>N46*Isproforma_old!$V$29</f>
        <v>2087.3448029603296</v>
      </c>
      <c r="U46" s="7">
        <f>N46*Isproforma_old!$W$29</f>
        <v>2257.6449167453975</v>
      </c>
    </row>
    <row r="47" spans="1:33" s="2" customFormat="1" ht="17">
      <c r="A47" s="13" t="s">
        <v>131</v>
      </c>
      <c r="B47" s="7">
        <v>2529</v>
      </c>
      <c r="C47" s="62">
        <f>B47/Isproforma_old!$B$29</f>
        <v>0.12183254648810098</v>
      </c>
      <c r="D47" s="7">
        <v>2258</v>
      </c>
      <c r="E47" s="62">
        <f>D47/Isproforma_old!$D$29</f>
        <v>0.10766736601182529</v>
      </c>
      <c r="F47" s="7">
        <v>1769</v>
      </c>
      <c r="G47" s="62">
        <f>F47/Isproforma_old!$F$29</f>
        <v>0.16734462207927348</v>
      </c>
      <c r="H47" s="7">
        <v>2522</v>
      </c>
      <c r="I47" s="62">
        <f>H47/Isproforma_old!$H$29</f>
        <v>0.18200187630800319</v>
      </c>
      <c r="J47" s="7">
        <v>3314</v>
      </c>
      <c r="K47" s="62">
        <f>J47/Isproforma_old!$J$29</f>
        <v>0.15953401049439175</v>
      </c>
      <c r="M47" s="48" t="s">
        <v>168</v>
      </c>
      <c r="N47" s="114">
        <f>AVERAGE(C47,E47,K47)</f>
        <v>0.12967797433143935</v>
      </c>
      <c r="O47" s="53" t="s">
        <v>341</v>
      </c>
      <c r="P47" s="3"/>
      <c r="Q47" s="7">
        <f>N47*Isproforma_old!$S$29</f>
        <v>3362.7985233735781</v>
      </c>
      <c r="R47" s="7">
        <f>N47*Isproforma_old!$T$29</f>
        <v>3634.0683846924376</v>
      </c>
      <c r="S47" s="7">
        <f>N47*Isproforma_old!$U$29</f>
        <v>3928.3569999458564</v>
      </c>
      <c r="T47" s="7">
        <f>N47*Isproforma_old!$V$29</f>
        <v>4247.6807889164138</v>
      </c>
      <c r="U47" s="7">
        <f>N47*Isproforma_old!$W$29</f>
        <v>4594.2361451034667</v>
      </c>
    </row>
    <row r="48" spans="1:33" s="2" customFormat="1" ht="18" thickBot="1">
      <c r="A48" s="13" t="s">
        <v>29</v>
      </c>
      <c r="B48" s="7">
        <v>963</v>
      </c>
      <c r="C48" s="62">
        <f>B48/Isproforma_old!$B$29</f>
        <v>4.6391752577319589E-2</v>
      </c>
      <c r="D48" s="7">
        <v>1383</v>
      </c>
      <c r="E48" s="62">
        <f>D48/Isproforma_old!$D$29</f>
        <v>6.5945069616631699E-2</v>
      </c>
      <c r="F48" s="7">
        <v>1452</v>
      </c>
      <c r="G48" s="62">
        <f>F48/Isproforma_old!$F$29</f>
        <v>0.13735691987513007</v>
      </c>
      <c r="H48" s="7">
        <v>1167</v>
      </c>
      <c r="I48" s="62">
        <f>H48/Isproforma_old!$H$29</f>
        <v>8.4217363065598613E-2</v>
      </c>
      <c r="J48" s="7">
        <v>1296</v>
      </c>
      <c r="K48" s="62">
        <f>J48/Isproforma_old!$J$29</f>
        <v>6.23886776103596E-2</v>
      </c>
      <c r="M48" s="48" t="s">
        <v>168</v>
      </c>
      <c r="N48" s="114">
        <f>AVERAGE(C48,E48,K48)</f>
        <v>5.8241833268103636E-2</v>
      </c>
      <c r="O48" s="53" t="s">
        <v>341</v>
      </c>
      <c r="P48" s="3"/>
      <c r="Q48" s="7">
        <f>N48*Isproforma_old!$S$29</f>
        <v>1510.3224115143005</v>
      </c>
      <c r="R48" s="7">
        <f>N48*Isproforma_old!$T$29</f>
        <v>1632.1569336453592</v>
      </c>
      <c r="S48" s="7">
        <f>N48*Isproforma_old!$U$29</f>
        <v>1764.3297914545306</v>
      </c>
      <c r="T48" s="7">
        <f>N48*Isproforma_old!$V$29</f>
        <v>1907.7466127894193</v>
      </c>
      <c r="U48" s="7">
        <f>N48*Isproforma_old!$W$29</f>
        <v>2063.3938564888545</v>
      </c>
    </row>
    <row r="49" spans="1:33" s="2" customFormat="1" ht="18" thickBot="1">
      <c r="A49" s="177" t="s">
        <v>276</v>
      </c>
      <c r="B49" s="7">
        <v>0</v>
      </c>
      <c r="C49" s="62">
        <f>B49/Isproforma_old!$B$29</f>
        <v>0</v>
      </c>
      <c r="D49" s="7">
        <v>0</v>
      </c>
      <c r="E49" s="62">
        <f>D49/Isproforma_old!$D$29</f>
        <v>0</v>
      </c>
      <c r="F49" s="7">
        <v>0</v>
      </c>
      <c r="G49" s="62">
        <f>F49/Isproforma_old!$F$29</f>
        <v>0</v>
      </c>
      <c r="H49" s="7">
        <v>0</v>
      </c>
      <c r="I49" s="62">
        <f>H49/Isproforma_old!$H$29</f>
        <v>0</v>
      </c>
      <c r="J49" s="7">
        <v>0</v>
      </c>
      <c r="K49" s="62">
        <f>J49/Isproforma_old!$J$29</f>
        <v>0</v>
      </c>
      <c r="M49" s="48"/>
      <c r="N49" s="114"/>
      <c r="O49" s="53"/>
      <c r="P49" s="3"/>
      <c r="Q49" s="174">
        <f ca="1">IF(Q73&gt;-Q74,Q73+Q74,0)</f>
        <v>0</v>
      </c>
      <c r="R49" s="175">
        <f ca="1">IF(R73&gt;-R74,R73+R74,0)</f>
        <v>0</v>
      </c>
      <c r="S49" s="175">
        <f ca="1">IF(S73&gt;-S74,S73+S74,0)</f>
        <v>0</v>
      </c>
      <c r="T49" s="175">
        <f ca="1">IF(T73&gt;-T74,T73+T74,0)</f>
        <v>0</v>
      </c>
      <c r="U49" s="176">
        <f ca="1">IF(U73&gt;-U74,U73+U74,0)</f>
        <v>0</v>
      </c>
    </row>
    <row r="50" spans="1:33" s="2" customFormat="1" ht="20">
      <c r="A50" s="14" t="s">
        <v>74</v>
      </c>
      <c r="B50" s="9">
        <f>SUM(B44:B49)</f>
        <v>6437</v>
      </c>
      <c r="C50" s="62">
        <f>B50/Isproforma_old!$B$29</f>
        <v>0.3100973118797572</v>
      </c>
      <c r="D50" s="9">
        <f>SUM(D44:D49)</f>
        <v>6677</v>
      </c>
      <c r="E50" s="62">
        <f>D50/Isproforma_old!$D$29</f>
        <v>0.31837688346366583</v>
      </c>
      <c r="F50" s="9">
        <f>SUM(F44:F49)</f>
        <v>5752</v>
      </c>
      <c r="G50" s="62">
        <f>F50/Isproforma_old!$F$29</f>
        <v>0.54413016743922049</v>
      </c>
      <c r="H50" s="9">
        <f>SUM(H44:H49)</f>
        <v>6407</v>
      </c>
      <c r="I50" s="62">
        <f>H50/Isproforma_old!$H$29</f>
        <v>0.46236559139784944</v>
      </c>
      <c r="J50" s="9">
        <f>SUM(J44:J49)</f>
        <v>7339</v>
      </c>
      <c r="K50" s="62">
        <f>J50/Isproforma_old!$J$29</f>
        <v>0.35329514273335577</v>
      </c>
      <c r="M50" s="10"/>
      <c r="N50" s="114"/>
      <c r="O50" s="53"/>
      <c r="P50" s="3"/>
      <c r="Q50" s="9">
        <f ca="1">SUM(Q44:Q49)</f>
        <v>8764.1145034713427</v>
      </c>
      <c r="R50" s="9">
        <f ca="1">SUM(R44:R49)</f>
        <v>9471.0971280367357</v>
      </c>
      <c r="S50" s="9">
        <f ca="1">SUM(S44:S49)</f>
        <v>10238.071153754321</v>
      </c>
      <c r="T50" s="9">
        <f ca="1">SUM(T44:T49)</f>
        <v>11070.291767260693</v>
      </c>
      <c r="U50" s="9">
        <f ca="1">SUM(U44:U49)</f>
        <v>11973.483202103969</v>
      </c>
      <c r="V50" s="294"/>
    </row>
    <row r="51" spans="1:33" s="2" customFormat="1" ht="17">
      <c r="A51" s="7"/>
      <c r="B51" s="7"/>
      <c r="C51" s="62"/>
      <c r="D51" s="7"/>
      <c r="E51" s="62"/>
      <c r="F51" s="7"/>
      <c r="G51" s="62"/>
      <c r="H51" s="7"/>
      <c r="I51" s="62"/>
      <c r="J51" s="7"/>
      <c r="K51" s="62"/>
      <c r="M51" s="48"/>
      <c r="N51" s="114"/>
      <c r="O51" s="53"/>
      <c r="P51" s="3"/>
      <c r="Q51" s="7"/>
      <c r="R51" s="7"/>
      <c r="S51" s="7"/>
      <c r="T51" s="7"/>
      <c r="U51" s="7"/>
    </row>
    <row r="52" spans="1:33" s="2" customFormat="1" ht="17">
      <c r="A52" s="6" t="s">
        <v>30</v>
      </c>
      <c r="B52" s="7">
        <v>8514</v>
      </c>
      <c r="C52" s="62">
        <f>B52/Isproforma_old!$B$29</f>
        <v>0.41015512091723672</v>
      </c>
      <c r="D52" s="7">
        <v>9963</v>
      </c>
      <c r="E52" s="62">
        <f>D52/Isproforma_old!$D$29</f>
        <v>0.47506198741178712</v>
      </c>
      <c r="F52" s="7">
        <v>9203</v>
      </c>
      <c r="G52" s="62">
        <f>F52/Isproforma_old!$F$29</f>
        <v>0.87058934821681955</v>
      </c>
      <c r="H52" s="7">
        <v>9333</v>
      </c>
      <c r="I52" s="62">
        <f>H52/Isproforma_old!$H$29</f>
        <v>0.67352240744749947</v>
      </c>
      <c r="J52" s="7">
        <v>9380</v>
      </c>
      <c r="K52" s="62">
        <f>J52/Isproforma_old!$J$29</f>
        <v>0.45154768208732488</v>
      </c>
      <c r="M52" s="48" t="s">
        <v>168</v>
      </c>
      <c r="N52" s="114">
        <f t="shared" ref="N52:N57" si="3">AVERAGE(C52,E52,K52)</f>
        <v>0.44558826347211627</v>
      </c>
      <c r="O52" s="53" t="s">
        <v>341</v>
      </c>
      <c r="P52" s="3"/>
      <c r="Q52" s="7">
        <f>N52*Isproforma_old!$S$29</f>
        <v>11554.958057926335</v>
      </c>
      <c r="R52" s="7">
        <f>N52*Isproforma_old!$T$29</f>
        <v>12487.07214330257</v>
      </c>
      <c r="S52" s="7">
        <f>N52*Isproforma_old!$U$29</f>
        <v>13498.281284303106</v>
      </c>
      <c r="T52" s="7">
        <f>N52*Isproforma_old!$V$29</f>
        <v>14595.514128556681</v>
      </c>
      <c r="U52" s="7">
        <f>N52*Isproforma_old!$W$29</f>
        <v>15786.31773384489</v>
      </c>
    </row>
    <row r="53" spans="1:33" s="2" customFormat="1" ht="17">
      <c r="A53" s="13" t="s">
        <v>132</v>
      </c>
      <c r="B53" s="7">
        <v>2932</v>
      </c>
      <c r="C53" s="62">
        <f>B53/Isproforma_old!$B$29</f>
        <v>0.14124674824164177</v>
      </c>
      <c r="D53" s="7">
        <v>3460</v>
      </c>
      <c r="E53" s="62">
        <f>D53/Isproforma_old!$D$29</f>
        <v>0.16498188060270838</v>
      </c>
      <c r="F53" s="7">
        <v>4502</v>
      </c>
      <c r="G53" s="62">
        <f>F53/Isproforma_old!$F$29</f>
        <v>0.42588213035663608</v>
      </c>
      <c r="H53" s="7">
        <v>3949</v>
      </c>
      <c r="I53" s="62">
        <f>H53/Isproforma_old!$H$29</f>
        <v>0.28498231940535468</v>
      </c>
      <c r="J53" s="7">
        <v>3280</v>
      </c>
      <c r="K53" s="62">
        <f>J53/Isproforma_old!$J$29</f>
        <v>0.15789727049535454</v>
      </c>
      <c r="M53" s="48" t="s">
        <v>168</v>
      </c>
      <c r="N53" s="114">
        <f t="shared" si="3"/>
        <v>0.15470863311323491</v>
      </c>
      <c r="O53" s="53" t="s">
        <v>341</v>
      </c>
      <c r="P53" s="3"/>
      <c r="Q53" s="7">
        <f>N53*Isproforma_old!$S$29</f>
        <v>4011.8915002221756</v>
      </c>
      <c r="R53" s="7">
        <f>N53*Isproforma_old!$T$29</f>
        <v>4335.5223223862668</v>
      </c>
      <c r="S53" s="7">
        <f>N53*Isproforma_old!$U$29</f>
        <v>4686.6150167421874</v>
      </c>
      <c r="T53" s="7">
        <f>N53*Isproforma_old!$V$29</f>
        <v>5067.5752157803745</v>
      </c>
      <c r="U53" s="7">
        <f>N53*Isproforma_old!$W$29</f>
        <v>5481.0232645348706</v>
      </c>
      <c r="W53" s="294"/>
    </row>
    <row r="54" spans="1:33" s="2" customFormat="1" ht="17">
      <c r="A54" s="6" t="s">
        <v>81</v>
      </c>
      <c r="B54" s="7">
        <v>485</v>
      </c>
      <c r="C54" s="62">
        <f>B54/Isproforma_old!$B$29</f>
        <v>2.336448598130841E-2</v>
      </c>
      <c r="D54" s="7">
        <v>290</v>
      </c>
      <c r="E54" s="62">
        <f>D54/Isproforma_old!$D$29</f>
        <v>1.3827961090978447E-2</v>
      </c>
      <c r="F54" s="7">
        <v>83</v>
      </c>
      <c r="G54" s="62">
        <f>F54/Isproforma_old!$F$29</f>
        <v>7.8516696622836068E-3</v>
      </c>
      <c r="H54" s="7">
        <v>169</v>
      </c>
      <c r="I54" s="62">
        <f>H54/Isproforma_old!$H$29</f>
        <v>1.2196002020639389E-2</v>
      </c>
      <c r="J54" s="7">
        <v>313</v>
      </c>
      <c r="K54" s="62">
        <f>J54/Isproforma_old!$J$29</f>
        <v>1.5067635873489625E-2</v>
      </c>
      <c r="M54" s="48" t="s">
        <v>168</v>
      </c>
      <c r="N54" s="114">
        <f t="shared" si="3"/>
        <v>1.742002764859216E-2</v>
      </c>
      <c r="O54" s="53" t="s">
        <v>341</v>
      </c>
      <c r="P54" s="3"/>
      <c r="Q54" s="7">
        <f>N54*Isproforma_old!$S$29</f>
        <v>451.7347186816009</v>
      </c>
      <c r="R54" s="7">
        <f>N54*Isproforma_old!$T$29</f>
        <v>488.17520526975881</v>
      </c>
      <c r="S54" s="7">
        <f>N54*Isproforma_old!$U$29</f>
        <v>527.70786947746592</v>
      </c>
      <c r="T54" s="7">
        <f>N54*Isproforma_old!$V$29</f>
        <v>570.60358296619597</v>
      </c>
      <c r="U54" s="7">
        <f>N54*Isproforma_old!$W$29</f>
        <v>617.15739380161517</v>
      </c>
    </row>
    <row r="55" spans="1:33" s="2" customFormat="1" ht="17">
      <c r="A55" s="6" t="s">
        <v>31</v>
      </c>
      <c r="B55" s="7">
        <v>731</v>
      </c>
      <c r="C55" s="62">
        <f>B55/Isproforma_old!$B$29</f>
        <v>3.5215338664611233E-2</v>
      </c>
      <c r="D55" s="7">
        <v>840</v>
      </c>
      <c r="E55" s="62">
        <f>D55/Isproforma_old!$D$29</f>
        <v>4.0053404539385849E-2</v>
      </c>
      <c r="F55" s="7">
        <v>1542</v>
      </c>
      <c r="G55" s="62">
        <f>F55/Isproforma_old!$F$29</f>
        <v>0.14587077854507616</v>
      </c>
      <c r="H55" s="7">
        <v>1181</v>
      </c>
      <c r="I55" s="62">
        <f>H55/Isproforma_old!$H$29</f>
        <v>8.5227682759616077E-2</v>
      </c>
      <c r="J55" s="7">
        <v>1059</v>
      </c>
      <c r="K55" s="62">
        <f>J55/Isproforma_old!$J$29</f>
        <v>5.0979637028835505E-2</v>
      </c>
      <c r="M55" s="48" t="s">
        <v>168</v>
      </c>
      <c r="N55" s="114">
        <f t="shared" si="3"/>
        <v>4.2082793410944196E-2</v>
      </c>
      <c r="O55" s="53" t="s">
        <v>341</v>
      </c>
      <c r="P55" s="3"/>
      <c r="Q55" s="7">
        <f>N55*Isproforma_old!$S$29</f>
        <v>1091.2875241254374</v>
      </c>
      <c r="R55" s="7">
        <f>N55*Isproforma_old!$T$29</f>
        <v>1179.3193860615272</v>
      </c>
      <c r="S55" s="7">
        <f>N55*Isproforma_old!$U$29</f>
        <v>1274.8212402719375</v>
      </c>
      <c r="T55" s="7">
        <f>N55*Isproforma_old!$V$29</f>
        <v>1378.4474505958442</v>
      </c>
      <c r="U55" s="7">
        <f>N55*Isproforma_old!$W$29</f>
        <v>1490.9107855227237</v>
      </c>
    </row>
    <row r="56" spans="1:33" s="2" customFormat="1" ht="17">
      <c r="A56" s="6" t="s">
        <v>32</v>
      </c>
      <c r="B56" s="7">
        <v>0</v>
      </c>
      <c r="C56" s="62">
        <f>B56/Isproforma_old!$B$29</f>
        <v>0</v>
      </c>
      <c r="D56" s="7">
        <v>882</v>
      </c>
      <c r="E56" s="62">
        <f>D56/Isproforma_old!$D$29</f>
        <v>4.2056074766355138E-2</v>
      </c>
      <c r="F56" s="7">
        <v>823</v>
      </c>
      <c r="G56" s="62">
        <f>F56/Isproforma_old!$F$29</f>
        <v>7.7854507615173582E-2</v>
      </c>
      <c r="H56" s="7">
        <v>1098</v>
      </c>
      <c r="I56" s="62">
        <f>H56/Isproforma_old!$H$29</f>
        <v>7.9237930287941113E-2</v>
      </c>
      <c r="J56" s="7">
        <v>1034</v>
      </c>
      <c r="K56" s="62">
        <f>J56/Isproforma_old!$J$29</f>
        <v>4.9776151735425794E-2</v>
      </c>
      <c r="M56" s="48" t="s">
        <v>168</v>
      </c>
      <c r="N56" s="114">
        <f t="shared" si="3"/>
        <v>3.0610742167260313E-2</v>
      </c>
      <c r="O56" s="53" t="s">
        <v>341</v>
      </c>
      <c r="P56" s="3"/>
      <c r="Q56" s="7">
        <f>N56*Isproforma_old!$S$29</f>
        <v>793.79523847540463</v>
      </c>
      <c r="R56" s="7">
        <f>N56*Isproforma_old!$T$29</f>
        <v>857.82902544185401</v>
      </c>
      <c r="S56" s="7">
        <f>N56*Isproforma_old!$U$29</f>
        <v>927.29643477428419</v>
      </c>
      <c r="T56" s="7">
        <f>N56*Isproforma_old!$V$29</f>
        <v>1002.6734463481037</v>
      </c>
      <c r="U56" s="7">
        <f>N56*Isproforma_old!$W$29</f>
        <v>1084.4785231903093</v>
      </c>
    </row>
    <row r="57" spans="1:33" s="2" customFormat="1" ht="17">
      <c r="A57" s="6" t="s">
        <v>82</v>
      </c>
      <c r="B57" s="7">
        <v>2372</v>
      </c>
      <c r="C57" s="62">
        <f>B57/Isproforma_old!$B$29</f>
        <v>0.114269197417863</v>
      </c>
      <c r="D57" s="7">
        <v>2236</v>
      </c>
      <c r="E57" s="62">
        <f>D57/Isproforma_old!$D$29</f>
        <v>0.106618348273889</v>
      </c>
      <c r="F57" s="7">
        <v>2366</v>
      </c>
      <c r="G57" s="62">
        <f>F57/Isproforma_old!$F$29</f>
        <v>0.22381988458991581</v>
      </c>
      <c r="H57" s="7">
        <v>2002</v>
      </c>
      <c r="I57" s="62">
        <f>H57/Isproforma_old!$H$29</f>
        <v>0.14447571624449737</v>
      </c>
      <c r="J57" s="7">
        <v>1842</v>
      </c>
      <c r="K57" s="62">
        <f>J57/Isproforma_old!$J$29</f>
        <v>8.8672796418427763E-2</v>
      </c>
      <c r="M57" s="48" t="s">
        <v>168</v>
      </c>
      <c r="N57" s="114">
        <f t="shared" si="3"/>
        <v>0.10318678070339327</v>
      </c>
      <c r="O57" s="53" t="s">
        <v>341</v>
      </c>
      <c r="P57" s="3"/>
      <c r="Q57" s="7">
        <f>N57*Isproforma_old!$S$29</f>
        <v>2675.8310774825059</v>
      </c>
      <c r="R57" s="7">
        <f>N57*Isproforma_old!$T$29</f>
        <v>2891.6847244542473</v>
      </c>
      <c r="S57" s="7">
        <f>N57*Isproforma_old!$U$29</f>
        <v>3125.854751879619</v>
      </c>
      <c r="T57" s="7">
        <f>N57*Isproforma_old!$V$29</f>
        <v>3379.945656335497</v>
      </c>
      <c r="U57" s="7">
        <f>N57*Isproforma_old!$W$29</f>
        <v>3655.7051422838372</v>
      </c>
    </row>
    <row r="58" spans="1:33" s="2" customFormat="1" ht="20">
      <c r="A58" s="10" t="s">
        <v>128</v>
      </c>
      <c r="B58" s="9">
        <f>SUM(B52:B57)</f>
        <v>15034</v>
      </c>
      <c r="C58" s="62">
        <f>B58/Isproforma_old!$B$29</f>
        <v>0.72425089122266118</v>
      </c>
      <c r="D58" s="9">
        <f t="shared" ref="D58:J58" si="4">SUM(D52:D57)</f>
        <v>17671</v>
      </c>
      <c r="E58" s="62">
        <f>D58/Isproforma_old!$D$29</f>
        <v>0.84259965668510395</v>
      </c>
      <c r="F58" s="9">
        <f t="shared" si="4"/>
        <v>18519</v>
      </c>
      <c r="G58" s="62">
        <f>F58/Isproforma_old!$F$29</f>
        <v>1.7518683189859048</v>
      </c>
      <c r="H58" s="9">
        <f t="shared" si="4"/>
        <v>17732</v>
      </c>
      <c r="I58" s="62">
        <f>H58/Isproforma_old!$H$29</f>
        <v>1.2796420581655481</v>
      </c>
      <c r="J58" s="9">
        <f t="shared" si="4"/>
        <v>16908</v>
      </c>
      <c r="K58" s="62">
        <f>J58/Isproforma_old!$J$29</f>
        <v>0.8139411736388581</v>
      </c>
      <c r="M58" s="10"/>
      <c r="N58" s="112"/>
      <c r="O58" s="53"/>
      <c r="P58" s="3"/>
      <c r="Q58" s="9">
        <f>SUM(Q52:Q57)</f>
        <v>20579.498116913463</v>
      </c>
      <c r="R58" s="9">
        <f>SUM(R52:R57)</f>
        <v>22239.602806916228</v>
      </c>
      <c r="S58" s="9">
        <f>SUM(S52:S57)</f>
        <v>24040.576597448598</v>
      </c>
      <c r="T58" s="9">
        <f>SUM(T52:T57)</f>
        <v>25994.759480582696</v>
      </c>
      <c r="U58" s="9">
        <f>SUM(U52:U57)</f>
        <v>28115.592843178245</v>
      </c>
    </row>
    <row r="59" spans="1:33" s="108" customFormat="1" ht="17">
      <c r="A59" s="107"/>
      <c r="B59" s="107"/>
      <c r="C59" s="62"/>
      <c r="D59" s="107"/>
      <c r="E59" s="62"/>
      <c r="F59" s="107"/>
      <c r="G59" s="62"/>
      <c r="H59" s="107"/>
      <c r="I59" s="62"/>
      <c r="J59" s="107"/>
      <c r="K59" s="62"/>
      <c r="M59" s="111"/>
      <c r="N59" s="112"/>
      <c r="O59" s="53"/>
      <c r="P59" s="3"/>
      <c r="Q59" s="107"/>
      <c r="R59" s="107"/>
      <c r="S59" s="107"/>
      <c r="T59" s="107"/>
      <c r="U59" s="107"/>
      <c r="V59" s="2"/>
      <c r="W59" s="2"/>
      <c r="X59" s="2"/>
      <c r="Y59" s="2"/>
      <c r="Z59" s="2"/>
      <c r="AA59" s="2"/>
      <c r="AB59" s="2"/>
      <c r="AC59" s="2"/>
      <c r="AD59" s="2"/>
      <c r="AE59" s="2"/>
      <c r="AF59" s="2"/>
      <c r="AG59" s="2"/>
    </row>
    <row r="60" spans="1:33" s="2" customFormat="1" ht="17">
      <c r="A60" s="15" t="s">
        <v>98</v>
      </c>
      <c r="B60" s="15"/>
      <c r="C60" s="62"/>
      <c r="D60" s="15"/>
      <c r="E60" s="62"/>
      <c r="F60" s="15"/>
      <c r="G60" s="62"/>
      <c r="H60" s="15"/>
      <c r="I60" s="62"/>
      <c r="J60" s="15"/>
      <c r="K60" s="62"/>
      <c r="M60" s="55"/>
      <c r="N60" s="113"/>
      <c r="O60" s="116"/>
      <c r="P60" s="3"/>
      <c r="Q60" s="15"/>
      <c r="R60" s="15"/>
      <c r="S60" s="15"/>
      <c r="T60" s="15"/>
      <c r="U60" s="15"/>
      <c r="V60" s="108"/>
      <c r="W60" s="108"/>
      <c r="X60" s="108"/>
      <c r="Y60" s="108"/>
      <c r="Z60" s="108"/>
      <c r="AA60" s="108"/>
      <c r="AB60" s="108"/>
      <c r="AC60" s="108"/>
      <c r="AD60" s="108"/>
      <c r="AE60" s="108"/>
      <c r="AF60" s="108"/>
      <c r="AG60" s="108"/>
    </row>
    <row r="61" spans="1:33" s="2" customFormat="1" ht="17">
      <c r="A61" s="6" t="s">
        <v>123</v>
      </c>
      <c r="B61" s="7">
        <v>3582</v>
      </c>
      <c r="C61" s="62">
        <f>B61/Isproforma_old!$B$29</f>
        <v>0.172559976876385</v>
      </c>
      <c r="D61" s="7">
        <f>B68</f>
        <v>2225</v>
      </c>
      <c r="E61" s="62">
        <f>D61/Isproforma_old!$D$29</f>
        <v>0.10609383940492084</v>
      </c>
      <c r="F61" s="7">
        <f>D68</f>
        <v>703</v>
      </c>
      <c r="G61" s="62">
        <f>F61/Isproforma_old!$F$29</f>
        <v>6.6502696055245489E-2</v>
      </c>
      <c r="H61" s="7">
        <f>F68</f>
        <v>430</v>
      </c>
      <c r="I61" s="62">
        <f>H61/Isproforma_old!$H$29</f>
        <v>3.1031247744822112E-2</v>
      </c>
      <c r="J61" s="7">
        <f>H68</f>
        <v>1414</v>
      </c>
      <c r="K61" s="62">
        <f>J61/Isproforma_old!$J$29</f>
        <v>6.8069128195253459E-2</v>
      </c>
      <c r="M61" s="48"/>
      <c r="N61" s="112"/>
      <c r="O61" s="53"/>
      <c r="P61" s="3"/>
      <c r="Q61" s="7">
        <f>J68</f>
        <v>568</v>
      </c>
      <c r="R61" s="7">
        <f>Q68</f>
        <v>919.31978426340254</v>
      </c>
      <c r="S61" s="7">
        <f>R68</f>
        <v>1297.3318057078234</v>
      </c>
      <c r="T61" s="7">
        <f>S68</f>
        <v>1704.3010488643317</v>
      </c>
      <c r="U61" s="7">
        <f>T68</f>
        <v>2142.6909086396709</v>
      </c>
    </row>
    <row r="62" spans="1:33" s="2" customFormat="1" ht="17">
      <c r="A62" s="6" t="s">
        <v>124</v>
      </c>
      <c r="B62" s="7">
        <v>372</v>
      </c>
      <c r="C62" s="62">
        <f>B62/Isproforma_old!$B$29</f>
        <v>1.7920801618653049E-2</v>
      </c>
      <c r="D62" s="7">
        <v>1</v>
      </c>
      <c r="E62" s="62">
        <f>D62/Isproforma_old!$D$29</f>
        <v>4.7682624451649821E-5</v>
      </c>
      <c r="F62" s="7">
        <v>-15</v>
      </c>
      <c r="G62" s="62">
        <f>F62/Isproforma_old!$F$29</f>
        <v>-1.4189764449910132E-3</v>
      </c>
      <c r="H62" s="7">
        <v>0</v>
      </c>
      <c r="I62" s="62">
        <f>H62/Isproforma_old!$H$29</f>
        <v>0</v>
      </c>
      <c r="J62" s="7">
        <v>0</v>
      </c>
      <c r="K62" s="62">
        <f>J62/Isproforma_old!$J$29</f>
        <v>0</v>
      </c>
      <c r="M62" s="48" t="s">
        <v>215</v>
      </c>
      <c r="N62" s="112">
        <v>0</v>
      </c>
      <c r="O62" s="53" t="s">
        <v>344</v>
      </c>
      <c r="P62" s="27"/>
      <c r="Q62" s="7">
        <f>N62*Isproforma_old!$S$29</f>
        <v>0</v>
      </c>
      <c r="R62" s="7">
        <f>N62*Isproforma_old!$T$29</f>
        <v>0</v>
      </c>
      <c r="S62" s="7">
        <f>N62*Isproforma_old!$U$29</f>
        <v>0</v>
      </c>
      <c r="T62" s="7">
        <f>N62*Isproforma_old!$V$29</f>
        <v>0</v>
      </c>
      <c r="U62" s="7">
        <f>N62*Isproforma_old!$U$29</f>
        <v>0</v>
      </c>
    </row>
    <row r="63" spans="1:33" s="2" customFormat="1" ht="17">
      <c r="A63" s="6" t="s">
        <v>108</v>
      </c>
      <c r="B63" s="7">
        <f>Isproforma_old!B46</f>
        <v>1907</v>
      </c>
      <c r="C63" s="62">
        <f>B63/Isproforma_old!$B$29</f>
        <v>9.1868195394546687E-2</v>
      </c>
      <c r="D63" s="7">
        <f>Isproforma_old!D46</f>
        <v>1273</v>
      </c>
      <c r="E63" s="62">
        <f>D63/Isproforma_old!$D$29</f>
        <v>6.0699980926950219E-2</v>
      </c>
      <c r="F63" s="7">
        <f>Isproforma_old!F46</f>
        <v>-267</v>
      </c>
      <c r="G63" s="62">
        <f>F63/Isproforma_old!$F$29</f>
        <v>-2.5257780720840034E-2</v>
      </c>
      <c r="H63" s="7">
        <f>Isproforma_old!H46</f>
        <v>1099</v>
      </c>
      <c r="I63" s="62">
        <f>H63/Isproforma_old!$H$29</f>
        <v>7.9310095980370934E-2</v>
      </c>
      <c r="J63" s="7">
        <f>Isproforma_old!J46</f>
        <v>2358</v>
      </c>
      <c r="K63" s="62">
        <f>J63/Isproforma_old!$J$29</f>
        <v>0.11351273287440428</v>
      </c>
      <c r="M63" s="48"/>
      <c r="N63" s="112"/>
      <c r="O63" s="53"/>
      <c r="P63" s="27"/>
      <c r="Q63" s="7">
        <f>Isproforma_old!S46</f>
        <v>1548.4109564213866</v>
      </c>
      <c r="R63" s="7">
        <f>Isproforma_old!T46</f>
        <v>1671.6700125777959</v>
      </c>
      <c r="S63" s="7">
        <f>Isproforma_old!U46</f>
        <v>1805.3882840339656</v>
      </c>
      <c r="T63" s="7">
        <f>Isproforma_old!V46</f>
        <v>1950.4819875712496</v>
      </c>
      <c r="U63" s="7">
        <f>Isproforma_old!W46</f>
        <v>2107.9491160678986</v>
      </c>
    </row>
    <row r="64" spans="1:33" s="2" customFormat="1" ht="17">
      <c r="A64" s="6" t="s">
        <v>120</v>
      </c>
      <c r="B64" s="7">
        <v>-370</v>
      </c>
      <c r="C64" s="62">
        <f>B64/Isproforma_old!$B$29</f>
        <v>-1.782445322285384E-2</v>
      </c>
      <c r="D64" s="7">
        <v>30</v>
      </c>
      <c r="E64" s="62">
        <f>D64/Isproforma_old!$D$29</f>
        <v>1.4304787335494946E-3</v>
      </c>
      <c r="F64" s="7">
        <v>226</v>
      </c>
      <c r="G64" s="62">
        <f>F64/Isproforma_old!$F$29</f>
        <v>2.1379245104531264E-2</v>
      </c>
      <c r="H64" s="7">
        <v>-207</v>
      </c>
      <c r="I64" s="62">
        <f>H64/Isproforma_old!$H$29</f>
        <v>-1.4938298332972505E-2</v>
      </c>
      <c r="J64" s="7">
        <v>-387</v>
      </c>
      <c r="K64" s="62">
        <f>J64/Isproforma_old!$J$29</f>
        <v>-1.8629952341982382E-2</v>
      </c>
      <c r="M64" s="48" t="s">
        <v>168</v>
      </c>
      <c r="N64" s="114">
        <f>AVERAGE(K64,I64,G64,E64,C64)</f>
        <v>-5.716596011945593E-3</v>
      </c>
      <c r="O64" s="53" t="s">
        <v>342</v>
      </c>
      <c r="P64" s="27"/>
      <c r="Q64" s="7">
        <f>N64*Isproforma_old!$S$29</f>
        <v>-148.24229578540914</v>
      </c>
      <c r="R64" s="7">
        <f>N64*Isproforma_old!$T$29</f>
        <v>-160.20068899266997</v>
      </c>
      <c r="S64" s="7">
        <f>N64*Isproforma_old!$U$29</f>
        <v>-173.17381826147607</v>
      </c>
      <c r="T64" s="7">
        <f>N64*Isproforma_old!$V$29</f>
        <v>-187.2505734541725</v>
      </c>
      <c r="U64" s="7">
        <f>N64*Isproforma_old!$W$29</f>
        <v>-202.52777821705558</v>
      </c>
    </row>
    <row r="65" spans="1:33" s="2" customFormat="1" ht="17">
      <c r="A65" s="6" t="s">
        <v>125</v>
      </c>
      <c r="B65" s="7">
        <v>-543</v>
      </c>
      <c r="C65" s="62">
        <f>B65/Isproforma_old!$B$29</f>
        <v>-2.6158589459485501E-2</v>
      </c>
      <c r="D65" s="7">
        <v>-612</v>
      </c>
      <c r="E65" s="62">
        <f>D65/Isproforma_old!$D$29</f>
        <v>-2.9181766164409689E-2</v>
      </c>
      <c r="F65" s="7">
        <v>-156</v>
      </c>
      <c r="G65" s="62">
        <f>F65/Isproforma_old!$F$29</f>
        <v>-1.4757355027906536E-2</v>
      </c>
      <c r="H65" s="7">
        <v>0</v>
      </c>
      <c r="I65" s="62">
        <f>H65/Isproforma_old!$H$29</f>
        <v>0</v>
      </c>
      <c r="J65" s="7">
        <v>-321</v>
      </c>
      <c r="K65" s="62">
        <f>J65/Isproforma_old!$J$29</f>
        <v>-1.5452751167380735E-2</v>
      </c>
      <c r="M65" s="48" t="s">
        <v>218</v>
      </c>
      <c r="N65" s="112">
        <f>K65</f>
        <v>-1.5452751167380735E-2</v>
      </c>
      <c r="O65" s="53" t="s">
        <v>340</v>
      </c>
      <c r="P65" s="27"/>
      <c r="Q65" s="7">
        <f>N65*Isproforma_old!$S$29</f>
        <v>-400.71946740094097</v>
      </c>
      <c r="R65" s="7">
        <f>N65*Isproforma_old!$T$29</f>
        <v>-433.04466131132995</v>
      </c>
      <c r="S65" s="7">
        <f>N65*Isproforma_old!$U$29</f>
        <v>-468.11282740776471</v>
      </c>
      <c r="T65" s="7">
        <f>N65*Isproforma_old!$V$29</f>
        <v>-506.16424730560709</v>
      </c>
      <c r="U65" s="7">
        <f>N65*Isproforma_old!$W$29</f>
        <v>-547.46064873762111</v>
      </c>
    </row>
    <row r="66" spans="1:33" s="2" customFormat="1" ht="17">
      <c r="A66" s="6" t="s">
        <v>121</v>
      </c>
      <c r="B66" s="7">
        <v>86</v>
      </c>
      <c r="C66" s="62">
        <f>B66/Isproforma_old!$B$29</f>
        <v>4.1429810193660275E-3</v>
      </c>
      <c r="D66" s="7">
        <v>46</v>
      </c>
      <c r="E66" s="62">
        <f>D66/Isproforma_old!$D$29</f>
        <v>2.1934007247758915E-3</v>
      </c>
      <c r="F66" s="7">
        <v>89</v>
      </c>
      <c r="G66" s="62">
        <f>F66/Isproforma_old!$F$29</f>
        <v>8.4192602402800108E-3</v>
      </c>
      <c r="H66" s="7">
        <v>92</v>
      </c>
      <c r="I66" s="62">
        <f>H66/Isproforma_old!$H$29</f>
        <v>6.6392437035433351E-3</v>
      </c>
      <c r="J66" s="7">
        <v>104</v>
      </c>
      <c r="K66" s="62">
        <f>J66/Isproforma_old!$J$29</f>
        <v>5.0064988205844128E-3</v>
      </c>
      <c r="M66" s="48" t="s">
        <v>168</v>
      </c>
      <c r="N66" s="112">
        <f>K66</f>
        <v>5.0064988205844128E-3</v>
      </c>
      <c r="O66" s="53" t="s">
        <v>340</v>
      </c>
      <c r="P66" s="27"/>
      <c r="Q66" s="7">
        <f>N66*Isproforma_old!$S$29</f>
        <v>129.82811404890299</v>
      </c>
      <c r="R66" s="7">
        <f>N66*Isproforma_old!$T$29</f>
        <v>140.30107406971439</v>
      </c>
      <c r="S66" s="7">
        <f>N66*Isproforma_old!$U$29</f>
        <v>151.66272289846583</v>
      </c>
      <c r="T66" s="7">
        <f>N66*Isproforma_old!$V$29</f>
        <v>163.99090878437116</v>
      </c>
      <c r="U66" s="7">
        <f>N66*Isproforma_old!$W$29</f>
        <v>177.37042825144113</v>
      </c>
      <c r="W66" s="294"/>
      <c r="X66" s="294"/>
      <c r="Y66" s="294"/>
      <c r="Z66" s="294"/>
      <c r="AA66" s="294"/>
      <c r="AB66" s="294"/>
      <c r="AC66" s="294"/>
      <c r="AD66" s="294"/>
      <c r="AE66" s="294"/>
    </row>
    <row r="67" spans="1:33" s="2" customFormat="1" ht="17">
      <c r="A67" s="6" t="s">
        <v>122</v>
      </c>
      <c r="B67" s="7">
        <v>-2809</v>
      </c>
      <c r="C67" s="62">
        <f>B67/Isproforma_old!$B$29</f>
        <v>-0.13532132189999035</v>
      </c>
      <c r="D67" s="7">
        <v>-2260</v>
      </c>
      <c r="E67" s="62">
        <f>D67/Isproforma_old!$D$29</f>
        <v>-0.10776273126072859</v>
      </c>
      <c r="F67" s="7">
        <v>-150</v>
      </c>
      <c r="G67" s="62">
        <f>F67/Isproforma_old!$F$29</f>
        <v>-1.4189764449910132E-2</v>
      </c>
      <c r="H67" s="7">
        <v>0</v>
      </c>
      <c r="I67" s="62">
        <f>H67/Isproforma_old!$H$29</f>
        <v>0</v>
      </c>
      <c r="J67" s="7">
        <v>-2600</v>
      </c>
      <c r="K67" s="62">
        <f>J67/Isproforma_old!$J$29</f>
        <v>-0.12516247051461032</v>
      </c>
      <c r="M67" s="48" t="s">
        <v>374</v>
      </c>
      <c r="N67" s="114">
        <v>-0.03</v>
      </c>
      <c r="O67" s="53" t="s">
        <v>215</v>
      </c>
      <c r="P67" s="27"/>
      <c r="Q67" s="7">
        <f>N67*Isproforma_old!$S$29</f>
        <v>-777.957523020537</v>
      </c>
      <c r="R67" s="7">
        <f>N67*Isproforma_old!$T$29</f>
        <v>-840.71371489908938</v>
      </c>
      <c r="S67" s="7">
        <f>N67*Isproforma_old!$U$29</f>
        <v>-908.79511810668191</v>
      </c>
      <c r="T67" s="7">
        <f>N67*Isproforma_old!$V$29</f>
        <v>-982.66821582050238</v>
      </c>
      <c r="U67" s="7">
        <f>N67*Isproforma_old!$W$29</f>
        <v>-1062.8411267501499</v>
      </c>
    </row>
    <row r="68" spans="1:33" s="2" customFormat="1" ht="20">
      <c r="A68" s="9" t="s">
        <v>83</v>
      </c>
      <c r="B68" s="9">
        <f>SUM(B61:B67)</f>
        <v>2225</v>
      </c>
      <c r="C68" s="62">
        <f>B68/Isproforma_old!$B$29</f>
        <v>0.10718759032662106</v>
      </c>
      <c r="D68" s="9">
        <f>SUM(D61:D67)</f>
        <v>703</v>
      </c>
      <c r="E68" s="62">
        <f>D68/Isproforma_old!$D$29</f>
        <v>3.3520884989509822E-2</v>
      </c>
      <c r="F68" s="9">
        <f>SUM(F61:F67)</f>
        <v>430</v>
      </c>
      <c r="G68" s="62">
        <f>F68/Isproforma_old!$F$29</f>
        <v>4.067732475640904E-2</v>
      </c>
      <c r="H68" s="9">
        <f>SUM(H61:H67)</f>
        <v>1414</v>
      </c>
      <c r="I68" s="62">
        <f>H68/Isproforma_old!$H$29</f>
        <v>0.10204228909576388</v>
      </c>
      <c r="J68" s="9">
        <f>SUM(J61:J67)</f>
        <v>568</v>
      </c>
      <c r="K68" s="62">
        <f>J68/Isproforma_old!$J$29</f>
        <v>2.7343185866268716E-2</v>
      </c>
      <c r="M68" s="10"/>
      <c r="N68" s="112"/>
      <c r="O68" s="53"/>
      <c r="P68" s="27"/>
      <c r="Q68" s="9">
        <f>SUM(Q61:Q67)</f>
        <v>919.31978426340254</v>
      </c>
      <c r="R68" s="9">
        <f>SUM(R61:R67)</f>
        <v>1297.3318057078234</v>
      </c>
      <c r="S68" s="9">
        <f>SUM(S61:S67)</f>
        <v>1704.3010488643317</v>
      </c>
      <c r="T68" s="9">
        <f>SUM(T61:T67)</f>
        <v>2142.6909086396709</v>
      </c>
      <c r="U68" s="9">
        <f>SUM(U61:U67)</f>
        <v>2615.1808992541837</v>
      </c>
    </row>
    <row r="69" spans="1:33" s="1" customFormat="1" ht="20">
      <c r="A69" s="16" t="s">
        <v>99</v>
      </c>
      <c r="B69" s="16">
        <f>B50+B68+B58</f>
        <v>23696</v>
      </c>
      <c r="C69" s="62">
        <f>B69/Isproforma_old!$B$29</f>
        <v>1.1415357934290393</v>
      </c>
      <c r="D69" s="16">
        <f t="shared" ref="D69:J69" si="5">D50+D68+D58</f>
        <v>25051</v>
      </c>
      <c r="E69" s="62">
        <f>D69/Isproforma_old!$D$29</f>
        <v>1.1944974251382796</v>
      </c>
      <c r="F69" s="16">
        <f t="shared" si="5"/>
        <v>24701</v>
      </c>
      <c r="G69" s="62">
        <f>F69/Isproforma_old!$F$29</f>
        <v>2.3366758111815344</v>
      </c>
      <c r="H69" s="16">
        <f t="shared" si="5"/>
        <v>25553</v>
      </c>
      <c r="I69" s="62">
        <f>H69/Isproforma_old!$H$29</f>
        <v>1.8440499386591613</v>
      </c>
      <c r="J69" s="16">
        <f t="shared" si="5"/>
        <v>24815</v>
      </c>
      <c r="K69" s="62">
        <f>J69/Isproforma_old!$J$29</f>
        <v>1.1945795022384826</v>
      </c>
      <c r="M69" s="109"/>
      <c r="N69" s="113"/>
      <c r="O69" s="116"/>
      <c r="P69" s="27"/>
      <c r="Q69" s="16">
        <f ca="1">Q50+Q68+Q58</f>
        <v>30262.932404648207</v>
      </c>
      <c r="R69" s="16">
        <f ca="1">R50+R68+R58</f>
        <v>33008.031740660786</v>
      </c>
      <c r="S69" s="16">
        <f ca="1">S50+S68+S58</f>
        <v>35982.94880006725</v>
      </c>
      <c r="T69" s="16">
        <f ca="1">T50+T68+T58</f>
        <v>39207.742156483058</v>
      </c>
      <c r="U69" s="16">
        <f ca="1">U50+U68+U58</f>
        <v>42704.256944536399</v>
      </c>
      <c r="V69" s="294"/>
      <c r="W69" s="2"/>
      <c r="X69" s="2"/>
      <c r="Y69" s="2"/>
      <c r="Z69" s="2"/>
      <c r="AA69" s="2"/>
      <c r="AB69" s="2"/>
      <c r="AC69" s="2"/>
      <c r="AD69" s="2"/>
      <c r="AE69" s="2"/>
      <c r="AF69" s="2"/>
      <c r="AG69" s="2"/>
    </row>
    <row r="70" spans="1:33" ht="17">
      <c r="P70" s="27"/>
      <c r="Q70" s="27"/>
      <c r="R70" s="27"/>
      <c r="S70" s="27"/>
      <c r="T70" s="27"/>
      <c r="U70" s="27"/>
      <c r="V70" s="1"/>
      <c r="W70" s="1"/>
      <c r="X70" s="1"/>
      <c r="Y70" s="1"/>
      <c r="Z70" s="1"/>
      <c r="AA70" s="1"/>
      <c r="AB70" s="1"/>
      <c r="AC70" s="1"/>
      <c r="AD70" s="1"/>
      <c r="AE70" s="1"/>
      <c r="AF70" s="1"/>
      <c r="AG70" s="1"/>
    </row>
    <row r="71" spans="1:33" ht="17">
      <c r="O71" s="86" t="s">
        <v>279</v>
      </c>
      <c r="P71" s="26"/>
      <c r="Q71" s="130">
        <f ca="1">SUM(Q40-Q13)</f>
        <v>29730.559967702113</v>
      </c>
      <c r="R71" s="130">
        <f ca="1">SUM(R40-R13)</f>
        <v>32128.861508312915</v>
      </c>
      <c r="S71" s="130">
        <f ca="1">SUM(S40-S13)</f>
        <v>34730.672250999443</v>
      </c>
      <c r="T71" s="130">
        <f ca="1">SUM(T40-T13)</f>
        <v>37553.819397971216</v>
      </c>
      <c r="U71" s="130">
        <f ca="1">SUM(U40-U13)</f>
        <v>40617.721302183796</v>
      </c>
    </row>
    <row r="72" spans="1:33" ht="17">
      <c r="J72" s="156"/>
      <c r="O72" s="86" t="s">
        <v>280</v>
      </c>
      <c r="P72" s="26"/>
      <c r="Q72" s="130">
        <f ca="1">Q69-Q49</f>
        <v>30262.932404648207</v>
      </c>
      <c r="R72" s="130">
        <f ca="1">R69-R49</f>
        <v>33008.031740660786</v>
      </c>
      <c r="S72" s="130">
        <f ca="1">S69-S49</f>
        <v>35982.94880006725</v>
      </c>
      <c r="T72" s="130">
        <f ca="1">T69-T49</f>
        <v>39207.742156483058</v>
      </c>
      <c r="U72" s="130">
        <f ca="1">U69-U49</f>
        <v>42704.256944536399</v>
      </c>
    </row>
    <row r="73" spans="1:33" ht="20">
      <c r="J73" s="156"/>
      <c r="O73" s="86" t="s">
        <v>281</v>
      </c>
      <c r="P73" s="47"/>
      <c r="Q73" s="131">
        <f ca="1">Q71-Q72</f>
        <v>-532.37243694609424</v>
      </c>
      <c r="R73" s="131">
        <f ca="1">R71-R72</f>
        <v>-879.17023234787121</v>
      </c>
      <c r="S73" s="131">
        <f ca="1">S71-S72</f>
        <v>-1252.2765490678066</v>
      </c>
      <c r="T73" s="131">
        <f ca="1">T71-T72</f>
        <v>-1653.9227585118424</v>
      </c>
      <c r="U73" s="131">
        <f ca="1">U71-U72</f>
        <v>-2086.5356423526027</v>
      </c>
    </row>
    <row r="74" spans="1:33" ht="20">
      <c r="J74" s="156"/>
      <c r="O74" s="86" t="s">
        <v>282</v>
      </c>
      <c r="P74" s="132"/>
      <c r="Q74" s="131">
        <f>$N$13*Isproforma_old!$S$29</f>
        <v>435.29592164424395</v>
      </c>
      <c r="R74" s="131">
        <f>$N$13*Isproforma_old!T29</f>
        <v>470.41032516153768</v>
      </c>
      <c r="S74" s="131">
        <f>$N$13*Isproforma_old!U29</f>
        <v>508.50438078686011</v>
      </c>
      <c r="T74" s="131">
        <f>$N$13*Isproforma_old!V29</f>
        <v>549.83910305961308</v>
      </c>
      <c r="U74" s="131">
        <f>$N$13*Isproforma_old!W29</f>
        <v>594.6988031349108</v>
      </c>
    </row>
    <row r="75" spans="1:33">
      <c r="P75" s="35"/>
      <c r="R75" s="35"/>
      <c r="S75" s="35"/>
      <c r="V75" s="295"/>
      <c r="W75" s="295"/>
      <c r="X75" s="295"/>
      <c r="Y75" s="295"/>
      <c r="Z75" s="295"/>
      <c r="AA75" s="295"/>
      <c r="AB75" s="295"/>
      <c r="AC75" s="295"/>
      <c r="AD75" s="295"/>
    </row>
    <row r="76" spans="1:33">
      <c r="P76" s="35"/>
      <c r="Q76" s="35"/>
      <c r="R76" s="35"/>
      <c r="S76" s="35"/>
      <c r="T76" s="35"/>
    </row>
    <row r="77" spans="1:33" ht="17">
      <c r="A77" s="656" t="s">
        <v>96</v>
      </c>
      <c r="B77" s="656"/>
      <c r="C77" s="656"/>
      <c r="D77" s="656"/>
      <c r="E77" s="656"/>
      <c r="F77" s="656"/>
      <c r="G77" s="656"/>
      <c r="H77" s="656"/>
      <c r="I77" s="656"/>
      <c r="J77" s="656"/>
      <c r="K77" s="656"/>
      <c r="N77" s="3"/>
      <c r="T77" s="35"/>
    </row>
    <row r="78" spans="1:33" ht="124" customHeight="1">
      <c r="A78" s="178">
        <v>2</v>
      </c>
      <c r="B78" s="689" t="s">
        <v>221</v>
      </c>
      <c r="C78" s="689"/>
      <c r="D78" s="689"/>
      <c r="E78" s="689"/>
      <c r="F78" s="689"/>
      <c r="G78" s="689"/>
      <c r="H78" s="689"/>
      <c r="I78" s="689"/>
      <c r="J78" s="689"/>
      <c r="K78" s="689"/>
      <c r="N78" s="3"/>
      <c r="T78" s="35"/>
    </row>
    <row r="79" spans="1:33" ht="95" customHeight="1">
      <c r="A79" s="178">
        <v>3</v>
      </c>
      <c r="B79" s="689" t="s">
        <v>222</v>
      </c>
      <c r="C79" s="689"/>
      <c r="D79" s="689"/>
      <c r="E79" s="689"/>
      <c r="F79" s="689"/>
      <c r="G79" s="689"/>
      <c r="H79" s="689"/>
      <c r="I79" s="689"/>
      <c r="J79" s="689"/>
      <c r="K79" s="689"/>
    </row>
    <row r="80" spans="1:33" ht="95" customHeight="1">
      <c r="A80" s="178">
        <v>4</v>
      </c>
      <c r="B80" s="689" t="s">
        <v>223</v>
      </c>
      <c r="C80" s="689"/>
      <c r="D80" s="689"/>
      <c r="E80" s="689"/>
      <c r="F80" s="689"/>
      <c r="G80" s="689"/>
      <c r="H80" s="689"/>
      <c r="I80" s="689"/>
      <c r="J80" s="689"/>
      <c r="K80" s="689"/>
      <c r="T80" s="35"/>
    </row>
    <row r="81" spans="1:20">
      <c r="A81" s="53">
        <v>5</v>
      </c>
      <c r="B81" s="11" t="s">
        <v>224</v>
      </c>
      <c r="C81" s="69"/>
      <c r="D81" s="11"/>
      <c r="E81" s="69"/>
      <c r="F81" s="11"/>
      <c r="G81" s="69"/>
      <c r="H81" s="11"/>
      <c r="I81" s="69"/>
      <c r="J81" s="11"/>
      <c r="K81" s="69"/>
      <c r="P81" s="35"/>
      <c r="Q81" s="35"/>
      <c r="R81" s="35"/>
      <c r="S81" s="35"/>
      <c r="T81" s="35"/>
    </row>
    <row r="82" spans="1:20" ht="28" customHeight="1">
      <c r="A82" s="170">
        <v>6</v>
      </c>
      <c r="B82" s="688" t="s">
        <v>219</v>
      </c>
      <c r="C82" s="688"/>
      <c r="D82" s="688"/>
      <c r="E82" s="688"/>
      <c r="F82" s="688"/>
      <c r="G82" s="688"/>
      <c r="H82" s="688"/>
      <c r="I82" s="688"/>
      <c r="J82" s="688"/>
      <c r="K82" s="688"/>
      <c r="P82" s="35"/>
      <c r="Q82" s="35"/>
      <c r="R82" s="35"/>
      <c r="S82" s="35"/>
      <c r="T82" s="35"/>
    </row>
    <row r="83" spans="1:20">
      <c r="A83" s="682">
        <v>7</v>
      </c>
      <c r="B83" s="688" t="s">
        <v>277</v>
      </c>
      <c r="C83" s="688"/>
      <c r="D83" s="688"/>
      <c r="E83" s="688"/>
      <c r="F83" s="688"/>
      <c r="G83" s="688"/>
      <c r="H83" s="688"/>
      <c r="I83" s="688"/>
      <c r="J83" s="688"/>
      <c r="K83" s="688"/>
      <c r="P83" s="35"/>
      <c r="Q83" s="35"/>
      <c r="R83" s="35"/>
      <c r="S83" s="35"/>
      <c r="T83" s="35"/>
    </row>
    <row r="84" spans="1:20">
      <c r="A84" s="684"/>
      <c r="B84" s="689"/>
      <c r="C84" s="689"/>
      <c r="D84" s="689"/>
      <c r="E84" s="689"/>
      <c r="F84" s="689"/>
      <c r="G84" s="689"/>
      <c r="H84" s="689"/>
      <c r="I84" s="689"/>
      <c r="J84" s="689"/>
      <c r="K84" s="689"/>
      <c r="P84" s="35"/>
      <c r="Q84" s="35"/>
      <c r="R84" s="35"/>
      <c r="S84" s="35"/>
      <c r="T84" s="35"/>
    </row>
    <row r="85" spans="1:20">
      <c r="A85" s="53">
        <v>8</v>
      </c>
      <c r="B85" s="11" t="s">
        <v>278</v>
      </c>
      <c r="C85" s="69"/>
      <c r="D85" s="11"/>
      <c r="E85" s="69"/>
      <c r="F85" s="11"/>
      <c r="G85" s="69"/>
      <c r="H85" s="11"/>
      <c r="I85" s="69"/>
      <c r="J85" s="11"/>
      <c r="K85" s="69"/>
      <c r="P85" s="35"/>
      <c r="Q85" s="35"/>
      <c r="R85" s="35"/>
      <c r="S85" s="35"/>
      <c r="T85" s="35"/>
    </row>
    <row r="86" spans="1:20">
      <c r="A86" s="53">
        <v>9</v>
      </c>
      <c r="B86" s="11" t="s">
        <v>375</v>
      </c>
      <c r="C86" s="69"/>
      <c r="D86" s="11"/>
      <c r="E86" s="69"/>
      <c r="F86" s="11"/>
      <c r="G86" s="69"/>
      <c r="H86" s="11"/>
      <c r="I86" s="69"/>
      <c r="J86" s="11"/>
      <c r="K86" s="69"/>
      <c r="P86" s="35"/>
      <c r="Q86" s="35"/>
      <c r="R86" s="35"/>
      <c r="S86" s="35"/>
      <c r="T86" s="35"/>
    </row>
    <row r="87" spans="1:20">
      <c r="P87" s="35"/>
      <c r="Q87" s="35"/>
      <c r="R87" s="35"/>
      <c r="S87" s="35"/>
      <c r="T87" s="35"/>
    </row>
    <row r="88" spans="1:20">
      <c r="P88" s="35"/>
      <c r="Q88" s="35"/>
      <c r="R88" s="35"/>
      <c r="S88" s="35"/>
      <c r="T88" s="35"/>
    </row>
  </sheetData>
  <mergeCells count="13">
    <mergeCell ref="B83:K84"/>
    <mergeCell ref="A83:A84"/>
    <mergeCell ref="B82:K82"/>
    <mergeCell ref="B78:K78"/>
    <mergeCell ref="B79:K79"/>
    <mergeCell ref="B80:K80"/>
    <mergeCell ref="Q11:U11"/>
    <mergeCell ref="A1:U1"/>
    <mergeCell ref="A11:K11"/>
    <mergeCell ref="A77:K77"/>
    <mergeCell ref="A3:J3"/>
    <mergeCell ref="M8:N8"/>
    <mergeCell ref="M11:O11"/>
  </mergeCells>
  <hyperlinks>
    <hyperlink ref="H4" r:id="rId1" xr:uid="{3A64A005-6619-2843-89E9-36B3A11D28C3}"/>
    <hyperlink ref="H6" r:id="rId2" xr:uid="{FBB415D7-C955-784E-B782-FAC30450C877}"/>
    <hyperlink ref="H5" r:id="rId3" xr:uid="{31486D5A-A638-8B48-8DD6-F56ABA4B804B}"/>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FF735-BFD5-4748-86B1-6D8A20D17ED9}">
  <dimension ref="A1:T27"/>
  <sheetViews>
    <sheetView topLeftCell="A3" zoomScale="102" workbookViewId="0">
      <selection activeCell="I5" sqref="I5"/>
    </sheetView>
  </sheetViews>
  <sheetFormatPr baseColWidth="10" defaultColWidth="8.83203125" defaultRowHeight="15"/>
  <cols>
    <col min="1" max="1" width="8.83203125" style="635"/>
    <col min="2" max="2" width="10.83203125" style="635" customWidth="1"/>
    <col min="3" max="12" width="10.83203125" style="636" customWidth="1"/>
    <col min="13" max="13" width="10.83203125" style="635" customWidth="1"/>
    <col min="14" max="17" width="8.83203125" style="635"/>
    <col min="18" max="18" width="45.1640625" style="635" bestFit="1" customWidth="1"/>
    <col min="19" max="19" width="8.83203125" style="635"/>
    <col min="20" max="20" width="11.6640625" style="635" customWidth="1"/>
    <col min="21" max="16384" width="8.83203125" style="635"/>
  </cols>
  <sheetData>
    <row r="1" spans="1:20">
      <c r="R1" s="652" t="s">
        <v>1535</v>
      </c>
      <c r="S1" s="652" t="s">
        <v>1457</v>
      </c>
      <c r="T1" s="652" t="s">
        <v>1534</v>
      </c>
    </row>
    <row r="2" spans="1:20" ht="30" customHeight="1">
      <c r="R2" s="635" t="s">
        <v>1533</v>
      </c>
      <c r="S2" s="635">
        <v>6</v>
      </c>
      <c r="T2" s="635">
        <v>5</v>
      </c>
    </row>
    <row r="3" spans="1:20" ht="30" customHeight="1">
      <c r="R3" s="635" t="s">
        <v>1513</v>
      </c>
      <c r="S3" s="635">
        <v>6</v>
      </c>
      <c r="T3" s="635">
        <v>5</v>
      </c>
    </row>
    <row r="4" spans="1:20" ht="30" customHeight="1">
      <c r="R4" s="635" t="s">
        <v>1521</v>
      </c>
      <c r="S4" s="635">
        <v>6</v>
      </c>
      <c r="T4" s="635">
        <v>3</v>
      </c>
    </row>
    <row r="5" spans="1:20" ht="30" customHeight="1">
      <c r="R5" s="635" t="s">
        <v>1509</v>
      </c>
      <c r="S5" s="635">
        <v>5</v>
      </c>
      <c r="T5" s="635">
        <v>7</v>
      </c>
    </row>
    <row r="6" spans="1:20" ht="30" customHeight="1">
      <c r="R6" s="635" t="s">
        <v>1518</v>
      </c>
      <c r="S6" s="635">
        <v>5</v>
      </c>
      <c r="T6" s="635">
        <v>4</v>
      </c>
    </row>
    <row r="7" spans="1:20" ht="30" customHeight="1">
      <c r="R7" s="635" t="s">
        <v>1532</v>
      </c>
      <c r="S7" s="635">
        <v>5</v>
      </c>
      <c r="T7" s="635">
        <v>3</v>
      </c>
    </row>
    <row r="8" spans="1:20" ht="30" customHeight="1">
      <c r="D8" s="636" t="s">
        <v>1457</v>
      </c>
      <c r="R8" s="635" t="s">
        <v>1514</v>
      </c>
      <c r="S8" s="635">
        <v>5</v>
      </c>
      <c r="T8" s="635">
        <v>5</v>
      </c>
    </row>
    <row r="9" spans="1:20" ht="30" customHeight="1">
      <c r="B9" s="745" t="s">
        <v>1457</v>
      </c>
      <c r="C9" s="745"/>
      <c r="D9" s="745"/>
      <c r="E9" s="745"/>
      <c r="F9" s="745"/>
      <c r="G9" s="745"/>
      <c r="H9" s="745"/>
      <c r="I9" s="745"/>
      <c r="J9" s="745"/>
      <c r="K9" s="745"/>
      <c r="L9" s="745"/>
      <c r="R9" s="635" t="s">
        <v>1531</v>
      </c>
      <c r="S9" s="635">
        <v>5</v>
      </c>
      <c r="T9" s="635">
        <v>3</v>
      </c>
    </row>
    <row r="10" spans="1:20" ht="71" customHeight="1">
      <c r="A10" s="746" t="s">
        <v>1530</v>
      </c>
      <c r="B10" s="651"/>
      <c r="C10" s="638">
        <v>1</v>
      </c>
      <c r="D10" s="638">
        <v>2</v>
      </c>
      <c r="E10" s="638">
        <v>3</v>
      </c>
      <c r="F10" s="638">
        <v>4</v>
      </c>
      <c r="G10" s="638">
        <v>5</v>
      </c>
      <c r="H10" s="638">
        <v>6</v>
      </c>
      <c r="I10" s="638">
        <v>7</v>
      </c>
      <c r="J10" s="638">
        <v>8</v>
      </c>
      <c r="K10" s="638">
        <v>9</v>
      </c>
      <c r="L10" s="638">
        <v>10</v>
      </c>
      <c r="R10" s="635" t="s">
        <v>1529</v>
      </c>
      <c r="S10" s="635">
        <v>4</v>
      </c>
      <c r="T10" s="635">
        <v>4</v>
      </c>
    </row>
    <row r="11" spans="1:20" ht="71" customHeight="1">
      <c r="A11" s="746"/>
      <c r="B11" s="638">
        <v>1</v>
      </c>
      <c r="C11" s="650"/>
      <c r="D11" s="649"/>
      <c r="E11" s="648"/>
      <c r="F11" s="646"/>
      <c r="G11" s="644"/>
      <c r="H11" s="642"/>
      <c r="I11" s="641"/>
      <c r="J11" s="640"/>
      <c r="K11" s="639"/>
      <c r="L11" s="637"/>
      <c r="R11" s="635" t="s">
        <v>1528</v>
      </c>
      <c r="S11" s="635">
        <v>4</v>
      </c>
      <c r="T11" s="635">
        <v>4</v>
      </c>
    </row>
    <row r="12" spans="1:20" ht="51" customHeight="1">
      <c r="A12" s="746"/>
      <c r="B12" s="638">
        <v>2</v>
      </c>
      <c r="C12" s="649"/>
      <c r="D12" s="649" t="s">
        <v>1498</v>
      </c>
      <c r="E12" s="648"/>
      <c r="F12" s="646" t="s">
        <v>1527</v>
      </c>
      <c r="G12" s="644"/>
      <c r="H12" s="642"/>
      <c r="I12" s="641"/>
      <c r="J12" s="640"/>
      <c r="K12" s="639"/>
      <c r="L12" s="637"/>
      <c r="R12" s="635" t="s">
        <v>1526</v>
      </c>
      <c r="S12" s="635">
        <v>4</v>
      </c>
      <c r="T12" s="635">
        <v>4</v>
      </c>
    </row>
    <row r="13" spans="1:20" ht="77">
      <c r="A13" s="746"/>
      <c r="B13" s="638">
        <v>3</v>
      </c>
      <c r="C13" s="648" t="s">
        <v>1503</v>
      </c>
      <c r="D13" s="648" t="s">
        <v>1525</v>
      </c>
      <c r="E13" s="648" t="s">
        <v>1524</v>
      </c>
      <c r="F13" s="646" t="s">
        <v>1523</v>
      </c>
      <c r="G13" s="644" t="s">
        <v>1522</v>
      </c>
      <c r="H13" s="647" t="s">
        <v>1521</v>
      </c>
      <c r="I13" s="641"/>
      <c r="J13" s="640"/>
      <c r="K13" s="639"/>
      <c r="L13" s="637"/>
      <c r="R13" s="635" t="s">
        <v>1517</v>
      </c>
      <c r="S13" s="635">
        <v>4</v>
      </c>
      <c r="T13" s="635">
        <v>4</v>
      </c>
    </row>
    <row r="14" spans="1:20" ht="77">
      <c r="A14" s="746"/>
      <c r="B14" s="638">
        <v>4</v>
      </c>
      <c r="C14" s="646"/>
      <c r="D14" s="646"/>
      <c r="E14" s="646" t="s">
        <v>1520</v>
      </c>
      <c r="F14" s="645" t="s">
        <v>1519</v>
      </c>
      <c r="G14" s="643" t="s">
        <v>1518</v>
      </c>
      <c r="H14" s="642" t="s">
        <v>1517</v>
      </c>
      <c r="I14" s="641" t="s">
        <v>1510</v>
      </c>
      <c r="J14" s="640" t="s">
        <v>1516</v>
      </c>
      <c r="K14" s="639"/>
      <c r="L14" s="637"/>
      <c r="R14" s="635" t="s">
        <v>1515</v>
      </c>
      <c r="S14" s="635">
        <v>4</v>
      </c>
      <c r="T14" s="635">
        <v>4</v>
      </c>
    </row>
    <row r="15" spans="1:20" ht="46" customHeight="1">
      <c r="A15" s="746"/>
      <c r="B15" s="638">
        <v>5</v>
      </c>
      <c r="C15" s="644"/>
      <c r="D15" s="644"/>
      <c r="E15" s="644"/>
      <c r="F15" s="644" t="s">
        <v>1511</v>
      </c>
      <c r="G15" s="643" t="s">
        <v>1514</v>
      </c>
      <c r="H15" s="642" t="s">
        <v>1513</v>
      </c>
      <c r="I15" s="641"/>
      <c r="J15" s="640"/>
      <c r="K15" s="639" t="s">
        <v>1512</v>
      </c>
      <c r="L15" s="637"/>
      <c r="R15" s="635" t="s">
        <v>1511</v>
      </c>
      <c r="S15" s="635">
        <v>4</v>
      </c>
      <c r="T15" s="635">
        <v>5</v>
      </c>
    </row>
    <row r="16" spans="1:20" ht="71" customHeight="1">
      <c r="A16" s="746"/>
      <c r="B16" s="638">
        <v>6</v>
      </c>
      <c r="C16" s="642"/>
      <c r="D16" s="642"/>
      <c r="E16" s="642"/>
      <c r="F16" s="642"/>
      <c r="G16" s="642"/>
      <c r="H16" s="642"/>
      <c r="I16" s="641"/>
      <c r="J16" s="640"/>
      <c r="K16" s="639"/>
      <c r="L16" s="637"/>
      <c r="R16" s="635" t="s">
        <v>1510</v>
      </c>
      <c r="S16" s="635">
        <v>4</v>
      </c>
      <c r="T16" s="635">
        <v>4</v>
      </c>
    </row>
    <row r="17" spans="1:20" ht="47" customHeight="1">
      <c r="A17" s="746"/>
      <c r="B17" s="638">
        <v>7</v>
      </c>
      <c r="C17" s="641"/>
      <c r="D17" s="641"/>
      <c r="E17" s="641"/>
      <c r="F17" s="641"/>
      <c r="G17" s="641" t="s">
        <v>1509</v>
      </c>
      <c r="H17" s="641"/>
      <c r="I17" s="641"/>
      <c r="J17" s="640"/>
      <c r="K17" s="639"/>
      <c r="L17" s="637"/>
      <c r="R17" s="635" t="s">
        <v>1508</v>
      </c>
      <c r="S17" s="635">
        <v>4</v>
      </c>
      <c r="T17" s="635">
        <v>3</v>
      </c>
    </row>
    <row r="18" spans="1:20" ht="71" customHeight="1">
      <c r="A18" s="746"/>
      <c r="B18" s="638">
        <v>8</v>
      </c>
      <c r="C18" s="640"/>
      <c r="D18" s="640"/>
      <c r="E18" s="640"/>
      <c r="F18" s="640"/>
      <c r="G18" s="640"/>
      <c r="H18" s="640"/>
      <c r="I18" s="640"/>
      <c r="J18" s="640"/>
      <c r="K18" s="639"/>
      <c r="L18" s="637"/>
      <c r="R18" s="635" t="s">
        <v>1507</v>
      </c>
      <c r="S18" s="635">
        <v>4</v>
      </c>
      <c r="T18" s="635">
        <v>3</v>
      </c>
    </row>
    <row r="19" spans="1:20" ht="71" customHeight="1">
      <c r="A19" s="746"/>
      <c r="B19" s="638">
        <v>9</v>
      </c>
      <c r="C19" s="639"/>
      <c r="D19" s="639"/>
      <c r="E19" s="639"/>
      <c r="F19" s="639"/>
      <c r="G19" s="639"/>
      <c r="H19" s="639"/>
      <c r="I19" s="639"/>
      <c r="J19" s="639"/>
      <c r="K19" s="639"/>
      <c r="L19" s="637"/>
      <c r="R19" s="635" t="s">
        <v>1506</v>
      </c>
      <c r="S19" s="635">
        <v>3</v>
      </c>
      <c r="T19" s="635">
        <v>3</v>
      </c>
    </row>
    <row r="20" spans="1:20" ht="71" customHeight="1">
      <c r="A20" s="746"/>
      <c r="B20" s="638">
        <v>10</v>
      </c>
      <c r="C20" s="637"/>
      <c r="D20" s="637"/>
      <c r="E20" s="637"/>
      <c r="F20" s="637"/>
      <c r="G20" s="637"/>
      <c r="H20" s="637"/>
      <c r="I20" s="637"/>
      <c r="J20" s="637"/>
      <c r="K20" s="637"/>
      <c r="L20" s="637"/>
      <c r="R20" s="635" t="s">
        <v>1505</v>
      </c>
      <c r="S20" s="635">
        <v>3</v>
      </c>
      <c r="T20" s="635">
        <v>3</v>
      </c>
    </row>
    <row r="21" spans="1:20">
      <c r="R21" s="635" t="s">
        <v>1504</v>
      </c>
      <c r="S21" s="635">
        <v>3</v>
      </c>
      <c r="T21" s="635">
        <v>3</v>
      </c>
    </row>
    <row r="22" spans="1:20">
      <c r="R22" s="635" t="s">
        <v>1503</v>
      </c>
      <c r="S22" s="635">
        <v>3</v>
      </c>
      <c r="T22" s="635">
        <v>3</v>
      </c>
    </row>
    <row r="23" spans="1:20">
      <c r="R23" s="635" t="s">
        <v>1502</v>
      </c>
      <c r="S23" s="635">
        <v>3</v>
      </c>
      <c r="T23" s="635">
        <v>4</v>
      </c>
    </row>
    <row r="24" spans="1:20">
      <c r="R24" s="635" t="s">
        <v>1501</v>
      </c>
      <c r="S24" s="635">
        <v>3</v>
      </c>
      <c r="T24" s="635">
        <v>3</v>
      </c>
    </row>
    <row r="25" spans="1:20">
      <c r="R25" s="635" t="s">
        <v>1500</v>
      </c>
      <c r="S25" s="635">
        <v>3</v>
      </c>
      <c r="T25" s="635">
        <v>4</v>
      </c>
    </row>
    <row r="26" spans="1:20">
      <c r="R26" s="635" t="s">
        <v>1499</v>
      </c>
      <c r="S26" s="635">
        <v>3</v>
      </c>
      <c r="T26" s="635">
        <v>3</v>
      </c>
    </row>
    <row r="27" spans="1:20">
      <c r="R27" s="635" t="s">
        <v>1498</v>
      </c>
      <c r="S27" s="635">
        <v>2</v>
      </c>
      <c r="T27" s="635">
        <v>2</v>
      </c>
    </row>
  </sheetData>
  <mergeCells count="2">
    <mergeCell ref="B9:L9"/>
    <mergeCell ref="A10:A20"/>
  </mergeCells>
  <pageMargins left="0.75" right="0.75" top="1" bottom="1" header="0.5" footer="0.5"/>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8A7A4-DD81-9545-9FFC-C3ADF735F944}">
  <sheetPr>
    <outlinePr summaryBelow="0" summaryRight="0"/>
  </sheetPr>
  <dimension ref="A1:G50"/>
  <sheetViews>
    <sheetView topLeftCell="A22" workbookViewId="0">
      <selection activeCell="E51" sqref="E51"/>
    </sheetView>
  </sheetViews>
  <sheetFormatPr baseColWidth="10" defaultColWidth="11.1640625" defaultRowHeight="15" customHeight="1"/>
  <cols>
    <col min="1" max="1" width="45" style="262" customWidth="1"/>
    <col min="2" max="2" width="11.1640625" style="262"/>
    <col min="3" max="3" width="6.33203125" style="262" customWidth="1"/>
    <col min="4" max="4" width="45.83203125" style="262" customWidth="1"/>
    <col min="5" max="16384" width="11.1640625" style="262"/>
  </cols>
  <sheetData>
    <row r="1" spans="1:7" ht="16">
      <c r="A1" s="747" t="s">
        <v>484</v>
      </c>
      <c r="B1" s="748"/>
      <c r="C1" s="748"/>
      <c r="D1" s="748"/>
      <c r="E1" s="748"/>
      <c r="F1" s="748"/>
      <c r="G1" s="748"/>
    </row>
    <row r="2" spans="1:7" ht="15" customHeight="1">
      <c r="A2" s="748"/>
      <c r="B2" s="748"/>
      <c r="C2" s="748"/>
      <c r="D2" s="748"/>
      <c r="E2" s="748"/>
      <c r="F2" s="748"/>
      <c r="G2" s="748"/>
    </row>
    <row r="3" spans="1:7" ht="16">
      <c r="A3" s="263" t="s">
        <v>485</v>
      </c>
      <c r="B3" s="264"/>
      <c r="C3" s="264"/>
      <c r="D3" s="263" t="s">
        <v>486</v>
      </c>
      <c r="E3" s="264"/>
    </row>
    <row r="4" spans="1:7" ht="16">
      <c r="A4" s="264" t="s">
        <v>582</v>
      </c>
      <c r="B4" s="264"/>
      <c r="C4" s="264"/>
      <c r="D4" s="265" t="s">
        <v>487</v>
      </c>
      <c r="E4" s="266">
        <v>684</v>
      </c>
    </row>
    <row r="5" spans="1:7" ht="16">
      <c r="A5" s="264" t="s">
        <v>488</v>
      </c>
      <c r="B5" s="264">
        <v>507</v>
      </c>
      <c r="C5" s="264"/>
      <c r="D5" s="265" t="s">
        <v>80</v>
      </c>
      <c r="E5" s="266">
        <v>746</v>
      </c>
    </row>
    <row r="6" spans="1:7" ht="16">
      <c r="A6" s="264" t="s">
        <v>489</v>
      </c>
      <c r="B6" s="264">
        <v>2571</v>
      </c>
      <c r="C6" s="264"/>
      <c r="D6" s="265" t="s">
        <v>490</v>
      </c>
      <c r="E6" s="266">
        <v>1299</v>
      </c>
    </row>
    <row r="7" spans="1:7" ht="16">
      <c r="A7" s="264" t="s">
        <v>491</v>
      </c>
      <c r="B7" s="264">
        <v>235</v>
      </c>
      <c r="C7" s="264"/>
      <c r="D7" s="267" t="s">
        <v>131</v>
      </c>
      <c r="E7" s="266">
        <v>3314</v>
      </c>
    </row>
    <row r="8" spans="1:7" ht="16">
      <c r="A8" s="264"/>
      <c r="B8" s="264"/>
      <c r="C8" s="264"/>
      <c r="D8" s="267" t="s">
        <v>492</v>
      </c>
      <c r="E8" s="266">
        <v>1296</v>
      </c>
    </row>
    <row r="9" spans="1:7" ht="16">
      <c r="A9" s="263" t="s">
        <v>493</v>
      </c>
      <c r="B9" s="264"/>
      <c r="C9" s="264"/>
      <c r="D9" s="268"/>
      <c r="E9" s="264"/>
    </row>
    <row r="10" spans="1:7" ht="16">
      <c r="A10" s="264" t="s">
        <v>155</v>
      </c>
      <c r="B10" s="264">
        <v>688</v>
      </c>
      <c r="C10" s="264"/>
      <c r="D10" s="265" t="s">
        <v>494</v>
      </c>
      <c r="E10" s="266">
        <v>9380</v>
      </c>
    </row>
    <row r="11" spans="1:7" ht="16">
      <c r="A11" s="264" t="s">
        <v>495</v>
      </c>
      <c r="B11" s="264">
        <v>1086</v>
      </c>
      <c r="C11" s="264"/>
      <c r="D11" s="267" t="s">
        <v>132</v>
      </c>
      <c r="E11" s="266">
        <v>3280</v>
      </c>
    </row>
    <row r="12" spans="1:7" ht="16">
      <c r="A12" s="264" t="s">
        <v>496</v>
      </c>
      <c r="B12" s="264">
        <v>649</v>
      </c>
      <c r="C12" s="264"/>
      <c r="D12" s="265" t="s">
        <v>81</v>
      </c>
      <c r="E12" s="269">
        <v>313</v>
      </c>
    </row>
    <row r="13" spans="1:7" ht="16">
      <c r="A13" s="264" t="s">
        <v>497</v>
      </c>
      <c r="B13" s="264">
        <v>36</v>
      </c>
      <c r="C13" s="264"/>
      <c r="D13" s="265" t="s">
        <v>498</v>
      </c>
      <c r="E13" s="269">
        <v>1059</v>
      </c>
    </row>
    <row r="14" spans="1:7" ht="16">
      <c r="A14" s="264" t="s">
        <v>499</v>
      </c>
      <c r="B14" s="264">
        <v>-874</v>
      </c>
      <c r="C14" s="264"/>
      <c r="D14" s="265" t="s">
        <v>500</v>
      </c>
      <c r="E14" s="266">
        <v>1034</v>
      </c>
    </row>
    <row r="15" spans="1:7" ht="16">
      <c r="A15" s="270" t="s">
        <v>501</v>
      </c>
      <c r="B15" s="264">
        <f>SUM(B10:B14)</f>
        <v>1585</v>
      </c>
      <c r="C15" s="264"/>
      <c r="D15" s="265" t="s">
        <v>82</v>
      </c>
      <c r="E15" s="266">
        <v>1842</v>
      </c>
    </row>
    <row r="16" spans="1:7" ht="16">
      <c r="A16" s="264"/>
      <c r="B16" s="264"/>
      <c r="C16" s="264"/>
      <c r="D16" s="271"/>
      <c r="E16" s="264"/>
    </row>
    <row r="17" spans="1:5" ht="16">
      <c r="A17" s="272" t="s">
        <v>502</v>
      </c>
      <c r="B17" s="264"/>
      <c r="C17" s="264"/>
      <c r="D17" s="263" t="s">
        <v>503</v>
      </c>
      <c r="E17" s="273">
        <f>SUM(E4:E15)</f>
        <v>24247</v>
      </c>
    </row>
    <row r="18" spans="1:5" ht="16">
      <c r="A18" s="265" t="s">
        <v>161</v>
      </c>
      <c r="B18" s="264">
        <v>1995</v>
      </c>
      <c r="C18" s="264"/>
      <c r="D18" s="264"/>
      <c r="E18" s="264"/>
    </row>
    <row r="19" spans="1:5" ht="16">
      <c r="A19" s="265" t="s">
        <v>162</v>
      </c>
      <c r="B19" s="264">
        <v>2173</v>
      </c>
      <c r="C19" s="264"/>
      <c r="D19" s="264"/>
      <c r="E19" s="264"/>
    </row>
    <row r="20" spans="1:5" ht="16">
      <c r="A20" s="265" t="s">
        <v>163</v>
      </c>
      <c r="B20" s="274">
        <v>-1172</v>
      </c>
      <c r="C20" s="264"/>
      <c r="D20" s="264"/>
      <c r="E20" s="264"/>
    </row>
    <row r="21" spans="1:5" ht="16">
      <c r="A21" s="265" t="s">
        <v>164</v>
      </c>
      <c r="B21" s="264">
        <v>5751</v>
      </c>
      <c r="C21" s="264"/>
      <c r="D21" s="265" t="s">
        <v>123</v>
      </c>
      <c r="E21" s="266">
        <v>1414</v>
      </c>
    </row>
    <row r="22" spans="1:5" ht="16">
      <c r="A22" s="265" t="s">
        <v>20</v>
      </c>
      <c r="B22" s="264">
        <v>8872</v>
      </c>
      <c r="C22" s="264"/>
      <c r="D22" s="265" t="s">
        <v>124</v>
      </c>
      <c r="E22" s="275" t="s">
        <v>37</v>
      </c>
    </row>
    <row r="23" spans="1:5" ht="16">
      <c r="A23" s="264"/>
      <c r="B23" s="264"/>
      <c r="C23" s="264"/>
      <c r="D23" s="265" t="s">
        <v>108</v>
      </c>
      <c r="E23" s="266">
        <v>2358</v>
      </c>
    </row>
    <row r="24" spans="1:5" ht="16">
      <c r="A24" s="276" t="s">
        <v>504</v>
      </c>
      <c r="B24" s="264"/>
      <c r="C24" s="264"/>
      <c r="D24" s="265" t="s">
        <v>120</v>
      </c>
      <c r="E24" s="269">
        <v>-387</v>
      </c>
    </row>
    <row r="25" spans="1:5" ht="16">
      <c r="A25" s="265" t="s">
        <v>79</v>
      </c>
      <c r="B25" s="269">
        <v>335</v>
      </c>
      <c r="C25" s="264"/>
      <c r="D25" s="265" t="s">
        <v>125</v>
      </c>
      <c r="E25" s="269">
        <v>-321</v>
      </c>
    </row>
    <row r="26" spans="1:5" ht="16">
      <c r="A26" s="265" t="s">
        <v>505</v>
      </c>
      <c r="B26" s="269">
        <v>152</v>
      </c>
      <c r="C26" s="264"/>
      <c r="D26" s="265" t="s">
        <v>121</v>
      </c>
      <c r="E26" s="269">
        <v>104</v>
      </c>
    </row>
    <row r="27" spans="1:5" ht="16">
      <c r="A27" s="265" t="s">
        <v>506</v>
      </c>
      <c r="B27" s="269">
        <v>240</v>
      </c>
      <c r="C27" s="264"/>
      <c r="D27" s="265" t="s">
        <v>122</v>
      </c>
      <c r="E27" s="266">
        <v>-2600</v>
      </c>
    </row>
    <row r="28" spans="1:5" ht="16">
      <c r="A28" s="265" t="s">
        <v>507</v>
      </c>
      <c r="B28" s="266">
        <v>987</v>
      </c>
      <c r="C28" s="264"/>
      <c r="D28" s="277" t="s">
        <v>83</v>
      </c>
      <c r="E28" s="278">
        <f>SUM(E21:E27)</f>
        <v>568</v>
      </c>
    </row>
    <row r="29" spans="1:5" ht="16">
      <c r="A29" s="265" t="s">
        <v>508</v>
      </c>
      <c r="B29" s="266">
        <v>584</v>
      </c>
      <c r="C29" s="264"/>
      <c r="D29" s="264"/>
      <c r="E29" s="264"/>
    </row>
    <row r="30" spans="1:5" ht="16">
      <c r="A30" s="264"/>
      <c r="B30" s="264"/>
      <c r="C30" s="264"/>
      <c r="D30" s="264"/>
      <c r="E30" s="264"/>
    </row>
    <row r="31" spans="1:5" ht="16">
      <c r="A31" s="279" t="s">
        <v>40</v>
      </c>
      <c r="B31" s="264">
        <f>SUM(B5:B7)+B15+SUM(B18:B29)</f>
        <v>24815</v>
      </c>
      <c r="C31" s="264"/>
      <c r="D31" s="263" t="s">
        <v>583</v>
      </c>
      <c r="E31" s="273">
        <f>E17+E28</f>
        <v>24815</v>
      </c>
    </row>
    <row r="32" spans="1:5" ht="16">
      <c r="A32" s="264"/>
      <c r="C32" s="264"/>
      <c r="D32" s="264"/>
      <c r="E32" s="264"/>
    </row>
    <row r="33" spans="1:5" ht="16">
      <c r="A33" s="280" t="s">
        <v>584</v>
      </c>
      <c r="D33" s="281" t="s">
        <v>585</v>
      </c>
    </row>
    <row r="34" spans="1:5" ht="16">
      <c r="A34" s="262" t="s">
        <v>586</v>
      </c>
      <c r="B34" s="262">
        <v>507</v>
      </c>
      <c r="D34" s="262" t="s">
        <v>587</v>
      </c>
      <c r="E34" s="262">
        <v>684</v>
      </c>
    </row>
    <row r="35" spans="1:5" ht="16">
      <c r="D35" s="262" t="s">
        <v>494</v>
      </c>
      <c r="E35" s="262">
        <v>9380</v>
      </c>
    </row>
    <row r="36" spans="1:5" ht="16">
      <c r="A36" s="281" t="s">
        <v>588</v>
      </c>
      <c r="D36" s="282" t="s">
        <v>589</v>
      </c>
      <c r="E36" s="262">
        <v>10064</v>
      </c>
    </row>
    <row r="37" spans="1:5" ht="16">
      <c r="A37" s="264" t="s">
        <v>489</v>
      </c>
      <c r="B37" s="264">
        <v>2571</v>
      </c>
      <c r="D37" s="262" t="s">
        <v>590</v>
      </c>
      <c r="E37" s="262">
        <v>507</v>
      </c>
    </row>
    <row r="38" spans="1:5" ht="16">
      <c r="A38" s="264" t="s">
        <v>491</v>
      </c>
      <c r="B38" s="264">
        <v>235</v>
      </c>
      <c r="D38" s="281" t="s">
        <v>591</v>
      </c>
      <c r="E38" s="262">
        <v>9557</v>
      </c>
    </row>
    <row r="40" spans="1:5" ht="16">
      <c r="A40" s="281" t="s">
        <v>509</v>
      </c>
      <c r="D40" s="282" t="s">
        <v>592</v>
      </c>
      <c r="E40" s="262">
        <v>10842</v>
      </c>
    </row>
    <row r="41" spans="1:5" ht="16">
      <c r="A41" s="262" t="s">
        <v>510</v>
      </c>
      <c r="B41" s="262">
        <v>746</v>
      </c>
      <c r="D41" s="282" t="s">
        <v>593</v>
      </c>
      <c r="E41" s="262">
        <v>355</v>
      </c>
    </row>
    <row r="42" spans="1:5" ht="16">
      <c r="A42" s="283" t="s">
        <v>511</v>
      </c>
      <c r="B42" s="262">
        <v>1296</v>
      </c>
      <c r="D42" s="284" t="s">
        <v>594</v>
      </c>
      <c r="E42" s="262">
        <v>-2146</v>
      </c>
    </row>
    <row r="43" spans="1:5" ht="16">
      <c r="A43" s="285" t="s">
        <v>595</v>
      </c>
      <c r="B43" s="262">
        <v>1299</v>
      </c>
    </row>
    <row r="44" spans="1:5" ht="16">
      <c r="A44" s="286" t="s">
        <v>596</v>
      </c>
      <c r="B44" s="262">
        <f>B37+B38-SUM(B41:B43)</f>
        <v>-535</v>
      </c>
      <c r="D44" s="281" t="s">
        <v>597</v>
      </c>
      <c r="E44" s="262">
        <v>568</v>
      </c>
    </row>
    <row r="46" spans="1:5" ht="16">
      <c r="A46" s="262" t="s">
        <v>493</v>
      </c>
      <c r="B46" s="262">
        <f>B15</f>
        <v>1585</v>
      </c>
    </row>
    <row r="48" spans="1:5" ht="16">
      <c r="A48" s="285" t="s">
        <v>598</v>
      </c>
      <c r="B48" s="262">
        <f>SUM(B18:B22)</f>
        <v>17619</v>
      </c>
      <c r="D48" s="287"/>
    </row>
    <row r="50" spans="1:5" ht="16">
      <c r="A50" s="286" t="s">
        <v>512</v>
      </c>
      <c r="B50" s="262">
        <f>B34+B44+B46+B48</f>
        <v>19176</v>
      </c>
      <c r="D50" s="281" t="s">
        <v>512</v>
      </c>
      <c r="E50" s="262">
        <f>E38+E40+E41+E42+E44</f>
        <v>19176</v>
      </c>
    </row>
  </sheetData>
  <mergeCells count="1">
    <mergeCell ref="A1:G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1434C-0A41-614C-BAA3-288797040CB9}">
  <sheetPr>
    <outlinePr summaryBelow="0" summaryRight="0"/>
  </sheetPr>
  <dimension ref="A1:F9"/>
  <sheetViews>
    <sheetView workbookViewId="0">
      <selection activeCell="E51" sqref="E51"/>
    </sheetView>
  </sheetViews>
  <sheetFormatPr baseColWidth="10" defaultColWidth="11.1640625" defaultRowHeight="15" customHeight="1"/>
  <cols>
    <col min="1" max="1" width="29" style="262" customWidth="1"/>
    <col min="2" max="2" width="18.6640625" style="262" customWidth="1"/>
    <col min="3" max="3" width="20.5" style="262" customWidth="1"/>
    <col min="4" max="4" width="17" style="262" customWidth="1"/>
    <col min="5" max="16384" width="11.1640625" style="262"/>
  </cols>
  <sheetData>
    <row r="1" spans="1:6" ht="16">
      <c r="A1" s="749" t="s">
        <v>599</v>
      </c>
      <c r="B1" s="748"/>
      <c r="C1" s="748"/>
      <c r="D1" s="748"/>
      <c r="E1" s="748"/>
      <c r="F1" s="748"/>
    </row>
    <row r="2" spans="1:6" ht="15" customHeight="1">
      <c r="A2" s="748"/>
      <c r="B2" s="748"/>
      <c r="C2" s="748"/>
      <c r="D2" s="748"/>
      <c r="E2" s="748"/>
      <c r="F2" s="748"/>
    </row>
    <row r="3" spans="1:6" ht="16">
      <c r="A3" s="288" t="s">
        <v>600</v>
      </c>
      <c r="B3" s="289">
        <v>-28</v>
      </c>
      <c r="C3" s="288" t="s">
        <v>601</v>
      </c>
      <c r="D3" s="290">
        <v>9557</v>
      </c>
      <c r="E3" s="288"/>
      <c r="F3" s="288"/>
    </row>
    <row r="4" spans="1:6" ht="16">
      <c r="A4" s="288" t="s">
        <v>602</v>
      </c>
      <c r="B4" s="290">
        <v>335</v>
      </c>
      <c r="C4" s="288" t="s">
        <v>603</v>
      </c>
      <c r="D4" s="290">
        <v>10842</v>
      </c>
      <c r="E4" s="288"/>
      <c r="F4" s="288"/>
    </row>
    <row r="5" spans="1:6" ht="16">
      <c r="A5" s="288" t="s">
        <v>604</v>
      </c>
      <c r="B5" s="290">
        <v>1585</v>
      </c>
      <c r="C5" s="288" t="s">
        <v>605</v>
      </c>
      <c r="D5" s="290">
        <v>568</v>
      </c>
      <c r="E5" s="288"/>
      <c r="F5" s="288"/>
    </row>
    <row r="6" spans="1:6" ht="16">
      <c r="A6" s="288" t="s">
        <v>606</v>
      </c>
      <c r="B6" s="291">
        <v>17619</v>
      </c>
      <c r="C6" s="288" t="s">
        <v>607</v>
      </c>
      <c r="D6" s="291">
        <v>355</v>
      </c>
      <c r="E6" s="288"/>
      <c r="F6" s="288"/>
    </row>
    <row r="7" spans="1:6" ht="16">
      <c r="A7" s="288" t="s">
        <v>608</v>
      </c>
      <c r="B7" s="290">
        <v>1571</v>
      </c>
      <c r="C7" s="288"/>
      <c r="D7" s="288"/>
      <c r="E7" s="288"/>
      <c r="F7" s="288"/>
    </row>
    <row r="8" spans="1:6" ht="16">
      <c r="A8" s="288" t="s">
        <v>609</v>
      </c>
      <c r="B8" s="290">
        <v>240</v>
      </c>
      <c r="C8" s="288"/>
      <c r="D8" s="288"/>
      <c r="E8" s="288"/>
      <c r="F8" s="288"/>
    </row>
    <row r="9" spans="1:6" ht="16">
      <c r="A9" s="292" t="s">
        <v>512</v>
      </c>
      <c r="B9" s="290">
        <f>SUM(B3:B8)</f>
        <v>21322</v>
      </c>
      <c r="C9" s="292" t="s">
        <v>512</v>
      </c>
      <c r="D9" s="290">
        <f>SUM(D3:D8)</f>
        <v>21322</v>
      </c>
      <c r="E9" s="288"/>
      <c r="F9" s="288"/>
    </row>
  </sheetData>
  <mergeCells count="1">
    <mergeCell ref="A1:F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36</vt:i4>
      </vt:variant>
      <vt:variant>
        <vt:lpstr>Named Ranges</vt:lpstr>
      </vt:variant>
      <vt:variant>
        <vt:i4>5</vt:i4>
      </vt:variant>
    </vt:vector>
  </HeadingPairs>
  <TitlesOfParts>
    <vt:vector size="41" baseType="lpstr">
      <vt:lpstr>Cover Page</vt:lpstr>
      <vt:lpstr>Revision Memo</vt:lpstr>
      <vt:lpstr>Bus Description</vt:lpstr>
      <vt:lpstr>IO&amp;CP</vt:lpstr>
      <vt:lpstr>BSori</vt:lpstr>
      <vt:lpstr>ISori</vt:lpstr>
      <vt:lpstr>CFori</vt:lpstr>
      <vt:lpstr>BSmod</vt:lpstr>
      <vt:lpstr>ISmod</vt:lpstr>
      <vt:lpstr>Finratios</vt:lpstr>
      <vt:lpstr>Final Valuation Conclusion</vt:lpstr>
      <vt:lpstr>Valuation Conclusion Risks</vt:lpstr>
      <vt:lpstr>Pessimistic Report</vt:lpstr>
      <vt:lpstr>Optimistic Report</vt:lpstr>
      <vt:lpstr>Neutral Report</vt:lpstr>
      <vt:lpstr>Valuation Conclusion (2)</vt:lpstr>
      <vt:lpstr>Valuation Conclusion</vt:lpstr>
      <vt:lpstr>FULL Proforma_Revised &amp; DCF</vt:lpstr>
      <vt:lpstr>FULL Proforma_Revised&amp;DCF RISKS</vt:lpstr>
      <vt:lpstr>Full Report</vt:lpstr>
      <vt:lpstr>Simple Proforma DCF Approach</vt:lpstr>
      <vt:lpstr>Simple Proforma Risks Crystal</vt:lpstr>
      <vt:lpstr>Simple Report</vt:lpstr>
      <vt:lpstr>Multiples Valuation</vt:lpstr>
      <vt:lpstr>Multiples Valuation Crystal</vt:lpstr>
      <vt:lpstr>Multiple Report</vt:lpstr>
      <vt:lpstr>WACC</vt:lpstr>
      <vt:lpstr>Revenue Growth</vt:lpstr>
      <vt:lpstr>Tax Rate</vt:lpstr>
      <vt:lpstr>Ex1. Population growth &amp; est</vt:lpstr>
      <vt:lpstr>xcyAccounting approach</vt:lpstr>
      <vt:lpstr>Isproforma_old</vt:lpstr>
      <vt:lpstr>Bsproforma_old</vt:lpstr>
      <vt:lpstr>risks</vt:lpstr>
      <vt:lpstr>zzyAccounting approach</vt:lpstr>
      <vt:lpstr>zzyEfficient market approach</vt:lpstr>
      <vt:lpstr>'Full Report'!Print_Area</vt:lpstr>
      <vt:lpstr>'Multiple Report'!Print_Area</vt:lpstr>
      <vt:lpstr>'Neutral Report'!Print_Area</vt:lpstr>
      <vt:lpstr>'Optimistic Report'!Print_Area</vt:lpstr>
      <vt:lpstr>'Simple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Zhexu Cheng</dc:creator>
  <cp:lastModifiedBy>Chengyi Xu</cp:lastModifiedBy>
  <dcterms:created xsi:type="dcterms:W3CDTF">2023-04-09T01:26:02Z</dcterms:created>
  <dcterms:modified xsi:type="dcterms:W3CDTF">2023-05-07T23:32:31Z</dcterms:modified>
</cp:coreProperties>
</file>