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stoddard\Desktop\"/>
    </mc:Choice>
  </mc:AlternateContent>
  <xr:revisionPtr revIDLastSave="0" documentId="8_{A4B5D5AB-F41D-4BE0-8CBD-62007CEF4290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Key Assumptions" sheetId="7" r:id="rId1"/>
    <sheet name="Nov 29" sheetId="3" r:id="rId2"/>
    <sheet name="Amortization schedule" sheetId="11" r:id="rId3"/>
    <sheet name="Sheet2" sheetId="6" r:id="rId4"/>
    <sheet name="Sensitivity Analysis" sheetId="4" r:id="rId5"/>
    <sheet name="Weighted average conversion" sheetId="12" r:id="rId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3" l="1"/>
  <c r="B11" i="3"/>
  <c r="B19" i="3"/>
  <c r="D25" i="3" l="1"/>
  <c r="E25" i="3" s="1"/>
  <c r="B6" i="3"/>
  <c r="B4" i="3" s="1"/>
  <c r="B3" i="3" l="1"/>
  <c r="D26" i="3"/>
  <c r="A10" i="12"/>
  <c r="A9" i="12"/>
  <c r="A4" i="12"/>
  <c r="B5" i="3" l="1"/>
  <c r="F25" i="3"/>
  <c r="F26" i="3" s="1"/>
  <c r="E26" i="3"/>
  <c r="D23" i="3"/>
  <c r="E23" i="3" s="1"/>
  <c r="F23" i="3" s="1"/>
  <c r="G23" i="3" s="1"/>
  <c r="H23" i="3" s="1"/>
  <c r="I23" i="3" s="1"/>
  <c r="D24" i="3" l="1"/>
  <c r="E24" i="3" s="1"/>
  <c r="F24" i="3" s="1"/>
  <c r="G24" i="3" s="1"/>
  <c r="H24" i="3" s="1"/>
  <c r="I24" i="3" s="1"/>
  <c r="D3" i="11" l="1"/>
  <c r="E42" i="3" l="1"/>
  <c r="D27" i="3"/>
  <c r="C7" i="7"/>
  <c r="C3" i="7" s="1"/>
  <c r="D28" i="3" l="1"/>
  <c r="D29" i="3"/>
  <c r="C41" i="3"/>
  <c r="C39" i="3" s="1"/>
  <c r="E27" i="3"/>
  <c r="C5" i="7"/>
  <c r="C6" i="7"/>
  <c r="E29" i="3" l="1"/>
  <c r="D56" i="3"/>
  <c r="F27" i="3"/>
  <c r="F28" i="3" s="1"/>
  <c r="D57" i="3" s="1"/>
  <c r="G25" i="3"/>
  <c r="D83" i="3"/>
  <c r="C67" i="3" l="1"/>
  <c r="D67" i="3" s="1"/>
  <c r="F67" i="3" s="1"/>
  <c r="D89" i="3"/>
  <c r="H25" i="3"/>
  <c r="H26" i="3" s="1"/>
  <c r="G26" i="3"/>
  <c r="G27" i="3" s="1"/>
  <c r="I25" i="3" l="1"/>
  <c r="I26" i="3" s="1"/>
  <c r="H27" i="3"/>
  <c r="H28" i="3" s="1"/>
  <c r="D81" i="3"/>
  <c r="D54" i="3" s="1"/>
  <c r="D5" i="11"/>
  <c r="H4" i="11" l="1"/>
  <c r="D4" i="11"/>
  <c r="H9" i="11" l="1"/>
  <c r="D9" i="11" s="1"/>
  <c r="F8" i="11"/>
  <c r="C9" i="11" l="1"/>
  <c r="H10" i="11"/>
  <c r="D10" i="11" l="1"/>
  <c r="C10" i="11"/>
  <c r="H11" i="11" l="1"/>
  <c r="C4" i="6"/>
  <c r="C3" i="6" s="1"/>
  <c r="B21" i="6" s="1"/>
  <c r="C9" i="6"/>
  <c r="C10" i="6" s="1"/>
  <c r="D6" i="11" l="1"/>
  <c r="K4" i="11" s="1"/>
  <c r="D11" i="11"/>
  <c r="C11" i="11"/>
  <c r="D9" i="6"/>
  <c r="D22" i="6"/>
  <c r="D4" i="6"/>
  <c r="D3" i="6" s="1"/>
  <c r="B4" i="6"/>
  <c r="B3" i="6" s="1"/>
  <c r="K8" i="11" l="1"/>
  <c r="H12" i="11"/>
  <c r="C12" i="11" s="1"/>
  <c r="E9" i="6"/>
  <c r="D10" i="6"/>
  <c r="C11" i="6"/>
  <c r="J9" i="11" l="1"/>
  <c r="G8" i="11"/>
  <c r="D12" i="11"/>
  <c r="H13" i="11" s="1"/>
  <c r="C13" i="11" s="1"/>
  <c r="F9" i="6"/>
  <c r="E10" i="6"/>
  <c r="C13" i="6"/>
  <c r="C12" i="6"/>
  <c r="C32" i="6" s="1"/>
  <c r="D11" i="6"/>
  <c r="C31" i="6"/>
  <c r="B41" i="6"/>
  <c r="C41" i="6" s="1"/>
  <c r="I9" i="11" l="1"/>
  <c r="D13" i="11"/>
  <c r="H14" i="11" s="1"/>
  <c r="C14" i="11" s="1"/>
  <c r="G9" i="6"/>
  <c r="F10" i="6"/>
  <c r="D13" i="6"/>
  <c r="D12" i="6"/>
  <c r="E11" i="6"/>
  <c r="C14" i="6"/>
  <c r="L9" i="11" l="1"/>
  <c r="K9" i="11"/>
  <c r="D14" i="11"/>
  <c r="H15" i="11" s="1"/>
  <c r="G10" i="6"/>
  <c r="H9" i="6"/>
  <c r="H10" i="6" s="1"/>
  <c r="E13" i="6"/>
  <c r="E12" i="6"/>
  <c r="D14" i="6"/>
  <c r="D23" i="6" s="1"/>
  <c r="F11" i="6"/>
  <c r="C35" i="6"/>
  <c r="C42" i="6" s="1"/>
  <c r="C34" i="6"/>
  <c r="C33" i="6"/>
  <c r="C29" i="6"/>
  <c r="C39" i="6" s="1"/>
  <c r="C23" i="6"/>
  <c r="C16" i="6"/>
  <c r="C18" i="6" s="1"/>
  <c r="N15" i="4"/>
  <c r="C8" i="4"/>
  <c r="J10" i="11" l="1"/>
  <c r="C15" i="11"/>
  <c r="D15" i="11"/>
  <c r="D8" i="4"/>
  <c r="E8" i="4" s="1"/>
  <c r="F8" i="4" s="1"/>
  <c r="C9" i="4"/>
  <c r="D9" i="4" s="1"/>
  <c r="F13" i="6"/>
  <c r="F12" i="6"/>
  <c r="E14" i="6"/>
  <c r="E23" i="6" s="1"/>
  <c r="D16" i="6"/>
  <c r="D18" i="6" s="1"/>
  <c r="C21" i="6"/>
  <c r="C30" i="6"/>
  <c r="G11" i="6"/>
  <c r="H16" i="11" l="1"/>
  <c r="C16" i="11" s="1"/>
  <c r="I10" i="11"/>
  <c r="L10" i="11" s="1"/>
  <c r="C10" i="4"/>
  <c r="G8" i="4"/>
  <c r="E9" i="4"/>
  <c r="F9" i="4" s="1"/>
  <c r="G13" i="6"/>
  <c r="G12" i="6"/>
  <c r="D21" i="6"/>
  <c r="F14" i="6"/>
  <c r="F23" i="6" s="1"/>
  <c r="E16" i="6"/>
  <c r="E18" i="6" s="1"/>
  <c r="H11" i="6"/>
  <c r="C3" i="4"/>
  <c r="D16" i="11" l="1"/>
  <c r="H17" i="11" s="1"/>
  <c r="D17" i="11" s="1"/>
  <c r="K10" i="11"/>
  <c r="J11" i="11" s="1"/>
  <c r="C2" i="4"/>
  <c r="C11" i="4"/>
  <c r="C31" i="4" s="1"/>
  <c r="C12" i="4"/>
  <c r="C13" i="4"/>
  <c r="G9" i="4"/>
  <c r="H9" i="4" s="1"/>
  <c r="H8" i="4"/>
  <c r="H12" i="6"/>
  <c r="H13" i="6"/>
  <c r="F16" i="6"/>
  <c r="F18" i="6" s="1"/>
  <c r="E21" i="6"/>
  <c r="G14" i="6"/>
  <c r="G23" i="6" s="1"/>
  <c r="C17" i="11" l="1"/>
  <c r="H18" i="11" s="1"/>
  <c r="I11" i="11"/>
  <c r="K11" i="11" s="1"/>
  <c r="C34" i="4"/>
  <c r="C41" i="4" s="1"/>
  <c r="C28" i="4"/>
  <c r="C22" i="4"/>
  <c r="C33" i="4"/>
  <c r="D21" i="4"/>
  <c r="B20" i="4"/>
  <c r="F21" i="6"/>
  <c r="H14" i="6"/>
  <c r="G25" i="6" s="1"/>
  <c r="G27" i="6" s="1"/>
  <c r="G19" i="6" s="1"/>
  <c r="G20" i="6" s="1"/>
  <c r="G16" i="6"/>
  <c r="G18" i="6" s="1"/>
  <c r="D10" i="4"/>
  <c r="B40" i="4"/>
  <c r="C40" i="4" s="1"/>
  <c r="C30" i="4"/>
  <c r="E28" i="3" l="1"/>
  <c r="J12" i="11"/>
  <c r="I12" i="11" s="1"/>
  <c r="K12" i="11" s="1"/>
  <c r="J13" i="11" s="1"/>
  <c r="I13" i="11" s="1"/>
  <c r="L11" i="11"/>
  <c r="D12" i="4"/>
  <c r="D11" i="4"/>
  <c r="D18" i="11"/>
  <c r="C18" i="11"/>
  <c r="G21" i="6"/>
  <c r="H21" i="6" s="1"/>
  <c r="C22" i="6"/>
  <c r="G22" i="6" s="1"/>
  <c r="C40" i="6"/>
  <c r="H16" i="6"/>
  <c r="H18" i="6" s="1"/>
  <c r="G26" i="6"/>
  <c r="I25" i="6" s="1"/>
  <c r="G28" i="6"/>
  <c r="E10" i="4"/>
  <c r="E11" i="4" s="1"/>
  <c r="D30" i="3" l="1"/>
  <c r="L12" i="11"/>
  <c r="L13" i="11" s="1"/>
  <c r="K13" i="11"/>
  <c r="J14" i="11" s="1"/>
  <c r="I14" i="11" s="1"/>
  <c r="E12" i="4"/>
  <c r="H19" i="11"/>
  <c r="E30" i="3"/>
  <c r="I21" i="6"/>
  <c r="I19" i="6"/>
  <c r="I24" i="6"/>
  <c r="I28" i="6"/>
  <c r="D13" i="4"/>
  <c r="D22" i="4" s="1"/>
  <c r="F10" i="4"/>
  <c r="F11" i="4" s="1"/>
  <c r="C38" i="4"/>
  <c r="F65" i="3" l="1"/>
  <c r="D74" i="3"/>
  <c r="D60" i="3"/>
  <c r="D68" i="3" s="1"/>
  <c r="D53" i="3"/>
  <c r="D62" i="3" s="1"/>
  <c r="D59" i="3"/>
  <c r="D37" i="3"/>
  <c r="K14" i="11"/>
  <c r="J15" i="11" s="1"/>
  <c r="I15" i="11" s="1"/>
  <c r="L14" i="11"/>
  <c r="F12" i="4"/>
  <c r="D19" i="11"/>
  <c r="C19" i="11"/>
  <c r="E13" i="4"/>
  <c r="E22" i="4" s="1"/>
  <c r="G10" i="4"/>
  <c r="G11" i="4" s="1"/>
  <c r="B21" i="7" l="1"/>
  <c r="B22" i="7" s="1"/>
  <c r="L15" i="11"/>
  <c r="K15" i="11"/>
  <c r="J16" i="11" s="1"/>
  <c r="I16" i="11" s="1"/>
  <c r="G12" i="4"/>
  <c r="H20" i="11"/>
  <c r="F13" i="4"/>
  <c r="F22" i="4" s="1"/>
  <c r="H10" i="4"/>
  <c r="H11" i="4" s="1"/>
  <c r="L16" i="11" l="1"/>
  <c r="K16" i="11"/>
  <c r="J17" i="11" s="1"/>
  <c r="I17" i="11" s="1"/>
  <c r="H12" i="4"/>
  <c r="C20" i="11"/>
  <c r="D20" i="11"/>
  <c r="G13" i="4"/>
  <c r="G22" i="4" s="1"/>
  <c r="L17" i="11" l="1"/>
  <c r="K17" i="11"/>
  <c r="J18" i="11" s="1"/>
  <c r="I18" i="11" s="1"/>
  <c r="H13" i="4"/>
  <c r="H21" i="11"/>
  <c r="I2" i="4"/>
  <c r="L18" i="11" l="1"/>
  <c r="G24" i="4"/>
  <c r="G25" i="4" s="1"/>
  <c r="C42" i="4" s="1"/>
  <c r="C39" i="4"/>
  <c r="D21" i="11"/>
  <c r="C21" i="11"/>
  <c r="K18" i="11"/>
  <c r="I23" i="4"/>
  <c r="G26" i="4" l="1"/>
  <c r="G27" i="4" s="1"/>
  <c r="I27" i="4" s="1"/>
  <c r="J19" i="11"/>
  <c r="I19" i="11" s="1"/>
  <c r="L19" i="11" s="1"/>
  <c r="H22" i="11"/>
  <c r="I24" i="4"/>
  <c r="D22" i="11" l="1"/>
  <c r="C22" i="11"/>
  <c r="K19" i="11"/>
  <c r="H23" i="11" l="1"/>
  <c r="D23" i="11" s="1"/>
  <c r="J20" i="11"/>
  <c r="I20" i="11" s="1"/>
  <c r="L20" i="11" s="1"/>
  <c r="C23" i="11" l="1"/>
  <c r="H24" i="11" s="1"/>
  <c r="K20" i="11"/>
  <c r="D24" i="11" l="1"/>
  <c r="C24" i="11"/>
  <c r="J21" i="11"/>
  <c r="I21" i="11" s="1"/>
  <c r="L21" i="11" s="1"/>
  <c r="H25" i="11" l="1"/>
  <c r="D25" i="11" s="1"/>
  <c r="K21" i="11"/>
  <c r="J22" i="11" s="1"/>
  <c r="I22" i="11" s="1"/>
  <c r="L22" i="11" s="1"/>
  <c r="C25" i="11" l="1"/>
  <c r="H26" i="11" s="1"/>
  <c r="D26" i="11" s="1"/>
  <c r="K22" i="11"/>
  <c r="C26" i="11" l="1"/>
  <c r="H27" i="11" s="1"/>
  <c r="J23" i="11"/>
  <c r="I23" i="11" s="1"/>
  <c r="L23" i="11" s="1"/>
  <c r="D27" i="11" l="1"/>
  <c r="C27" i="11"/>
  <c r="H28" i="11" s="1"/>
  <c r="K23" i="11"/>
  <c r="D28" i="11" l="1"/>
  <c r="C28" i="11"/>
  <c r="J24" i="11"/>
  <c r="I24" i="11" s="1"/>
  <c r="L24" i="11" s="1"/>
  <c r="K24" i="11" l="1"/>
  <c r="H29" i="11"/>
  <c r="D29" i="11" l="1"/>
  <c r="C29" i="11"/>
  <c r="J25" i="11"/>
  <c r="I25" i="11" s="1"/>
  <c r="L25" i="11" s="1"/>
  <c r="H30" i="11" l="1"/>
  <c r="C30" i="11" s="1"/>
  <c r="K25" i="11"/>
  <c r="D30" i="11" l="1"/>
  <c r="H31" i="11" s="1"/>
  <c r="C31" i="11" s="1"/>
  <c r="J26" i="11"/>
  <c r="I26" i="11" s="1"/>
  <c r="L26" i="11" s="1"/>
  <c r="D31" i="11" l="1"/>
  <c r="H32" i="11" s="1"/>
  <c r="C32" i="11" s="1"/>
  <c r="K26" i="11"/>
  <c r="D32" i="11" l="1"/>
  <c r="H33" i="11" s="1"/>
  <c r="D33" i="11" s="1"/>
  <c r="J27" i="11"/>
  <c r="I27" i="11" s="1"/>
  <c r="L27" i="11" s="1"/>
  <c r="C33" i="11" l="1"/>
  <c r="H34" i="11" s="1"/>
  <c r="K27" i="11"/>
  <c r="D34" i="11" l="1"/>
  <c r="C34" i="11"/>
  <c r="J28" i="11"/>
  <c r="I28" i="11" s="1"/>
  <c r="L28" i="11" s="1"/>
  <c r="K28" i="11" l="1"/>
  <c r="H35" i="11"/>
  <c r="D35" i="11" l="1"/>
  <c r="C35" i="11"/>
  <c r="J29" i="11"/>
  <c r="I29" i="11" s="1"/>
  <c r="L29" i="11" s="1"/>
  <c r="K29" i="11" l="1"/>
  <c r="H36" i="11"/>
  <c r="C36" i="11" l="1"/>
  <c r="D36" i="11"/>
  <c r="J30" i="11"/>
  <c r="I30" i="11" s="1"/>
  <c r="L30" i="11" s="1"/>
  <c r="H37" i="11" l="1"/>
  <c r="D37" i="11" s="1"/>
  <c r="K30" i="11"/>
  <c r="C37" i="11" l="1"/>
  <c r="H38" i="11" s="1"/>
  <c r="J31" i="11"/>
  <c r="I31" i="11" s="1"/>
  <c r="L31" i="11" s="1"/>
  <c r="D38" i="11" l="1"/>
  <c r="C38" i="11"/>
  <c r="K31" i="11"/>
  <c r="J32" i="11" l="1"/>
  <c r="I32" i="11" s="1"/>
  <c r="L32" i="11" s="1"/>
  <c r="H39" i="11"/>
  <c r="K32" i="11" l="1"/>
  <c r="J33" i="11" s="1"/>
  <c r="I33" i="11" s="1"/>
  <c r="L33" i="11" s="1"/>
  <c r="D39" i="11"/>
  <c r="C39" i="11"/>
  <c r="H40" i="11" l="1"/>
  <c r="K33" i="11"/>
  <c r="J34" i="11" l="1"/>
  <c r="I34" i="11" s="1"/>
  <c r="L34" i="11" s="1"/>
  <c r="D40" i="11"/>
  <c r="C40" i="11"/>
  <c r="H41" i="11" l="1"/>
  <c r="D41" i="11" s="1"/>
  <c r="K34" i="11"/>
  <c r="C41" i="11" l="1"/>
  <c r="H42" i="11" s="1"/>
  <c r="J35" i="11"/>
  <c r="I35" i="11" s="1"/>
  <c r="L35" i="11" s="1"/>
  <c r="K35" i="11" l="1"/>
  <c r="J36" i="11" s="1"/>
  <c r="I36" i="11" s="1"/>
  <c r="L36" i="11" s="1"/>
  <c r="D42" i="11"/>
  <c r="C42" i="11"/>
  <c r="K36" i="11" l="1"/>
  <c r="H43" i="11"/>
  <c r="D43" i="11" l="1"/>
  <c r="C43" i="11"/>
  <c r="J37" i="11"/>
  <c r="I37" i="11" s="1"/>
  <c r="L37" i="11" s="1"/>
  <c r="K37" i="11" l="1"/>
  <c r="H44" i="11"/>
  <c r="D44" i="11" l="1"/>
  <c r="C44" i="11"/>
  <c r="J38" i="11"/>
  <c r="I38" i="11" s="1"/>
  <c r="L38" i="11" s="1"/>
  <c r="K38" i="11" l="1"/>
  <c r="H45" i="11"/>
  <c r="D45" i="11" l="1"/>
  <c r="C45" i="11"/>
  <c r="J39" i="11"/>
  <c r="I39" i="11" s="1"/>
  <c r="L39" i="11" s="1"/>
  <c r="K39" i="11" l="1"/>
  <c r="H46" i="11"/>
  <c r="D46" i="11" l="1"/>
  <c r="C46" i="11"/>
  <c r="J40" i="11"/>
  <c r="I40" i="11" s="1"/>
  <c r="L40" i="11" s="1"/>
  <c r="K40" i="11" l="1"/>
  <c r="H47" i="11"/>
  <c r="D47" i="11" l="1"/>
  <c r="C47" i="11"/>
  <c r="J41" i="11"/>
  <c r="I41" i="11" s="1"/>
  <c r="L41" i="11" s="1"/>
  <c r="K41" i="11" l="1"/>
  <c r="H48" i="11"/>
  <c r="C48" i="11" l="1"/>
  <c r="D48" i="11"/>
  <c r="J42" i="11"/>
  <c r="I42" i="11" s="1"/>
  <c r="L42" i="11" s="1"/>
  <c r="H49" i="11" l="1"/>
  <c r="D49" i="11" s="1"/>
  <c r="K42" i="11"/>
  <c r="C49" i="11" l="1"/>
  <c r="H50" i="11" s="1"/>
  <c r="J43" i="11"/>
  <c r="I43" i="11" s="1"/>
  <c r="L43" i="11" s="1"/>
  <c r="K43" i="11" l="1"/>
  <c r="J44" i="11" s="1"/>
  <c r="I44" i="11" s="1"/>
  <c r="L44" i="11" s="1"/>
  <c r="D50" i="11"/>
  <c r="C50" i="11"/>
  <c r="K44" i="11" l="1"/>
  <c r="H51" i="11"/>
  <c r="D51" i="11" l="1"/>
  <c r="C51" i="11"/>
  <c r="J45" i="11"/>
  <c r="I45" i="11" s="1"/>
  <c r="L45" i="11" s="1"/>
  <c r="K45" i="11" l="1"/>
  <c r="H52" i="11"/>
  <c r="D52" i="11" l="1"/>
  <c r="C52" i="11"/>
  <c r="J46" i="11"/>
  <c r="I46" i="11" s="1"/>
  <c r="L46" i="11" s="1"/>
  <c r="K46" i="11" l="1"/>
  <c r="J47" i="11" s="1"/>
  <c r="I47" i="11" s="1"/>
  <c r="L47" i="11" s="1"/>
  <c r="H53" i="11"/>
  <c r="D53" i="11" l="1"/>
  <c r="C53" i="11"/>
  <c r="K47" i="11"/>
  <c r="J48" i="11" l="1"/>
  <c r="I48" i="11" s="1"/>
  <c r="L48" i="11" s="1"/>
  <c r="H54" i="11"/>
  <c r="K48" i="11" l="1"/>
  <c r="J49" i="11" s="1"/>
  <c r="I49" i="11" s="1"/>
  <c r="L49" i="11" s="1"/>
  <c r="D54" i="11"/>
  <c r="C54" i="11"/>
  <c r="K49" i="11" l="1"/>
  <c r="H55" i="11"/>
  <c r="D55" i="11" l="1"/>
  <c r="C55" i="11"/>
  <c r="J50" i="11"/>
  <c r="I50" i="11" s="1"/>
  <c r="L50" i="11" s="1"/>
  <c r="K50" i="11" l="1"/>
  <c r="H56" i="11"/>
  <c r="D56" i="11" l="1"/>
  <c r="C56" i="11"/>
  <c r="J51" i="11"/>
  <c r="I51" i="11" s="1"/>
  <c r="L51" i="11" s="1"/>
  <c r="H57" i="11" l="1"/>
  <c r="C57" i="11" s="1"/>
  <c r="K51" i="11"/>
  <c r="D57" i="11" l="1"/>
  <c r="H58" i="11" s="1"/>
  <c r="J52" i="11"/>
  <c r="I52" i="11" s="1"/>
  <c r="L52" i="11" s="1"/>
  <c r="K52" i="11" l="1"/>
  <c r="D58" i="11"/>
  <c r="C58" i="11"/>
  <c r="H59" i="11" l="1"/>
  <c r="J53" i="11"/>
  <c r="I53" i="11" s="1"/>
  <c r="L53" i="11" s="1"/>
  <c r="K53" i="11" l="1"/>
  <c r="D59" i="11"/>
  <c r="C59" i="11"/>
  <c r="H60" i="11" l="1"/>
  <c r="J54" i="11"/>
  <c r="I54" i="11" s="1"/>
  <c r="L54" i="11" s="1"/>
  <c r="K54" i="11" l="1"/>
  <c r="C60" i="11"/>
  <c r="D60" i="11"/>
  <c r="H61" i="11" s="1"/>
  <c r="C61" i="11" l="1"/>
  <c r="D61" i="11"/>
  <c r="H62" i="11" s="1"/>
  <c r="J55" i="11"/>
  <c r="I55" i="11" s="1"/>
  <c r="L55" i="11" s="1"/>
  <c r="K55" i="11" l="1"/>
  <c r="D62" i="11"/>
  <c r="C62" i="11"/>
  <c r="H63" i="11" l="1"/>
  <c r="D63" i="11" s="1"/>
  <c r="J56" i="11"/>
  <c r="I56" i="11" s="1"/>
  <c r="L56" i="11" s="1"/>
  <c r="C63" i="11" l="1"/>
  <c r="K56" i="11"/>
  <c r="H64" i="11"/>
  <c r="D64" i="11" l="1"/>
  <c r="C64" i="11"/>
  <c r="J57" i="11"/>
  <c r="I57" i="11" s="1"/>
  <c r="L57" i="11" s="1"/>
  <c r="K57" i="11" l="1"/>
  <c r="H65" i="11"/>
  <c r="D65" i="11" l="1"/>
  <c r="C65" i="11"/>
  <c r="J58" i="11"/>
  <c r="I58" i="11" s="1"/>
  <c r="L58" i="11" s="1"/>
  <c r="K58" i="11" l="1"/>
  <c r="J59" i="11" s="1"/>
  <c r="I59" i="11" s="1"/>
  <c r="L59" i="11" s="1"/>
  <c r="H66" i="11"/>
  <c r="D66" i="11" s="1"/>
  <c r="C66" i="11" l="1"/>
  <c r="H67" i="11"/>
  <c r="K59" i="11"/>
  <c r="J60" i="11" l="1"/>
  <c r="I60" i="11" s="1"/>
  <c r="L60" i="11" s="1"/>
  <c r="C67" i="11"/>
  <c r="D67" i="11"/>
  <c r="H68" i="11" s="1"/>
  <c r="C68" i="11" l="1"/>
  <c r="D68" i="11"/>
  <c r="H69" i="11" s="1"/>
  <c r="K60" i="11"/>
  <c r="J61" i="11" l="1"/>
  <c r="I61" i="11" s="1"/>
  <c r="L61" i="11" s="1"/>
  <c r="D69" i="11"/>
  <c r="C69" i="11"/>
  <c r="H70" i="11" l="1"/>
  <c r="K61" i="11"/>
  <c r="J62" i="11" l="1"/>
  <c r="I62" i="11" s="1"/>
  <c r="L62" i="11" s="1"/>
  <c r="D70" i="11"/>
  <c r="C70" i="11"/>
  <c r="H71" i="11" l="1"/>
  <c r="K62" i="11"/>
  <c r="J63" i="11" l="1"/>
  <c r="I63" i="11" s="1"/>
  <c r="L63" i="11" s="1"/>
  <c r="D71" i="11"/>
  <c r="C71" i="11"/>
  <c r="H72" i="11" l="1"/>
  <c r="C72" i="11" s="1"/>
  <c r="K63" i="11"/>
  <c r="D72" i="11" l="1"/>
  <c r="H73" i="11" s="1"/>
  <c r="C73" i="11" s="1"/>
  <c r="J64" i="11"/>
  <c r="I64" i="11" s="1"/>
  <c r="L64" i="11" s="1"/>
  <c r="D73" i="11" l="1"/>
  <c r="H74" i="11" s="1"/>
  <c r="D74" i="11" s="1"/>
  <c r="K64" i="11"/>
  <c r="J65" i="11" s="1"/>
  <c r="I65" i="11" s="1"/>
  <c r="L65" i="11" s="1"/>
  <c r="C74" i="11" l="1"/>
  <c r="H75" i="11"/>
  <c r="K65" i="11"/>
  <c r="J66" i="11" l="1"/>
  <c r="I66" i="11" s="1"/>
  <c r="L66" i="11" s="1"/>
  <c r="D75" i="11"/>
  <c r="C75" i="11"/>
  <c r="H76" i="11" l="1"/>
  <c r="K66" i="11"/>
  <c r="J67" i="11" l="1"/>
  <c r="I67" i="11" s="1"/>
  <c r="L67" i="11" s="1"/>
  <c r="C76" i="11"/>
  <c r="D76" i="11"/>
  <c r="H77" i="11" s="1"/>
  <c r="D77" i="11" l="1"/>
  <c r="C77" i="11"/>
  <c r="K67" i="11"/>
  <c r="J68" i="11" l="1"/>
  <c r="I68" i="11" s="1"/>
  <c r="L68" i="11" s="1"/>
  <c r="H78" i="11"/>
  <c r="K68" i="11" l="1"/>
  <c r="D78" i="11"/>
  <c r="C78" i="11"/>
  <c r="J69" i="11" l="1"/>
  <c r="I69" i="11" s="1"/>
  <c r="L69" i="11" s="1"/>
  <c r="G18" i="4"/>
  <c r="H79" i="11"/>
  <c r="C79" i="11" s="1"/>
  <c r="K69" i="11" l="1"/>
  <c r="J70" i="11" s="1"/>
  <c r="I70" i="11" s="1"/>
  <c r="L70" i="11" s="1"/>
  <c r="G19" i="4"/>
  <c r="D79" i="11"/>
  <c r="H80" i="11" s="1"/>
  <c r="D80" i="11" s="1"/>
  <c r="K70" i="11" l="1"/>
  <c r="J71" i="11" s="1"/>
  <c r="I71" i="11" s="1"/>
  <c r="L71" i="11" s="1"/>
  <c r="C80" i="11"/>
  <c r="H81" i="11" s="1"/>
  <c r="D81" i="11" l="1"/>
  <c r="C81" i="11"/>
  <c r="K71" i="11"/>
  <c r="J72" i="11" l="1"/>
  <c r="I72" i="11" s="1"/>
  <c r="L72" i="11" s="1"/>
  <c r="H82" i="11"/>
  <c r="K72" i="11" l="1"/>
  <c r="J73" i="11" s="1"/>
  <c r="I73" i="11" s="1"/>
  <c r="L73" i="11" s="1"/>
  <c r="D82" i="11"/>
  <c r="C82" i="11"/>
  <c r="K73" i="11" l="1"/>
  <c r="H83" i="11"/>
  <c r="C83" i="11" l="1"/>
  <c r="D83" i="11"/>
  <c r="H84" i="11" s="1"/>
  <c r="J74" i="11"/>
  <c r="I74" i="11" s="1"/>
  <c r="L74" i="11" s="1"/>
  <c r="C84" i="11" l="1"/>
  <c r="D84" i="11"/>
  <c r="H85" i="11" s="1"/>
  <c r="K74" i="11"/>
  <c r="J75" i="11" l="1"/>
  <c r="I75" i="11" s="1"/>
  <c r="L75" i="11" s="1"/>
  <c r="C85" i="11"/>
  <c r="D85" i="11"/>
  <c r="H86" i="11" l="1"/>
  <c r="D86" i="11" s="1"/>
  <c r="K75" i="11"/>
  <c r="C86" i="11" l="1"/>
  <c r="J76" i="11"/>
  <c r="I76" i="11" s="1"/>
  <c r="L76" i="11" s="1"/>
  <c r="H87" i="11"/>
  <c r="D87" i="11" l="1"/>
  <c r="C87" i="11"/>
  <c r="K76" i="11"/>
  <c r="J77" i="11" l="1"/>
  <c r="I77" i="11" s="1"/>
  <c r="L77" i="11" s="1"/>
  <c r="H88" i="11"/>
  <c r="C88" i="11" l="1"/>
  <c r="D88" i="11"/>
  <c r="K77" i="11"/>
  <c r="H89" i="11" l="1"/>
  <c r="C89" i="11" s="1"/>
  <c r="J78" i="11"/>
  <c r="I78" i="11" s="1"/>
  <c r="L78" i="11" s="1"/>
  <c r="D89" i="11" l="1"/>
  <c r="H90" i="11"/>
  <c r="K78" i="11"/>
  <c r="J79" i="11" l="1"/>
  <c r="I79" i="11" s="1"/>
  <c r="L79" i="11" s="1"/>
  <c r="D90" i="11"/>
  <c r="C90" i="11"/>
  <c r="H91" i="11" l="1"/>
  <c r="D91" i="11" s="1"/>
  <c r="K79" i="11"/>
  <c r="J80" i="11" s="1"/>
  <c r="I80" i="11" s="1"/>
  <c r="L80" i="11" s="1"/>
  <c r="C91" i="11" l="1"/>
  <c r="H92" i="11" s="1"/>
  <c r="K80" i="11"/>
  <c r="C92" i="11" l="1"/>
  <c r="D92" i="11"/>
  <c r="H93" i="11" s="1"/>
  <c r="D93" i="11" s="1"/>
  <c r="J81" i="11"/>
  <c r="I81" i="11" s="1"/>
  <c r="L81" i="11" s="1"/>
  <c r="C93" i="11" l="1"/>
  <c r="H94" i="11"/>
  <c r="D94" i="11" s="1"/>
  <c r="K81" i="11"/>
  <c r="C94" i="11" l="1"/>
  <c r="H95" i="11" s="1"/>
  <c r="J82" i="11"/>
  <c r="I82" i="11" s="1"/>
  <c r="L82" i="11" s="1"/>
  <c r="D95" i="11" l="1"/>
  <c r="C95" i="11"/>
  <c r="K82" i="11"/>
  <c r="H96" i="11" l="1"/>
  <c r="J83" i="11"/>
  <c r="I83" i="11" s="1"/>
  <c r="L83" i="11" s="1"/>
  <c r="D96" i="11" l="1"/>
  <c r="C96" i="11"/>
  <c r="K83" i="11"/>
  <c r="H97" i="11" l="1"/>
  <c r="J84" i="11"/>
  <c r="I84" i="11" s="1"/>
  <c r="L84" i="11" s="1"/>
  <c r="D97" i="11" l="1"/>
  <c r="C97" i="11"/>
  <c r="K84" i="11"/>
  <c r="H98" i="11" l="1"/>
  <c r="J85" i="11"/>
  <c r="I85" i="11" s="1"/>
  <c r="L85" i="11" s="1"/>
  <c r="D98" i="11" l="1"/>
  <c r="C98" i="11"/>
  <c r="K85" i="11"/>
  <c r="H99" i="11" l="1"/>
  <c r="J86" i="11"/>
  <c r="I86" i="11" s="1"/>
  <c r="L86" i="11" s="1"/>
  <c r="D99" i="11" l="1"/>
  <c r="C99" i="11"/>
  <c r="K86" i="11"/>
  <c r="H100" i="11" l="1"/>
  <c r="J87" i="11"/>
  <c r="I87" i="11" s="1"/>
  <c r="L87" i="11" s="1"/>
  <c r="K87" i="11" l="1"/>
  <c r="J88" i="11" s="1"/>
  <c r="I88" i="11" s="1"/>
  <c r="L88" i="11" s="1"/>
  <c r="D100" i="11"/>
  <c r="C100" i="11"/>
  <c r="H101" i="11" l="1"/>
  <c r="K88" i="11"/>
  <c r="D101" i="11" l="1"/>
  <c r="C101" i="11"/>
  <c r="J89" i="11"/>
  <c r="I89" i="11" s="1"/>
  <c r="L89" i="11" s="1"/>
  <c r="H102" i="11" l="1"/>
  <c r="K89" i="11"/>
  <c r="C102" i="11" l="1"/>
  <c r="D102" i="11"/>
  <c r="H103" i="11" s="1"/>
  <c r="J90" i="11"/>
  <c r="I90" i="11" s="1"/>
  <c r="L90" i="11" s="1"/>
  <c r="C103" i="11" l="1"/>
  <c r="D103" i="11"/>
  <c r="H104" i="11" s="1"/>
  <c r="K90" i="11"/>
  <c r="D104" i="11" l="1"/>
  <c r="C104" i="11"/>
  <c r="J91" i="11"/>
  <c r="I91" i="11" s="1"/>
  <c r="L91" i="11" s="1"/>
  <c r="H105" i="11" l="1"/>
  <c r="K91" i="11"/>
  <c r="C105" i="11" l="1"/>
  <c r="D105" i="11"/>
  <c r="H106" i="11" s="1"/>
  <c r="J92" i="11"/>
  <c r="I92" i="11" s="1"/>
  <c r="L92" i="11" s="1"/>
  <c r="K92" i="11" l="1"/>
  <c r="J93" i="11" s="1"/>
  <c r="I93" i="11" s="1"/>
  <c r="L93" i="11" s="1"/>
  <c r="D106" i="11"/>
  <c r="C106" i="11"/>
  <c r="K93" i="11" l="1"/>
  <c r="J94" i="11" s="1"/>
  <c r="I94" i="11" s="1"/>
  <c r="L94" i="11" s="1"/>
  <c r="H107" i="11"/>
  <c r="D107" i="11" l="1"/>
  <c r="C107" i="11"/>
  <c r="K94" i="11"/>
  <c r="H108" i="11" l="1"/>
  <c r="J95" i="11"/>
  <c r="I95" i="11" s="1"/>
  <c r="L95" i="11" s="1"/>
  <c r="C108" i="11" l="1"/>
  <c r="D108" i="11"/>
  <c r="H109" i="11" s="1"/>
  <c r="K95" i="11"/>
  <c r="D109" i="11" l="1"/>
  <c r="C109" i="11"/>
  <c r="J96" i="11"/>
  <c r="I96" i="11" s="1"/>
  <c r="L96" i="11" s="1"/>
  <c r="H110" i="11" l="1"/>
  <c r="K96" i="11"/>
  <c r="D110" i="11" l="1"/>
  <c r="C110" i="11"/>
  <c r="J97" i="11"/>
  <c r="I97" i="11" s="1"/>
  <c r="L97" i="11" s="1"/>
  <c r="H111" i="11" l="1"/>
  <c r="K97" i="11"/>
  <c r="D111" i="11" l="1"/>
  <c r="C111" i="11"/>
  <c r="J98" i="11"/>
  <c r="I98" i="11" s="1"/>
  <c r="L98" i="11" s="1"/>
  <c r="H112" i="11" l="1"/>
  <c r="K98" i="11"/>
  <c r="C112" i="11" l="1"/>
  <c r="D112" i="11"/>
  <c r="H113" i="11" s="1"/>
  <c r="J99" i="11"/>
  <c r="I99" i="11" s="1"/>
  <c r="L99" i="11" s="1"/>
  <c r="D113" i="11" l="1"/>
  <c r="C113" i="11"/>
  <c r="K99" i="11"/>
  <c r="H114" i="11" l="1"/>
  <c r="J100" i="11"/>
  <c r="I100" i="11" s="1"/>
  <c r="L100" i="11" s="1"/>
  <c r="D114" i="11" l="1"/>
  <c r="C114" i="11"/>
  <c r="K100" i="11"/>
  <c r="H115" i="11" l="1"/>
  <c r="J101" i="11"/>
  <c r="I101" i="11" s="1"/>
  <c r="L101" i="11" s="1"/>
  <c r="K101" i="11" l="1"/>
  <c r="J102" i="11" s="1"/>
  <c r="I102" i="11" s="1"/>
  <c r="L102" i="11" s="1"/>
  <c r="D115" i="11"/>
  <c r="C115" i="11"/>
  <c r="H116" i="11" l="1"/>
  <c r="K102" i="11"/>
  <c r="C116" i="11" l="1"/>
  <c r="D116" i="11"/>
  <c r="J103" i="11"/>
  <c r="I103" i="11" s="1"/>
  <c r="L103" i="11" s="1"/>
  <c r="H117" i="11" l="1"/>
  <c r="D117" i="11" s="1"/>
  <c r="K103" i="11"/>
  <c r="J104" i="11" s="1"/>
  <c r="I104" i="11" s="1"/>
  <c r="L104" i="11" s="1"/>
  <c r="C117" i="11" l="1"/>
  <c r="H118" i="11" s="1"/>
  <c r="K104" i="11"/>
  <c r="J105" i="11" s="1"/>
  <c r="I105" i="11" s="1"/>
  <c r="L105" i="11" s="1"/>
  <c r="D118" i="11" l="1"/>
  <c r="C118" i="11"/>
  <c r="H119" i="11" s="1"/>
  <c r="K105" i="11"/>
  <c r="C119" i="11" l="1"/>
  <c r="D119" i="11"/>
  <c r="J106" i="11"/>
  <c r="I106" i="11" s="1"/>
  <c r="L106" i="11" s="1"/>
  <c r="H120" i="11" l="1"/>
  <c r="C120" i="11" s="1"/>
  <c r="K106" i="11"/>
  <c r="D120" i="11" l="1"/>
  <c r="H121" i="11" s="1"/>
  <c r="J107" i="11"/>
  <c r="I107" i="11" s="1"/>
  <c r="L107" i="11" s="1"/>
  <c r="C121" i="11" l="1"/>
  <c r="D121" i="11"/>
  <c r="H122" i="11" s="1"/>
  <c r="C122" i="11" s="1"/>
  <c r="K107" i="11"/>
  <c r="D122" i="11" l="1"/>
  <c r="H123" i="11" s="1"/>
  <c r="C123" i="11" s="1"/>
  <c r="J108" i="11"/>
  <c r="I108" i="11" s="1"/>
  <c r="L108" i="11" s="1"/>
  <c r="D123" i="11" l="1"/>
  <c r="H124" i="11" s="1"/>
  <c r="C124" i="11" s="1"/>
  <c r="K108" i="11"/>
  <c r="D124" i="11" l="1"/>
  <c r="H125" i="11" s="1"/>
  <c r="C125" i="11" s="1"/>
  <c r="J109" i="11"/>
  <c r="I109" i="11" s="1"/>
  <c r="L109" i="11" s="1"/>
  <c r="D125" i="11" l="1"/>
  <c r="H126" i="11" s="1"/>
  <c r="D126" i="11" s="1"/>
  <c r="K109" i="11"/>
  <c r="C126" i="11" l="1"/>
  <c r="H127" i="11"/>
  <c r="J110" i="11"/>
  <c r="I110" i="11" s="1"/>
  <c r="L110" i="11" s="1"/>
  <c r="D127" i="11" l="1"/>
  <c r="C127" i="11"/>
  <c r="K110" i="11"/>
  <c r="H128" i="11" l="1"/>
  <c r="J111" i="11"/>
  <c r="I111" i="11" s="1"/>
  <c r="L111" i="11" s="1"/>
  <c r="D128" i="11" l="1"/>
  <c r="C128" i="11"/>
  <c r="K111" i="11"/>
  <c r="H129" i="11" l="1"/>
  <c r="J112" i="11"/>
  <c r="I112" i="11" s="1"/>
  <c r="L112" i="11" s="1"/>
  <c r="K112" i="11" l="1"/>
  <c r="J113" i="11" s="1"/>
  <c r="I113" i="11" s="1"/>
  <c r="L113" i="11" s="1"/>
  <c r="C129" i="11"/>
  <c r="D129" i="11"/>
  <c r="H130" i="11" s="1"/>
  <c r="C130" i="11" l="1"/>
  <c r="D130" i="11"/>
  <c r="H131" i="11" s="1"/>
  <c r="K113" i="11"/>
  <c r="D131" i="11" l="1"/>
  <c r="C131" i="11"/>
  <c r="J114" i="11"/>
  <c r="I114" i="11" s="1"/>
  <c r="L114" i="11" s="1"/>
  <c r="H132" i="11" l="1"/>
  <c r="K114" i="11"/>
  <c r="C132" i="11" l="1"/>
  <c r="D132" i="11"/>
  <c r="H133" i="11" s="1"/>
  <c r="J115" i="11"/>
  <c r="I115" i="11" s="1"/>
  <c r="L115" i="11" s="1"/>
  <c r="D133" i="11" l="1"/>
  <c r="C133" i="11"/>
  <c r="K115" i="11"/>
  <c r="H134" i="11" l="1"/>
  <c r="J116" i="11"/>
  <c r="I116" i="11" s="1"/>
  <c r="L116" i="11" s="1"/>
  <c r="D134" i="11" l="1"/>
  <c r="C134" i="11"/>
  <c r="K116" i="11"/>
  <c r="H135" i="11" l="1"/>
  <c r="J117" i="11"/>
  <c r="I117" i="11" s="1"/>
  <c r="L117" i="11" s="1"/>
  <c r="D135" i="11" l="1"/>
  <c r="C135" i="11"/>
  <c r="K117" i="11"/>
  <c r="H136" i="11" l="1"/>
  <c r="J118" i="11"/>
  <c r="I118" i="11" s="1"/>
  <c r="L118" i="11" s="1"/>
  <c r="C136" i="11" l="1"/>
  <c r="D136" i="11"/>
  <c r="K118" i="11"/>
  <c r="H137" i="11" l="1"/>
  <c r="D137" i="11" s="1"/>
  <c r="J119" i="11"/>
  <c r="I119" i="11" s="1"/>
  <c r="L119" i="11" s="1"/>
  <c r="C137" i="11" l="1"/>
  <c r="H138" i="11"/>
  <c r="K119" i="11"/>
  <c r="D138" i="11" l="1"/>
  <c r="C138" i="11"/>
  <c r="J120" i="11"/>
  <c r="I120" i="11" s="1"/>
  <c r="L120" i="11" s="1"/>
  <c r="H139" i="11" l="1"/>
  <c r="K120" i="11"/>
  <c r="D139" i="11" l="1"/>
  <c r="C139" i="11"/>
  <c r="J121" i="11"/>
  <c r="I121" i="11" s="1"/>
  <c r="L121" i="11" s="1"/>
  <c r="H140" i="11" l="1"/>
  <c r="K121" i="11"/>
  <c r="C140" i="11" l="1"/>
  <c r="D140" i="11"/>
  <c r="H141" i="11" s="1"/>
  <c r="J122" i="11"/>
  <c r="I122" i="11" s="1"/>
  <c r="L122" i="11" s="1"/>
  <c r="K122" i="11" l="1"/>
  <c r="J123" i="11" s="1"/>
  <c r="I123" i="11" s="1"/>
  <c r="L123" i="11" s="1"/>
  <c r="C141" i="11"/>
  <c r="D141" i="11"/>
  <c r="H142" i="11" s="1"/>
  <c r="D142" i="11" l="1"/>
  <c r="C142" i="11"/>
  <c r="K123" i="11"/>
  <c r="H143" i="11" l="1"/>
  <c r="J124" i="11"/>
  <c r="I124" i="11" s="1"/>
  <c r="L124" i="11" s="1"/>
  <c r="K124" i="11" l="1"/>
  <c r="J125" i="11" s="1"/>
  <c r="I125" i="11" s="1"/>
  <c r="L125" i="11" s="1"/>
  <c r="C143" i="11"/>
  <c r="D143" i="11"/>
  <c r="H144" i="11" l="1"/>
  <c r="D144" i="11" s="1"/>
  <c r="K125" i="11"/>
  <c r="J126" i="11" s="1"/>
  <c r="I126" i="11" s="1"/>
  <c r="L126" i="11" s="1"/>
  <c r="C144" i="11" l="1"/>
  <c r="H145" i="11" s="1"/>
  <c r="K126" i="11"/>
  <c r="C145" i="11" l="1"/>
  <c r="D145" i="11"/>
  <c r="H146" i="11" s="1"/>
  <c r="J127" i="11"/>
  <c r="I127" i="11" s="1"/>
  <c r="L127" i="11" s="1"/>
  <c r="D146" i="11" l="1"/>
  <c r="C146" i="11"/>
  <c r="K127" i="11"/>
  <c r="H147" i="11" l="1"/>
  <c r="J128" i="11"/>
  <c r="I128" i="11" s="1"/>
  <c r="L128" i="11" s="1"/>
  <c r="K128" i="11" l="1"/>
  <c r="J129" i="11" s="1"/>
  <c r="I129" i="11" s="1"/>
  <c r="L129" i="11" s="1"/>
  <c r="D147" i="11"/>
  <c r="C147" i="11"/>
  <c r="H148" i="11" l="1"/>
  <c r="K129" i="11"/>
  <c r="C148" i="11" l="1"/>
  <c r="D148" i="11"/>
  <c r="H149" i="11" s="1"/>
  <c r="J130" i="11"/>
  <c r="I130" i="11" s="1"/>
  <c r="L130" i="11" s="1"/>
  <c r="C149" i="11" l="1"/>
  <c r="D149" i="11"/>
  <c r="H150" i="11" s="1"/>
  <c r="K130" i="11"/>
  <c r="D150" i="11" l="1"/>
  <c r="C150" i="11"/>
  <c r="J131" i="11"/>
  <c r="I131" i="11" s="1"/>
  <c r="L131" i="11" s="1"/>
  <c r="H151" i="11" l="1"/>
  <c r="K131" i="11"/>
  <c r="C151" i="11" l="1"/>
  <c r="D151" i="11"/>
  <c r="H152" i="11" s="1"/>
  <c r="J132" i="11"/>
  <c r="I132" i="11" s="1"/>
  <c r="L132" i="11" s="1"/>
  <c r="D152" i="11" l="1"/>
  <c r="C152" i="11"/>
  <c r="K132" i="11"/>
  <c r="H153" i="11" l="1"/>
  <c r="J133" i="11"/>
  <c r="I133" i="11" s="1"/>
  <c r="L133" i="11" s="1"/>
  <c r="D153" i="11" l="1"/>
  <c r="C153" i="11"/>
  <c r="K133" i="11"/>
  <c r="H154" i="11" l="1"/>
  <c r="J134" i="11"/>
  <c r="I134" i="11" s="1"/>
  <c r="L134" i="11" s="1"/>
  <c r="D154" i="11" l="1"/>
  <c r="C154" i="11"/>
  <c r="K134" i="11"/>
  <c r="H155" i="11" l="1"/>
  <c r="J135" i="11"/>
  <c r="I135" i="11" s="1"/>
  <c r="L135" i="11" s="1"/>
  <c r="D155" i="11" l="1"/>
  <c r="C155" i="11"/>
  <c r="K135" i="11"/>
  <c r="H156" i="11" l="1"/>
  <c r="J136" i="11"/>
  <c r="I136" i="11" s="1"/>
  <c r="L136" i="11" s="1"/>
  <c r="D156" i="11" l="1"/>
  <c r="C156" i="11"/>
  <c r="K136" i="11"/>
  <c r="H157" i="11" l="1"/>
  <c r="J137" i="11"/>
  <c r="I137" i="11" s="1"/>
  <c r="L137" i="11" s="1"/>
  <c r="C157" i="11" l="1"/>
  <c r="D157" i="11"/>
  <c r="H158" i="11" s="1"/>
  <c r="K137" i="11"/>
  <c r="C158" i="11" l="1"/>
  <c r="D158" i="11"/>
  <c r="H159" i="11" s="1"/>
  <c r="J138" i="11"/>
  <c r="I138" i="11" s="1"/>
  <c r="L138" i="11" s="1"/>
  <c r="D159" i="11" l="1"/>
  <c r="C159" i="11"/>
  <c r="K138" i="11"/>
  <c r="H160" i="11" l="1"/>
  <c r="J139" i="11"/>
  <c r="I139" i="11" s="1"/>
  <c r="L139" i="11" s="1"/>
  <c r="D160" i="11" l="1"/>
  <c r="C160" i="11"/>
  <c r="K139" i="11"/>
  <c r="H161" i="11" l="1"/>
  <c r="J140" i="11"/>
  <c r="I140" i="11" s="1"/>
  <c r="L140" i="11" s="1"/>
  <c r="C161" i="11" l="1"/>
  <c r="D161" i="11"/>
  <c r="H162" i="11" s="1"/>
  <c r="K140" i="11"/>
  <c r="C162" i="11" l="1"/>
  <c r="D162" i="11"/>
  <c r="H163" i="11" s="1"/>
  <c r="J141" i="11"/>
  <c r="I141" i="11" s="1"/>
  <c r="L141" i="11" s="1"/>
  <c r="K141" i="11" l="1"/>
  <c r="J142" i="11" s="1"/>
  <c r="I142" i="11" s="1"/>
  <c r="L142" i="11" s="1"/>
  <c r="D163" i="11"/>
  <c r="C163" i="11"/>
  <c r="K142" i="11" l="1"/>
  <c r="J143" i="11" s="1"/>
  <c r="I143" i="11" s="1"/>
  <c r="L143" i="11" s="1"/>
  <c r="H164" i="11"/>
  <c r="D164" i="11" l="1"/>
  <c r="C164" i="11"/>
  <c r="K143" i="11"/>
  <c r="H165" i="11" l="1"/>
  <c r="J144" i="11"/>
  <c r="I144" i="11" s="1"/>
  <c r="L144" i="11" s="1"/>
  <c r="C165" i="11" l="1"/>
  <c r="D165" i="11"/>
  <c r="K144" i="11"/>
  <c r="H166" i="11" l="1"/>
  <c r="D166" i="11" s="1"/>
  <c r="J145" i="11"/>
  <c r="I145" i="11" s="1"/>
  <c r="L145" i="11" s="1"/>
  <c r="C166" i="11" l="1"/>
  <c r="H167" i="11"/>
  <c r="K145" i="11"/>
  <c r="D167" i="11" l="1"/>
  <c r="C167" i="11"/>
  <c r="J146" i="11"/>
  <c r="I146" i="11" s="1"/>
  <c r="L146" i="11" s="1"/>
  <c r="H168" i="11" l="1"/>
  <c r="K146" i="11"/>
  <c r="C168" i="11" l="1"/>
  <c r="D168" i="11"/>
  <c r="H169" i="11" s="1"/>
  <c r="J147" i="11"/>
  <c r="I147" i="11" s="1"/>
  <c r="L147" i="11" s="1"/>
  <c r="K147" i="11" l="1"/>
  <c r="J148" i="11" s="1"/>
  <c r="I148" i="11" s="1"/>
  <c r="L148" i="11" s="1"/>
  <c r="D169" i="11"/>
  <c r="C169" i="11"/>
  <c r="H170" i="11" l="1"/>
  <c r="K148" i="11"/>
  <c r="D170" i="11" l="1"/>
  <c r="C170" i="11"/>
  <c r="J149" i="11"/>
  <c r="I149" i="11" s="1"/>
  <c r="L149" i="11" s="1"/>
  <c r="K149" i="11" l="1"/>
  <c r="J150" i="11" s="1"/>
  <c r="I150" i="11" s="1"/>
  <c r="L150" i="11" s="1"/>
  <c r="H171" i="11"/>
  <c r="D171" i="11" l="1"/>
  <c r="C171" i="11"/>
  <c r="K150" i="11"/>
  <c r="H172" i="11" l="1"/>
  <c r="J151" i="11"/>
  <c r="I151" i="11" s="1"/>
  <c r="L151" i="11" s="1"/>
  <c r="K151" i="11" l="1"/>
  <c r="J152" i="11" s="1"/>
  <c r="I152" i="11" s="1"/>
  <c r="L152" i="11" s="1"/>
  <c r="C172" i="11"/>
  <c r="D172" i="11"/>
  <c r="H173" i="11" s="1"/>
  <c r="C173" i="11" l="1"/>
  <c r="D173" i="11"/>
  <c r="K152" i="11"/>
  <c r="H174" i="11" l="1"/>
  <c r="D174" i="11" s="1"/>
  <c r="J153" i="11"/>
  <c r="I153" i="11" s="1"/>
  <c r="L153" i="11" s="1"/>
  <c r="C174" i="11" l="1"/>
  <c r="K153" i="11"/>
  <c r="J154" i="11" s="1"/>
  <c r="I154" i="11" s="1"/>
  <c r="L154" i="11" s="1"/>
  <c r="H175" i="11"/>
  <c r="D175" i="11" l="1"/>
  <c r="C175" i="11"/>
  <c r="K154" i="11"/>
  <c r="H176" i="11" l="1"/>
  <c r="J155" i="11"/>
  <c r="I155" i="11" s="1"/>
  <c r="L155" i="11" s="1"/>
  <c r="K155" i="11" l="1"/>
  <c r="J156" i="11" s="1"/>
  <c r="I156" i="11" s="1"/>
  <c r="L156" i="11" s="1"/>
  <c r="D176" i="11"/>
  <c r="C176" i="11"/>
  <c r="H177" i="11" l="1"/>
  <c r="K156" i="11"/>
  <c r="D177" i="11" l="1"/>
  <c r="C177" i="11"/>
  <c r="J157" i="11"/>
  <c r="I157" i="11" s="1"/>
  <c r="L157" i="11" s="1"/>
  <c r="H178" i="11" l="1"/>
  <c r="K157" i="11"/>
  <c r="D178" i="11" l="1"/>
  <c r="C178" i="11"/>
  <c r="J158" i="11"/>
  <c r="I158" i="11" s="1"/>
  <c r="L158" i="11" s="1"/>
  <c r="H179" i="11" l="1"/>
  <c r="K158" i="11"/>
  <c r="D179" i="11" l="1"/>
  <c r="C179" i="11"/>
  <c r="J159" i="11"/>
  <c r="I159" i="11" s="1"/>
  <c r="L159" i="11" s="1"/>
  <c r="H180" i="11" l="1"/>
  <c r="K159" i="11"/>
  <c r="C180" i="11" l="1"/>
  <c r="D180" i="11"/>
  <c r="J160" i="11"/>
  <c r="I160" i="11" s="1"/>
  <c r="L160" i="11" s="1"/>
  <c r="H181" i="11" l="1"/>
  <c r="C181" i="11" s="1"/>
  <c r="K160" i="11"/>
  <c r="D181" i="11" l="1"/>
  <c r="H182" i="11" s="1"/>
  <c r="D182" i="11" s="1"/>
  <c r="J161" i="11"/>
  <c r="I161" i="11" s="1"/>
  <c r="L161" i="11" s="1"/>
  <c r="C182" i="11" l="1"/>
  <c r="H183" i="11" s="1"/>
  <c r="K161" i="11"/>
  <c r="D183" i="11" l="1"/>
  <c r="C183" i="11"/>
  <c r="J162" i="11"/>
  <c r="I162" i="11" s="1"/>
  <c r="L162" i="11" s="1"/>
  <c r="H184" i="11" l="1"/>
  <c r="K162" i="11"/>
  <c r="D184" i="11" l="1"/>
  <c r="C184" i="11"/>
  <c r="J163" i="11"/>
  <c r="I163" i="11" s="1"/>
  <c r="L163" i="11" s="1"/>
  <c r="K163" i="11" l="1"/>
  <c r="J164" i="11" s="1"/>
  <c r="I164" i="11" s="1"/>
  <c r="L164" i="11" s="1"/>
  <c r="H185" i="11"/>
  <c r="K164" i="11" l="1"/>
  <c r="J165" i="11" s="1"/>
  <c r="I165" i="11" s="1"/>
  <c r="L165" i="11" s="1"/>
  <c r="D185" i="11"/>
  <c r="C185" i="11"/>
  <c r="K165" i="11" l="1"/>
  <c r="J166" i="11" s="1"/>
  <c r="I166" i="11" s="1"/>
  <c r="L166" i="11" s="1"/>
  <c r="H186" i="11"/>
  <c r="K166" i="11" l="1"/>
  <c r="J167" i="11" s="1"/>
  <c r="I167" i="11" s="1"/>
  <c r="L167" i="11" s="1"/>
  <c r="C186" i="11"/>
  <c r="D186" i="11"/>
  <c r="H187" i="11" s="1"/>
  <c r="D187" i="11" l="1"/>
  <c r="C187" i="11"/>
  <c r="K167" i="11"/>
  <c r="H188" i="11" l="1"/>
  <c r="J168" i="11"/>
  <c r="I168" i="11" s="1"/>
  <c r="L168" i="11" s="1"/>
  <c r="K168" i="11" l="1"/>
  <c r="J169" i="11" s="1"/>
  <c r="I169" i="11" s="1"/>
  <c r="L169" i="11" s="1"/>
  <c r="D188" i="11"/>
  <c r="C188" i="11"/>
  <c r="H189" i="11" l="1"/>
  <c r="K169" i="11"/>
  <c r="C189" i="11" l="1"/>
  <c r="D189" i="11"/>
  <c r="J170" i="11"/>
  <c r="I170" i="11" s="1"/>
  <c r="L170" i="11" s="1"/>
  <c r="H190" i="11" l="1"/>
  <c r="C190" i="11" s="1"/>
  <c r="K170" i="11"/>
  <c r="D190" i="11" l="1"/>
  <c r="H191" i="11" s="1"/>
  <c r="C191" i="11" s="1"/>
  <c r="J171" i="11"/>
  <c r="I171" i="11" s="1"/>
  <c r="L171" i="11" s="1"/>
  <c r="D191" i="11" l="1"/>
  <c r="H192" i="11" s="1"/>
  <c r="C192" i="11" s="1"/>
  <c r="K171" i="11"/>
  <c r="D192" i="11" l="1"/>
  <c r="H193" i="11" s="1"/>
  <c r="J172" i="11"/>
  <c r="I172" i="11" s="1"/>
  <c r="L172" i="11" s="1"/>
  <c r="C193" i="11" l="1"/>
  <c r="D193" i="11"/>
  <c r="K172" i="11"/>
  <c r="H194" i="11" l="1"/>
  <c r="C194" i="11" s="1"/>
  <c r="J173" i="11"/>
  <c r="I173" i="11" s="1"/>
  <c r="L173" i="11" s="1"/>
  <c r="D194" i="11" l="1"/>
  <c r="H195" i="11" s="1"/>
  <c r="D195" i="11" s="1"/>
  <c r="K173" i="11"/>
  <c r="J174" i="11" s="1"/>
  <c r="I174" i="11" s="1"/>
  <c r="L174" i="11" s="1"/>
  <c r="C195" i="11" l="1"/>
  <c r="H196" i="11" s="1"/>
  <c r="K174" i="11"/>
  <c r="D196" i="11" l="1"/>
  <c r="C196" i="11"/>
  <c r="J175" i="11"/>
  <c r="I175" i="11" s="1"/>
  <c r="L175" i="11" s="1"/>
  <c r="H197" i="11" l="1"/>
  <c r="K175" i="11"/>
  <c r="C197" i="11" l="1"/>
  <c r="D197" i="11"/>
  <c r="H198" i="11" s="1"/>
  <c r="J176" i="11"/>
  <c r="I176" i="11" s="1"/>
  <c r="L176" i="11" s="1"/>
  <c r="D198" i="11" l="1"/>
  <c r="C198" i="11"/>
  <c r="K176" i="11"/>
  <c r="H199" i="11" l="1"/>
  <c r="D199" i="11" s="1"/>
  <c r="J177" i="11"/>
  <c r="I177" i="11" s="1"/>
  <c r="L177" i="11" s="1"/>
  <c r="C199" i="11" l="1"/>
  <c r="H200" i="11" s="1"/>
  <c r="K177" i="11"/>
  <c r="J178" i="11" s="1"/>
  <c r="I178" i="11" s="1"/>
  <c r="L178" i="11" s="1"/>
  <c r="D200" i="11" l="1"/>
  <c r="C200" i="11"/>
  <c r="K178" i="11"/>
  <c r="H201" i="11" l="1"/>
  <c r="J179" i="11"/>
  <c r="I179" i="11" s="1"/>
  <c r="L179" i="11" s="1"/>
  <c r="D201" i="11" l="1"/>
  <c r="C201" i="11"/>
  <c r="K179" i="11"/>
  <c r="J180" i="11" s="1"/>
  <c r="I180" i="11" s="1"/>
  <c r="L180" i="11" s="1"/>
  <c r="H202" i="11" l="1"/>
  <c r="K180" i="11"/>
  <c r="D202" i="11" l="1"/>
  <c r="C202" i="11"/>
  <c r="J181" i="11"/>
  <c r="I181" i="11" s="1"/>
  <c r="L181" i="11" s="1"/>
  <c r="H203" i="11" l="1"/>
  <c r="K181" i="11"/>
  <c r="D203" i="11" l="1"/>
  <c r="C203" i="11"/>
  <c r="J182" i="11"/>
  <c r="I182" i="11" s="1"/>
  <c r="L182" i="11" s="1"/>
  <c r="H204" i="11" l="1"/>
  <c r="K182" i="11"/>
  <c r="D204" i="11" l="1"/>
  <c r="C204" i="11"/>
  <c r="J183" i="11"/>
  <c r="I183" i="11" s="1"/>
  <c r="L183" i="11" s="1"/>
  <c r="H205" i="11" l="1"/>
  <c r="D205" i="11" s="1"/>
  <c r="K183" i="11"/>
  <c r="C205" i="11" l="1"/>
  <c r="H206" i="11" s="1"/>
  <c r="J184" i="11"/>
  <c r="I184" i="11" s="1"/>
  <c r="L184" i="11" s="1"/>
  <c r="C206" i="11" l="1"/>
  <c r="D206" i="11"/>
  <c r="H207" i="11" s="1"/>
  <c r="C207" i="11" s="1"/>
  <c r="K184" i="11"/>
  <c r="D207" i="11" l="1"/>
  <c r="H208" i="11" s="1"/>
  <c r="C208" i="11" s="1"/>
  <c r="J185" i="11"/>
  <c r="I185" i="11" s="1"/>
  <c r="L185" i="11" s="1"/>
  <c r="D208" i="11" l="1"/>
  <c r="H209" i="11" s="1"/>
  <c r="C209" i="11" s="1"/>
  <c r="K185" i="11"/>
  <c r="D209" i="11" l="1"/>
  <c r="H210" i="11" s="1"/>
  <c r="C210" i="11" s="1"/>
  <c r="J186" i="11"/>
  <c r="I186" i="11" s="1"/>
  <c r="L186" i="11" s="1"/>
  <c r="D210" i="11" l="1"/>
  <c r="H211" i="11" s="1"/>
  <c r="C211" i="11" s="1"/>
  <c r="K186" i="11"/>
  <c r="D211" i="11" l="1"/>
  <c r="H212" i="11" s="1"/>
  <c r="C212" i="11" s="1"/>
  <c r="J187" i="11"/>
  <c r="I187" i="11" s="1"/>
  <c r="L187" i="11" s="1"/>
  <c r="D212" i="11" l="1"/>
  <c r="H213" i="11" s="1"/>
  <c r="D213" i="11" s="1"/>
  <c r="K187" i="11"/>
  <c r="C213" i="11" l="1"/>
  <c r="H214" i="11" s="1"/>
  <c r="D214" i="11" s="1"/>
  <c r="J188" i="11"/>
  <c r="I188" i="11" s="1"/>
  <c r="L188" i="11" s="1"/>
  <c r="C214" i="11" l="1"/>
  <c r="H215" i="11" s="1"/>
  <c r="K188" i="11"/>
  <c r="D215" i="11" l="1"/>
  <c r="C215" i="11"/>
  <c r="J189" i="11"/>
  <c r="I189" i="11" s="1"/>
  <c r="L189" i="11" s="1"/>
  <c r="K189" i="11" l="1"/>
  <c r="J190" i="11" s="1"/>
  <c r="I190" i="11" s="1"/>
  <c r="L190" i="11" s="1"/>
  <c r="H216" i="11"/>
  <c r="D216" i="11" l="1"/>
  <c r="C216" i="11"/>
  <c r="K190" i="11"/>
  <c r="H217" i="11" l="1"/>
  <c r="J191" i="11"/>
  <c r="I191" i="11" s="1"/>
  <c r="L191" i="11" s="1"/>
  <c r="K191" i="11" l="1"/>
  <c r="J192" i="11" s="1"/>
  <c r="I192" i="11" s="1"/>
  <c r="L192" i="11" s="1"/>
  <c r="C217" i="11"/>
  <c r="D217" i="11"/>
  <c r="H218" i="11" s="1"/>
  <c r="C218" i="11" l="1"/>
  <c r="D218" i="11"/>
  <c r="H219" i="11" s="1"/>
  <c r="K192" i="11"/>
  <c r="C219" i="11" l="1"/>
  <c r="D219" i="11"/>
  <c r="H220" i="11" s="1"/>
  <c r="J193" i="11"/>
  <c r="I193" i="11" s="1"/>
  <c r="L193" i="11" s="1"/>
  <c r="C220" i="11" l="1"/>
  <c r="D220" i="11"/>
  <c r="H221" i="11" s="1"/>
  <c r="K193" i="11"/>
  <c r="D221" i="11" l="1"/>
  <c r="C221" i="11"/>
  <c r="J194" i="11"/>
  <c r="I194" i="11" s="1"/>
  <c r="L194" i="11" s="1"/>
  <c r="H222" i="11" l="1"/>
  <c r="K194" i="11"/>
  <c r="C222" i="11" l="1"/>
  <c r="D222" i="11"/>
  <c r="J195" i="11"/>
  <c r="I195" i="11" s="1"/>
  <c r="L195" i="11" s="1"/>
  <c r="H223" i="11" l="1"/>
  <c r="D223" i="11" s="1"/>
  <c r="K195" i="11"/>
  <c r="C223" i="11" l="1"/>
  <c r="H224" i="11" s="1"/>
  <c r="J196" i="11"/>
  <c r="I196" i="11" s="1"/>
  <c r="L196" i="11" s="1"/>
  <c r="C224" i="11" l="1"/>
  <c r="D224" i="11"/>
  <c r="H225" i="11" s="1"/>
  <c r="K196" i="11"/>
  <c r="C225" i="11" l="1"/>
  <c r="D225" i="11"/>
  <c r="J197" i="11"/>
  <c r="I197" i="11" s="1"/>
  <c r="L197" i="11" s="1"/>
  <c r="H226" i="11" l="1"/>
  <c r="C226" i="11" s="1"/>
  <c r="K197" i="11"/>
  <c r="J198" i="11" s="1"/>
  <c r="I198" i="11" s="1"/>
  <c r="L198" i="11" s="1"/>
  <c r="D226" i="11" l="1"/>
  <c r="H227" i="11"/>
  <c r="K198" i="11"/>
  <c r="D227" i="11" l="1"/>
  <c r="C227" i="11"/>
  <c r="J199" i="11"/>
  <c r="I199" i="11" s="1"/>
  <c r="L199" i="11" s="1"/>
  <c r="H228" i="11" l="1"/>
  <c r="K199" i="11"/>
  <c r="D228" i="11" l="1"/>
  <c r="C228" i="11"/>
  <c r="J200" i="11"/>
  <c r="I200" i="11" s="1"/>
  <c r="L200" i="11" s="1"/>
  <c r="H229" i="11" l="1"/>
  <c r="K200" i="11"/>
  <c r="C229" i="11" l="1"/>
  <c r="D229" i="11"/>
  <c r="H230" i="11" s="1"/>
  <c r="J201" i="11"/>
  <c r="I201" i="11" s="1"/>
  <c r="L201" i="11" s="1"/>
  <c r="K201" i="11" l="1"/>
  <c r="J202" i="11" s="1"/>
  <c r="I202" i="11" s="1"/>
  <c r="L202" i="11" s="1"/>
  <c r="D230" i="11"/>
  <c r="C230" i="11"/>
  <c r="H231" i="11" l="1"/>
  <c r="K202" i="11"/>
  <c r="C231" i="11" l="1"/>
  <c r="D231" i="11"/>
  <c r="J203" i="11"/>
  <c r="I203" i="11" s="1"/>
  <c r="L203" i="11" s="1"/>
  <c r="H232" i="11" l="1"/>
  <c r="C232" i="11" s="1"/>
  <c r="K203" i="11"/>
  <c r="D232" i="11" l="1"/>
  <c r="H233" i="11" s="1"/>
  <c r="D233" i="11" s="1"/>
  <c r="J204" i="11"/>
  <c r="I204" i="11" s="1"/>
  <c r="L204" i="11" s="1"/>
  <c r="C233" i="11" l="1"/>
  <c r="H234" i="11" s="1"/>
  <c r="K204" i="11"/>
  <c r="C234" i="11" l="1"/>
  <c r="D234" i="11"/>
  <c r="H235" i="11" s="1"/>
  <c r="J205" i="11"/>
  <c r="I205" i="11" s="1"/>
  <c r="L205" i="11" s="1"/>
  <c r="K205" i="11" l="1"/>
  <c r="J206" i="11" s="1"/>
  <c r="I206" i="11" s="1"/>
  <c r="L206" i="11" s="1"/>
  <c r="C235" i="11"/>
  <c r="D235" i="11"/>
  <c r="H236" i="11" s="1"/>
  <c r="C236" i="11" l="1"/>
  <c r="D236" i="11"/>
  <c r="H237" i="11" s="1"/>
  <c r="K206" i="11"/>
  <c r="C237" i="11" l="1"/>
  <c r="D237" i="11"/>
  <c r="H238" i="11" s="1"/>
  <c r="J207" i="11"/>
  <c r="I207" i="11" s="1"/>
  <c r="L207" i="11" s="1"/>
  <c r="C238" i="11" l="1"/>
  <c r="D238" i="11"/>
  <c r="H239" i="11" s="1"/>
  <c r="K207" i="11"/>
  <c r="D239" i="11" l="1"/>
  <c r="C239" i="11"/>
  <c r="J208" i="11"/>
  <c r="I208" i="11" s="1"/>
  <c r="L208" i="11" s="1"/>
  <c r="H240" i="11" l="1"/>
  <c r="K208" i="11"/>
  <c r="C240" i="11" l="1"/>
  <c r="D240" i="11"/>
  <c r="J209" i="11"/>
  <c r="I209" i="11" s="1"/>
  <c r="L209" i="11" s="1"/>
  <c r="H241" i="11" l="1"/>
  <c r="D241" i="11" s="1"/>
  <c r="K209" i="11"/>
  <c r="J210" i="11" s="1"/>
  <c r="I210" i="11" s="1"/>
  <c r="L210" i="11" s="1"/>
  <c r="C241" i="11" l="1"/>
  <c r="H242" i="11"/>
  <c r="K210" i="11"/>
  <c r="C242" i="11" l="1"/>
  <c r="D242" i="11"/>
  <c r="H243" i="11" s="1"/>
  <c r="J211" i="11"/>
  <c r="I211" i="11" s="1"/>
  <c r="L211" i="11" s="1"/>
  <c r="D243" i="11" l="1"/>
  <c r="C243" i="11"/>
  <c r="K211" i="11"/>
  <c r="H244" i="11" l="1"/>
  <c r="D244" i="11" s="1"/>
  <c r="J212" i="11"/>
  <c r="I212" i="11" s="1"/>
  <c r="L212" i="11" s="1"/>
  <c r="C244" i="11" l="1"/>
  <c r="H245" i="11" s="1"/>
  <c r="K212" i="11"/>
  <c r="C245" i="11" l="1"/>
  <c r="D245" i="11"/>
  <c r="J213" i="11"/>
  <c r="I213" i="11" s="1"/>
  <c r="L213" i="11" s="1"/>
  <c r="H246" i="11" l="1"/>
  <c r="C246" i="11" s="1"/>
  <c r="K213" i="11"/>
  <c r="J214" i="11" s="1"/>
  <c r="I214" i="11" s="1"/>
  <c r="L214" i="11" s="1"/>
  <c r="D246" i="11" l="1"/>
  <c r="H247" i="11" s="1"/>
  <c r="D247" i="11" s="1"/>
  <c r="K214" i="11"/>
  <c r="C247" i="11" l="1"/>
  <c r="H248" i="11" s="1"/>
  <c r="J215" i="11"/>
  <c r="I215" i="11" s="1"/>
  <c r="L215" i="11" s="1"/>
  <c r="C248" i="11" l="1"/>
  <c r="D248" i="11"/>
  <c r="H249" i="11" s="1"/>
  <c r="K215" i="11"/>
  <c r="C249" i="11" l="1"/>
  <c r="D249" i="11"/>
  <c r="H250" i="11" s="1"/>
  <c r="J216" i="11"/>
  <c r="I216" i="11" s="1"/>
  <c r="L216" i="11" s="1"/>
  <c r="D250" i="11" l="1"/>
  <c r="C250" i="11"/>
  <c r="K216" i="11"/>
  <c r="H251" i="11" l="1"/>
  <c r="J217" i="11"/>
  <c r="I217" i="11" s="1"/>
  <c r="L217" i="11" s="1"/>
  <c r="K217" i="11" l="1"/>
  <c r="J218" i="11" s="1"/>
  <c r="I218" i="11" s="1"/>
  <c r="L218" i="11" s="1"/>
  <c r="D251" i="11"/>
  <c r="C251" i="11"/>
  <c r="H252" i="11" l="1"/>
  <c r="K218" i="11"/>
  <c r="C252" i="11" l="1"/>
  <c r="D252" i="11"/>
  <c r="J219" i="11"/>
  <c r="I219" i="11" s="1"/>
  <c r="L219" i="11" s="1"/>
  <c r="H253" i="11" l="1"/>
  <c r="D253" i="11" s="1"/>
  <c r="K219" i="11"/>
  <c r="C253" i="11" l="1"/>
  <c r="H254" i="11" s="1"/>
  <c r="J220" i="11"/>
  <c r="I220" i="11" s="1"/>
  <c r="L220" i="11" s="1"/>
  <c r="D254" i="11" l="1"/>
  <c r="C254" i="11"/>
  <c r="K220" i="11"/>
  <c r="H255" i="11" l="1"/>
  <c r="D255" i="11" s="1"/>
  <c r="J221" i="11"/>
  <c r="I221" i="11" s="1"/>
  <c r="L221" i="11" s="1"/>
  <c r="C255" i="11" l="1"/>
  <c r="H256" i="11" s="1"/>
  <c r="K221" i="11"/>
  <c r="D256" i="11" l="1"/>
  <c r="C256" i="11"/>
  <c r="J222" i="11"/>
  <c r="I222" i="11" s="1"/>
  <c r="L222" i="11" s="1"/>
  <c r="H257" i="11" l="1"/>
  <c r="K222" i="11"/>
  <c r="D257" i="11" l="1"/>
  <c r="C257" i="11"/>
  <c r="J223" i="11"/>
  <c r="I223" i="11" s="1"/>
  <c r="L223" i="11" s="1"/>
  <c r="K223" i="11" l="1"/>
  <c r="J224" i="11" s="1"/>
  <c r="I224" i="11" s="1"/>
  <c r="L224" i="11" s="1"/>
  <c r="H258" i="11"/>
  <c r="D258" i="11" l="1"/>
  <c r="C258" i="11"/>
  <c r="K224" i="11"/>
  <c r="H259" i="11" l="1"/>
  <c r="J225" i="11"/>
  <c r="I225" i="11" s="1"/>
  <c r="L225" i="11" s="1"/>
  <c r="C259" i="11" l="1"/>
  <c r="D259" i="11"/>
  <c r="H260" i="11" s="1"/>
  <c r="K225" i="11"/>
  <c r="C260" i="11" l="1"/>
  <c r="D260" i="11"/>
  <c r="H261" i="11" s="1"/>
  <c r="J226" i="11"/>
  <c r="I226" i="11" s="1"/>
  <c r="L226" i="11" s="1"/>
  <c r="D261" i="11" l="1"/>
  <c r="C261" i="11"/>
  <c r="K226" i="11"/>
  <c r="H262" i="11" l="1"/>
  <c r="J227" i="11"/>
  <c r="I227" i="11" s="1"/>
  <c r="L227" i="11" s="1"/>
  <c r="K227" i="11" l="1"/>
  <c r="J228" i="11" s="1"/>
  <c r="I228" i="11" s="1"/>
  <c r="L228" i="11" s="1"/>
  <c r="D262" i="11"/>
  <c r="C262" i="11"/>
  <c r="H263" i="11" l="1"/>
  <c r="K228" i="11"/>
  <c r="C263" i="11" l="1"/>
  <c r="D263" i="11"/>
  <c r="H264" i="11" s="1"/>
  <c r="J229" i="11"/>
  <c r="I229" i="11" s="1"/>
  <c r="L229" i="11" s="1"/>
  <c r="D264" i="11" l="1"/>
  <c r="C264" i="11"/>
  <c r="K229" i="11"/>
  <c r="H265" i="11" l="1"/>
  <c r="C265" i="11" s="1"/>
  <c r="J230" i="11"/>
  <c r="I230" i="11" s="1"/>
  <c r="L230" i="11" s="1"/>
  <c r="D265" i="11" l="1"/>
  <c r="H266" i="11" s="1"/>
  <c r="D266" i="11" s="1"/>
  <c r="K230" i="11"/>
  <c r="C266" i="11" l="1"/>
  <c r="H267" i="11"/>
  <c r="D267" i="11" s="1"/>
  <c r="J231" i="11"/>
  <c r="I231" i="11" s="1"/>
  <c r="L231" i="11" s="1"/>
  <c r="C267" i="11" l="1"/>
  <c r="H268" i="11" s="1"/>
  <c r="K231" i="11"/>
  <c r="C268" i="11" l="1"/>
  <c r="D268" i="11"/>
  <c r="H269" i="11" s="1"/>
  <c r="J232" i="11"/>
  <c r="I232" i="11" s="1"/>
  <c r="L232" i="11" s="1"/>
  <c r="K232" i="11" l="1"/>
  <c r="J233" i="11" s="1"/>
  <c r="I233" i="11" s="1"/>
  <c r="L233" i="11" s="1"/>
  <c r="D269" i="11"/>
  <c r="C269" i="11"/>
  <c r="H270" i="11" l="1"/>
  <c r="K233" i="11"/>
  <c r="C270" i="11" l="1"/>
  <c r="D270" i="11"/>
  <c r="J234" i="11"/>
  <c r="I234" i="11" s="1"/>
  <c r="L234" i="11" s="1"/>
  <c r="H271" i="11" l="1"/>
  <c r="C271" i="11" s="1"/>
  <c r="K234" i="11"/>
  <c r="D271" i="11" l="1"/>
  <c r="H272" i="11" s="1"/>
  <c r="C272" i="11" s="1"/>
  <c r="J235" i="11"/>
  <c r="I235" i="11" s="1"/>
  <c r="L235" i="11" s="1"/>
  <c r="D272" i="11" l="1"/>
  <c r="H273" i="11" s="1"/>
  <c r="D273" i="11" s="1"/>
  <c r="K235" i="11"/>
  <c r="C273" i="11" l="1"/>
  <c r="H274" i="11"/>
  <c r="J236" i="11"/>
  <c r="I236" i="11" s="1"/>
  <c r="L236" i="11" s="1"/>
  <c r="K236" i="11" l="1"/>
  <c r="J237" i="11" s="1"/>
  <c r="I237" i="11" s="1"/>
  <c r="L237" i="11" s="1"/>
  <c r="D274" i="11"/>
  <c r="C274" i="11"/>
  <c r="H275" i="11" l="1"/>
  <c r="K237" i="11"/>
  <c r="C275" i="11" l="1"/>
  <c r="D275" i="11"/>
  <c r="H276" i="11" s="1"/>
  <c r="J238" i="11"/>
  <c r="I238" i="11" s="1"/>
  <c r="L238" i="11" s="1"/>
  <c r="D276" i="11" l="1"/>
  <c r="C276" i="11"/>
  <c r="K238" i="11"/>
  <c r="H277" i="11" l="1"/>
  <c r="D277" i="11" s="1"/>
  <c r="J239" i="11"/>
  <c r="I239" i="11" s="1"/>
  <c r="L239" i="11" s="1"/>
  <c r="C277" i="11" l="1"/>
  <c r="K239" i="11"/>
  <c r="J240" i="11" s="1"/>
  <c r="I240" i="11" s="1"/>
  <c r="L240" i="11" s="1"/>
  <c r="H278" i="11"/>
  <c r="C278" i="11" l="1"/>
  <c r="D278" i="11"/>
  <c r="H279" i="11" s="1"/>
  <c r="K240" i="11"/>
  <c r="D279" i="11" l="1"/>
  <c r="C279" i="11"/>
  <c r="J241" i="11"/>
  <c r="I241" i="11" s="1"/>
  <c r="L241" i="11" s="1"/>
  <c r="H280" i="11" l="1"/>
  <c r="D280" i="11" s="1"/>
  <c r="K241" i="11"/>
  <c r="C280" i="11" l="1"/>
  <c r="H281" i="11"/>
  <c r="J242" i="11"/>
  <c r="I242" i="11" s="1"/>
  <c r="L242" i="11" s="1"/>
  <c r="C281" i="11" l="1"/>
  <c r="D281" i="11"/>
  <c r="H282" i="11" s="1"/>
  <c r="K242" i="11"/>
  <c r="C282" i="11" l="1"/>
  <c r="D282" i="11"/>
  <c r="H283" i="11" s="1"/>
  <c r="J243" i="11"/>
  <c r="I243" i="11" s="1"/>
  <c r="L243" i="11" s="1"/>
  <c r="C283" i="11" l="1"/>
  <c r="D283" i="11"/>
  <c r="H284" i="11" s="1"/>
  <c r="K243" i="11"/>
  <c r="C284" i="11" l="1"/>
  <c r="D284" i="11"/>
  <c r="J244" i="11"/>
  <c r="I244" i="11" s="1"/>
  <c r="L244" i="11" s="1"/>
  <c r="H285" i="11" l="1"/>
  <c r="C285" i="11" s="1"/>
  <c r="K244" i="11"/>
  <c r="J245" i="11" s="1"/>
  <c r="I245" i="11" s="1"/>
  <c r="L245" i="11" s="1"/>
  <c r="D285" i="11" l="1"/>
  <c r="H286" i="11" s="1"/>
  <c r="C286" i="11" s="1"/>
  <c r="K245" i="11"/>
  <c r="J246" i="11" s="1"/>
  <c r="I246" i="11" s="1"/>
  <c r="L246" i="11" s="1"/>
  <c r="D286" i="11" l="1"/>
  <c r="H287" i="11" s="1"/>
  <c r="C287" i="11" s="1"/>
  <c r="K246" i="11"/>
  <c r="D287" i="11" l="1"/>
  <c r="H288" i="11" s="1"/>
  <c r="C288" i="11" s="1"/>
  <c r="J247" i="11"/>
  <c r="I247" i="11" s="1"/>
  <c r="L247" i="11" s="1"/>
  <c r="D288" i="11" l="1"/>
  <c r="H289" i="11" s="1"/>
  <c r="D289" i="11" s="1"/>
  <c r="K247" i="11"/>
  <c r="J248" i="11" s="1"/>
  <c r="I248" i="11" s="1"/>
  <c r="L248" i="11" s="1"/>
  <c r="C289" i="11" l="1"/>
  <c r="H290" i="11" s="1"/>
  <c r="K248" i="11"/>
  <c r="J249" i="11" s="1"/>
  <c r="I249" i="11" s="1"/>
  <c r="L249" i="11" s="1"/>
  <c r="D290" i="11" l="1"/>
  <c r="C290" i="11"/>
  <c r="H291" i="11" s="1"/>
  <c r="K249" i="11"/>
  <c r="C291" i="11" l="1"/>
  <c r="D291" i="11"/>
  <c r="H292" i="11" s="1"/>
  <c r="J250" i="11"/>
  <c r="I250" i="11" s="1"/>
  <c r="L250" i="11" s="1"/>
  <c r="C292" i="11" l="1"/>
  <c r="D292" i="11"/>
  <c r="K250" i="11"/>
  <c r="H293" i="11" l="1"/>
  <c r="C293" i="11" s="1"/>
  <c r="J251" i="11"/>
  <c r="I251" i="11" s="1"/>
  <c r="L251" i="11" s="1"/>
  <c r="D293" i="11" l="1"/>
  <c r="H294" i="11" s="1"/>
  <c r="D294" i="11" s="1"/>
  <c r="K251" i="11"/>
  <c r="C294" i="11" l="1"/>
  <c r="H295" i="11" s="1"/>
  <c r="J252" i="11"/>
  <c r="I252" i="11" s="1"/>
  <c r="L252" i="11" s="1"/>
  <c r="C295" i="11" l="1"/>
  <c r="D295" i="11"/>
  <c r="H296" i="11" s="1"/>
  <c r="C296" i="11" s="1"/>
  <c r="K252" i="11"/>
  <c r="D296" i="11" l="1"/>
  <c r="H297" i="11" s="1"/>
  <c r="D297" i="11" s="1"/>
  <c r="J253" i="11"/>
  <c r="I253" i="11" s="1"/>
  <c r="L253" i="11" s="1"/>
  <c r="C297" i="11" l="1"/>
  <c r="H298" i="11" s="1"/>
  <c r="D298" i="11" s="1"/>
  <c r="K253" i="11"/>
  <c r="C298" i="11" l="1"/>
  <c r="H299" i="11"/>
  <c r="J254" i="11"/>
  <c r="I254" i="11" s="1"/>
  <c r="L254" i="11" s="1"/>
  <c r="D299" i="11" l="1"/>
  <c r="C299" i="11"/>
  <c r="K254" i="11"/>
  <c r="H300" i="11" l="1"/>
  <c r="J255" i="11"/>
  <c r="I255" i="11" s="1"/>
  <c r="L255" i="11" s="1"/>
  <c r="D300" i="11" l="1"/>
  <c r="C300" i="11"/>
  <c r="K255" i="11"/>
  <c r="H301" i="11" l="1"/>
  <c r="J256" i="11"/>
  <c r="I256" i="11" s="1"/>
  <c r="L256" i="11" s="1"/>
  <c r="K256" i="11" l="1"/>
  <c r="J257" i="11" s="1"/>
  <c r="I257" i="11" s="1"/>
  <c r="L257" i="11" s="1"/>
  <c r="C301" i="11"/>
  <c r="D301" i="11"/>
  <c r="H302" i="11" s="1"/>
  <c r="K257" i="11" l="1"/>
  <c r="J258" i="11" s="1"/>
  <c r="I258" i="11" s="1"/>
  <c r="L258" i="11" s="1"/>
  <c r="C302" i="11"/>
  <c r="D302" i="11"/>
  <c r="H303" i="11" s="1"/>
  <c r="C303" i="11" l="1"/>
  <c r="D303" i="11"/>
  <c r="H304" i="11" s="1"/>
  <c r="K258" i="11"/>
  <c r="C304" i="11" l="1"/>
  <c r="D304" i="11"/>
  <c r="H305" i="11" s="1"/>
  <c r="D305" i="11" s="1"/>
  <c r="J259" i="11"/>
  <c r="I259" i="11" s="1"/>
  <c r="L259" i="11" s="1"/>
  <c r="C305" i="11" l="1"/>
  <c r="H306" i="11" s="1"/>
  <c r="K259" i="11"/>
  <c r="D306" i="11" l="1"/>
  <c r="C306" i="11"/>
  <c r="H307" i="11" s="1"/>
  <c r="J260" i="11"/>
  <c r="I260" i="11" s="1"/>
  <c r="L260" i="11" s="1"/>
  <c r="K260" i="11" l="1"/>
  <c r="C307" i="11"/>
  <c r="D307" i="11"/>
  <c r="H308" i="11" l="1"/>
  <c r="J261" i="11"/>
  <c r="I261" i="11" s="1"/>
  <c r="L261" i="11" s="1"/>
  <c r="K261" i="11" l="1"/>
  <c r="C308" i="11"/>
  <c r="D308" i="11"/>
  <c r="H309" i="11" l="1"/>
  <c r="C309" i="11" s="1"/>
  <c r="J262" i="11"/>
  <c r="I262" i="11" s="1"/>
  <c r="L262" i="11" s="1"/>
  <c r="D309" i="11" l="1"/>
  <c r="H310" i="11" s="1"/>
  <c r="D310" i="11" s="1"/>
  <c r="K262" i="11"/>
  <c r="C310" i="11" l="1"/>
  <c r="H311" i="11" s="1"/>
  <c r="J263" i="11"/>
  <c r="I263" i="11" s="1"/>
  <c r="L263" i="11" s="1"/>
  <c r="C311" i="11" l="1"/>
  <c r="D311" i="11"/>
  <c r="K263" i="11"/>
  <c r="H312" i="11" l="1"/>
  <c r="C312" i="11" s="1"/>
  <c r="J264" i="11"/>
  <c r="I264" i="11" s="1"/>
  <c r="L264" i="11" s="1"/>
  <c r="D312" i="11" l="1"/>
  <c r="H313" i="11" s="1"/>
  <c r="D313" i="11" s="1"/>
  <c r="K264" i="11"/>
  <c r="J265" i="11" s="1"/>
  <c r="I265" i="11" s="1"/>
  <c r="L265" i="11" s="1"/>
  <c r="C313" i="11" l="1"/>
  <c r="H314" i="11" s="1"/>
  <c r="K265" i="11"/>
  <c r="J266" i="11" s="1"/>
  <c r="I266" i="11" s="1"/>
  <c r="L266" i="11" s="1"/>
  <c r="D314" i="11" l="1"/>
  <c r="C314" i="11"/>
  <c r="K266" i="11"/>
  <c r="H315" i="11"/>
  <c r="C315" i="11" l="1"/>
  <c r="D315" i="11"/>
  <c r="J267" i="11"/>
  <c r="I267" i="11" s="1"/>
  <c r="L267" i="11" s="1"/>
  <c r="H316" i="11" l="1"/>
  <c r="D316" i="11" s="1"/>
  <c r="K267" i="11"/>
  <c r="C316" i="11" l="1"/>
  <c r="H317" i="11" s="1"/>
  <c r="J268" i="11"/>
  <c r="I268" i="11" s="1"/>
  <c r="L268" i="11" s="1"/>
  <c r="D317" i="11" l="1"/>
  <c r="C317" i="11"/>
  <c r="K268" i="11"/>
  <c r="H318" i="11" l="1"/>
  <c r="J269" i="11"/>
  <c r="I269" i="11" s="1"/>
  <c r="L269" i="11" s="1"/>
  <c r="D318" i="11"/>
  <c r="C318" i="11"/>
  <c r="H319" i="11" l="1"/>
  <c r="D319" i="11" s="1"/>
  <c r="K269" i="11"/>
  <c r="C319" i="11" l="1"/>
  <c r="J270" i="11"/>
  <c r="I270" i="11" s="1"/>
  <c r="L270" i="11" s="1"/>
  <c r="H320" i="11"/>
  <c r="K270" i="11" l="1"/>
  <c r="J271" i="11" s="1"/>
  <c r="I271" i="11" s="1"/>
  <c r="L271" i="11" s="1"/>
  <c r="C320" i="11"/>
  <c r="D320" i="11"/>
  <c r="H321" i="11" s="1"/>
  <c r="K271" i="11" l="1"/>
  <c r="J272" i="11" s="1"/>
  <c r="I272" i="11" s="1"/>
  <c r="L272" i="11" s="1"/>
  <c r="C321" i="11"/>
  <c r="D321" i="11"/>
  <c r="H322" i="11" s="1"/>
  <c r="D322" i="11" l="1"/>
  <c r="C322" i="11"/>
  <c r="K272" i="11"/>
  <c r="J273" i="11" l="1"/>
  <c r="I273" i="11" s="1"/>
  <c r="L273" i="11" s="1"/>
  <c r="H323" i="11"/>
  <c r="C323" i="11" l="1"/>
  <c r="D323" i="11"/>
  <c r="H324" i="11" s="1"/>
  <c r="K273" i="11"/>
  <c r="C324" i="11" l="1"/>
  <c r="D324" i="11"/>
  <c r="H325" i="11" s="1"/>
  <c r="J274" i="11"/>
  <c r="I274" i="11" s="1"/>
  <c r="L274" i="11" s="1"/>
  <c r="D325" i="11" l="1"/>
  <c r="C325" i="11"/>
  <c r="K274" i="11"/>
  <c r="J275" i="11" l="1"/>
  <c r="I275" i="11" s="1"/>
  <c r="L275" i="11" s="1"/>
  <c r="H326" i="11"/>
  <c r="K275" i="11" l="1"/>
  <c r="J276" i="11" s="1"/>
  <c r="I276" i="11" s="1"/>
  <c r="L276" i="11" s="1"/>
  <c r="D326" i="11"/>
  <c r="C326" i="11"/>
  <c r="H327" i="11" l="1"/>
  <c r="K276" i="11"/>
  <c r="J277" i="11" l="1"/>
  <c r="I277" i="11" s="1"/>
  <c r="L277" i="11" s="1"/>
  <c r="C327" i="11"/>
  <c r="D327" i="11"/>
  <c r="H328" i="11" s="1"/>
  <c r="K277" i="11" l="1"/>
  <c r="J278" i="11" s="1"/>
  <c r="I278" i="11" s="1"/>
  <c r="L278" i="11" s="1"/>
  <c r="C328" i="11"/>
  <c r="D328" i="11"/>
  <c r="H329" i="11" s="1"/>
  <c r="K278" i="11" l="1"/>
  <c r="D329" i="11"/>
  <c r="C329" i="11"/>
  <c r="H330" i="11" l="1"/>
  <c r="D330" i="11" s="1"/>
  <c r="J279" i="11"/>
  <c r="I279" i="11" s="1"/>
  <c r="L279" i="11" s="1"/>
  <c r="C330" i="11" l="1"/>
  <c r="K279" i="11"/>
  <c r="H331" i="11"/>
  <c r="D331" i="11" l="1"/>
  <c r="C331" i="11"/>
  <c r="J280" i="11"/>
  <c r="I280" i="11" s="1"/>
  <c r="L280" i="11" s="1"/>
  <c r="K280" i="11" l="1"/>
  <c r="J281" i="11" s="1"/>
  <c r="I281" i="11" s="1"/>
  <c r="L281" i="11" s="1"/>
  <c r="H332" i="11"/>
  <c r="K281" i="11" l="1"/>
  <c r="J282" i="11" s="1"/>
  <c r="I282" i="11" s="1"/>
  <c r="L282" i="11" s="1"/>
  <c r="C332" i="11"/>
  <c r="D332" i="11"/>
  <c r="H333" i="11" s="1"/>
  <c r="K282" i="11" l="1"/>
  <c r="C333" i="11"/>
  <c r="D333" i="11"/>
  <c r="H334" i="11" s="1"/>
  <c r="D334" i="11" l="1"/>
  <c r="C334" i="11"/>
  <c r="J283" i="11"/>
  <c r="I283" i="11" s="1"/>
  <c r="L283" i="11" s="1"/>
  <c r="K283" i="11" l="1"/>
  <c r="J284" i="11" s="1"/>
  <c r="I284" i="11" s="1"/>
  <c r="L284" i="11" s="1"/>
  <c r="H335" i="11"/>
  <c r="K284" i="11" l="1"/>
  <c r="J285" i="11" s="1"/>
  <c r="I285" i="11" s="1"/>
  <c r="L285" i="11" s="1"/>
  <c r="D335" i="11"/>
  <c r="C335" i="11"/>
  <c r="K285" i="11" l="1"/>
  <c r="H336" i="11"/>
  <c r="D336" i="11" l="1"/>
  <c r="C336" i="11"/>
  <c r="J286" i="11"/>
  <c r="I286" i="11" s="1"/>
  <c r="L286" i="11" s="1"/>
  <c r="H337" i="11" l="1"/>
  <c r="D337" i="11" s="1"/>
  <c r="K286" i="11"/>
  <c r="C337" i="11" l="1"/>
  <c r="H338" i="11" s="1"/>
  <c r="D338" i="11" s="1"/>
  <c r="J287" i="11"/>
  <c r="I287" i="11" s="1"/>
  <c r="L287" i="11" s="1"/>
  <c r="K287" i="11" l="1"/>
  <c r="J288" i="11" s="1"/>
  <c r="I288" i="11" s="1"/>
  <c r="L288" i="11" s="1"/>
  <c r="C338" i="11"/>
  <c r="H339" i="11" s="1"/>
  <c r="C339" i="11" l="1"/>
  <c r="D339" i="11"/>
  <c r="H340" i="11" s="1"/>
  <c r="C340" i="11" s="1"/>
  <c r="K288" i="11"/>
  <c r="D340" i="11" l="1"/>
  <c r="H341" i="11" s="1"/>
  <c r="D341" i="11" s="1"/>
  <c r="J289" i="11"/>
  <c r="I289" i="11" s="1"/>
  <c r="L289" i="11" s="1"/>
  <c r="C341" i="11" l="1"/>
  <c r="H342" i="11" s="1"/>
  <c r="K289" i="11"/>
  <c r="D342" i="11" l="1"/>
  <c r="C342" i="11"/>
  <c r="J290" i="11"/>
  <c r="I290" i="11" s="1"/>
  <c r="L290" i="11" s="1"/>
  <c r="H343" i="11"/>
  <c r="D343" i="11" l="1"/>
  <c r="C343" i="11"/>
  <c r="K290" i="11"/>
  <c r="J291" i="11" l="1"/>
  <c r="I291" i="11" s="1"/>
  <c r="L291" i="11" s="1"/>
  <c r="H344" i="11"/>
  <c r="C344" i="11" l="1"/>
  <c r="D344" i="11"/>
  <c r="H345" i="11" s="1"/>
  <c r="K291" i="11"/>
  <c r="C345" i="11" l="1"/>
  <c r="D345" i="11"/>
  <c r="H346" i="11" s="1"/>
  <c r="J292" i="11"/>
  <c r="I292" i="11" s="1"/>
  <c r="L292" i="11" s="1"/>
  <c r="K292" i="11" l="1"/>
  <c r="C346" i="11"/>
  <c r="D346" i="11"/>
  <c r="H347" i="11" s="1"/>
  <c r="C347" i="11" l="1"/>
  <c r="D347" i="11"/>
  <c r="H348" i="11" s="1"/>
  <c r="J293" i="11"/>
  <c r="I293" i="11" s="1"/>
  <c r="L293" i="11" s="1"/>
  <c r="K293" i="11" l="1"/>
  <c r="J294" i="11" s="1"/>
  <c r="I294" i="11" s="1"/>
  <c r="L294" i="11" s="1"/>
  <c r="D348" i="11"/>
  <c r="C348" i="11"/>
  <c r="H349" i="11" l="1"/>
  <c r="K294" i="11"/>
  <c r="J295" i="11" l="1"/>
  <c r="I295" i="11" s="1"/>
  <c r="L295" i="11" s="1"/>
  <c r="D349" i="11"/>
  <c r="C349" i="11"/>
  <c r="K295" i="11" l="1"/>
  <c r="J296" i="11" s="1"/>
  <c r="I296" i="11" s="1"/>
  <c r="L296" i="11" s="1"/>
  <c r="H350" i="11"/>
  <c r="K296" i="11" l="1"/>
  <c r="J297" i="11" s="1"/>
  <c r="I297" i="11" s="1"/>
  <c r="L297" i="11" s="1"/>
  <c r="D350" i="11"/>
  <c r="C350" i="11"/>
  <c r="K297" i="11" l="1"/>
  <c r="H351" i="11"/>
  <c r="D351" i="11" l="1"/>
  <c r="C351" i="11"/>
  <c r="J298" i="11"/>
  <c r="I298" i="11" s="1"/>
  <c r="L298" i="11" s="1"/>
  <c r="K298" i="11" l="1"/>
  <c r="H352" i="11"/>
  <c r="C352" i="11" l="1"/>
  <c r="D352" i="11"/>
  <c r="H353" i="11" s="1"/>
  <c r="J299" i="11"/>
  <c r="I299" i="11" s="1"/>
  <c r="L299" i="11" s="1"/>
  <c r="K299" i="11" l="1"/>
  <c r="D353" i="11"/>
  <c r="C353" i="11"/>
  <c r="H354" i="11" l="1"/>
  <c r="J300" i="11"/>
  <c r="I300" i="11" s="1"/>
  <c r="L300" i="11" s="1"/>
  <c r="K300" i="11" l="1"/>
  <c r="J301" i="11" s="1"/>
  <c r="I301" i="11" s="1"/>
  <c r="L301" i="11" s="1"/>
  <c r="D354" i="11"/>
  <c r="C354" i="11"/>
  <c r="H355" i="11" l="1"/>
  <c r="K301" i="11"/>
  <c r="J302" i="11" l="1"/>
  <c r="I302" i="11" s="1"/>
  <c r="L302" i="11" s="1"/>
  <c r="C355" i="11"/>
  <c r="D355" i="11"/>
  <c r="H356" i="11" s="1"/>
  <c r="C356" i="11" l="1"/>
  <c r="D356" i="11"/>
  <c r="H357" i="11" s="1"/>
  <c r="K302" i="11"/>
  <c r="J303" i="11" l="1"/>
  <c r="I303" i="11" s="1"/>
  <c r="L303" i="11" s="1"/>
  <c r="C357" i="11"/>
  <c r="D357" i="11"/>
  <c r="H358" i="11" s="1"/>
  <c r="D358" i="11" l="1"/>
  <c r="C358" i="11"/>
  <c r="K303" i="11"/>
  <c r="J304" i="11" l="1"/>
  <c r="I304" i="11" s="1"/>
  <c r="L304" i="11" s="1"/>
  <c r="H359" i="11"/>
  <c r="K304" i="11" l="1"/>
  <c r="J305" i="11" s="1"/>
  <c r="I305" i="11" s="1"/>
  <c r="L305" i="11" s="1"/>
  <c r="D359" i="11"/>
  <c r="C359" i="11"/>
  <c r="K305" i="11" l="1"/>
  <c r="H360" i="11"/>
  <c r="C360" i="11" l="1"/>
  <c r="D360" i="11"/>
  <c r="H361" i="11" s="1"/>
  <c r="J306" i="11"/>
  <c r="I306" i="11" s="1"/>
  <c r="L306" i="11" s="1"/>
  <c r="K306" i="11" l="1"/>
  <c r="D361" i="11"/>
  <c r="C361" i="11"/>
  <c r="H362" i="11" l="1"/>
  <c r="J307" i="11"/>
  <c r="I307" i="11" s="1"/>
  <c r="L307" i="11" s="1"/>
  <c r="K307" i="11" l="1"/>
  <c r="D362" i="11"/>
  <c r="C362" i="11"/>
  <c r="H363" i="11" l="1"/>
  <c r="J308" i="11"/>
  <c r="I308" i="11" s="1"/>
  <c r="L308" i="11" s="1"/>
  <c r="K308" i="11" l="1"/>
  <c r="J309" i="11" s="1"/>
  <c r="I309" i="11" s="1"/>
  <c r="L309" i="11" s="1"/>
  <c r="D363" i="11"/>
  <c r="C363" i="11"/>
  <c r="H364" i="11" l="1"/>
  <c r="D364" i="11" s="1"/>
  <c r="K309" i="11"/>
  <c r="C364" i="11" l="1"/>
  <c r="H365" i="11" s="1"/>
  <c r="J310" i="11"/>
  <c r="I310" i="11" s="1"/>
  <c r="L310" i="11" s="1"/>
  <c r="D365" i="11" l="1"/>
  <c r="C365" i="11"/>
  <c r="K310" i="11"/>
  <c r="J311" i="11" l="1"/>
  <c r="I311" i="11" s="1"/>
  <c r="L311" i="11" s="1"/>
  <c r="H366" i="11"/>
  <c r="D366" i="11" l="1"/>
  <c r="C366" i="11"/>
  <c r="K311" i="11"/>
  <c r="J312" i="11" l="1"/>
  <c r="I312" i="11" s="1"/>
  <c r="L312" i="11" s="1"/>
  <c r="H367" i="11"/>
  <c r="K312" i="11" l="1"/>
  <c r="J313" i="11" s="1"/>
  <c r="I313" i="11" s="1"/>
  <c r="L313" i="11" s="1"/>
  <c r="D367" i="11"/>
  <c r="C367" i="11"/>
  <c r="H368" i="11" l="1"/>
  <c r="D368" i="11" s="1"/>
  <c r="K313" i="11"/>
  <c r="C368" i="11" l="1"/>
  <c r="J314" i="11"/>
  <c r="I314" i="11" s="1"/>
  <c r="L314" i="11" s="1"/>
  <c r="K314" i="11" l="1"/>
  <c r="J315" i="11" l="1"/>
  <c r="I315" i="11" s="1"/>
  <c r="L315" i="11" s="1"/>
  <c r="K315" i="11" l="1"/>
  <c r="J316" i="11" l="1"/>
  <c r="I316" i="11" s="1"/>
  <c r="L316" i="11" s="1"/>
  <c r="K316" i="11" l="1"/>
  <c r="J317" i="11" s="1"/>
  <c r="I317" i="11" s="1"/>
  <c r="L317" i="11" s="1"/>
  <c r="K317" i="11" l="1"/>
  <c r="J318" i="11" s="1"/>
  <c r="I318" i="11" s="1"/>
  <c r="L318" i="11" s="1"/>
  <c r="K318" i="11" l="1"/>
  <c r="J319" i="11" s="1"/>
  <c r="I319" i="11" s="1"/>
  <c r="L319" i="11" s="1"/>
  <c r="K319" i="11" l="1"/>
  <c r="J320" i="11" l="1"/>
  <c r="I320" i="11" s="1"/>
  <c r="L320" i="11" s="1"/>
  <c r="K320" i="11" l="1"/>
  <c r="J321" i="11" l="1"/>
  <c r="I321" i="11" s="1"/>
  <c r="L321" i="11" s="1"/>
  <c r="K321" i="11" l="1"/>
  <c r="J322" i="11" l="1"/>
  <c r="I322" i="11" s="1"/>
  <c r="L322" i="11" s="1"/>
  <c r="K322" i="11" l="1"/>
  <c r="J323" i="11" l="1"/>
  <c r="I323" i="11" s="1"/>
  <c r="L323" i="11" s="1"/>
  <c r="K323" i="11" l="1"/>
  <c r="J324" i="11" l="1"/>
  <c r="I324" i="11" s="1"/>
  <c r="L324" i="11" s="1"/>
  <c r="K324" i="11" l="1"/>
  <c r="J325" i="11" l="1"/>
  <c r="I325" i="11" s="1"/>
  <c r="L325" i="11" s="1"/>
  <c r="K325" i="11" l="1"/>
  <c r="J326" i="11" l="1"/>
  <c r="I326" i="11" s="1"/>
  <c r="L326" i="11" s="1"/>
  <c r="K326" i="11" l="1"/>
  <c r="J327" i="11" l="1"/>
  <c r="I327" i="11" s="1"/>
  <c r="L327" i="11" s="1"/>
  <c r="K327" i="11" l="1"/>
  <c r="J328" i="11" s="1"/>
  <c r="I328" i="11" s="1"/>
  <c r="L328" i="11" s="1"/>
  <c r="K328" i="11" l="1"/>
  <c r="J329" i="11" s="1"/>
  <c r="I329" i="11" s="1"/>
  <c r="L329" i="11" s="1"/>
  <c r="K329" i="11" l="1"/>
  <c r="J330" i="11" l="1"/>
  <c r="I330" i="11" s="1"/>
  <c r="L330" i="11" s="1"/>
  <c r="K330" i="11" l="1"/>
  <c r="J331" i="11" l="1"/>
  <c r="I331" i="11" s="1"/>
  <c r="L331" i="11" s="1"/>
  <c r="K331" i="11" l="1"/>
  <c r="J332" i="11" l="1"/>
  <c r="I332" i="11" s="1"/>
  <c r="L332" i="11" s="1"/>
  <c r="K332" i="11" l="1"/>
  <c r="J333" i="11" l="1"/>
  <c r="I333" i="11" s="1"/>
  <c r="L333" i="11" s="1"/>
  <c r="K333" i="11" l="1"/>
  <c r="J334" i="11" l="1"/>
  <c r="I334" i="11" s="1"/>
  <c r="L334" i="11" s="1"/>
  <c r="K334" i="11" l="1"/>
  <c r="J335" i="11" l="1"/>
  <c r="I335" i="11" s="1"/>
  <c r="L335" i="11" s="1"/>
  <c r="K335" i="11" l="1"/>
  <c r="J336" i="11" s="1"/>
  <c r="I336" i="11" s="1"/>
  <c r="L336" i="11" s="1"/>
  <c r="K336" i="11" l="1"/>
  <c r="J337" i="11" l="1"/>
  <c r="I337" i="11" s="1"/>
  <c r="L337" i="11" s="1"/>
  <c r="K337" i="11" l="1"/>
  <c r="J338" i="11" l="1"/>
  <c r="I338" i="11" s="1"/>
  <c r="L338" i="11" s="1"/>
  <c r="K338" i="11" l="1"/>
  <c r="J339" i="11" l="1"/>
  <c r="I339" i="11" s="1"/>
  <c r="L339" i="11" s="1"/>
  <c r="K339" i="11" l="1"/>
  <c r="J340" i="11" l="1"/>
  <c r="I340" i="11" s="1"/>
  <c r="L340" i="11" s="1"/>
  <c r="K340" i="11" l="1"/>
  <c r="J341" i="11" s="1"/>
  <c r="I341" i="11" s="1"/>
  <c r="L341" i="11" s="1"/>
  <c r="K341" i="11" l="1"/>
  <c r="J342" i="11" s="1"/>
  <c r="I342" i="11" s="1"/>
  <c r="L342" i="11" s="1"/>
  <c r="K342" i="11" l="1"/>
  <c r="J343" i="11" l="1"/>
  <c r="I343" i="11" s="1"/>
  <c r="L343" i="11" s="1"/>
  <c r="K343" i="11" l="1"/>
  <c r="J344" i="11" s="1"/>
  <c r="I344" i="11" s="1"/>
  <c r="L344" i="11" l="1"/>
  <c r="K344" i="11"/>
  <c r="J345" i="11" s="1"/>
  <c r="I345" i="11" s="1"/>
  <c r="L345" i="11" l="1"/>
  <c r="K345" i="11"/>
  <c r="J346" i="11" l="1"/>
  <c r="I346" i="11" s="1"/>
  <c r="L346" i="11" s="1"/>
  <c r="K346" i="11" l="1"/>
  <c r="J347" i="11" l="1"/>
  <c r="I347" i="11" s="1"/>
  <c r="L347" i="11" s="1"/>
  <c r="K347" i="11" l="1"/>
  <c r="J348" i="11" l="1"/>
  <c r="I348" i="11" s="1"/>
  <c r="L348" i="11" s="1"/>
  <c r="K348" i="11" l="1"/>
  <c r="J349" i="11" l="1"/>
  <c r="I349" i="11" s="1"/>
  <c r="L349" i="11" s="1"/>
  <c r="K349" i="11" l="1"/>
  <c r="J350" i="11" l="1"/>
  <c r="I350" i="11" s="1"/>
  <c r="L350" i="11" s="1"/>
  <c r="K350" i="11" l="1"/>
  <c r="J351" i="11" l="1"/>
  <c r="I351" i="11" s="1"/>
  <c r="L351" i="11" s="1"/>
  <c r="K351" i="11" l="1"/>
  <c r="J352" i="11" s="1"/>
  <c r="I352" i="11" s="1"/>
  <c r="L352" i="11" s="1"/>
  <c r="K352" i="11" l="1"/>
  <c r="J353" i="11" l="1"/>
  <c r="I353" i="11" s="1"/>
  <c r="L353" i="11" s="1"/>
  <c r="K353" i="11" l="1"/>
  <c r="J354" i="11" s="1"/>
  <c r="I354" i="11" s="1"/>
  <c r="L354" i="11" s="1"/>
  <c r="K354" i="11" l="1"/>
  <c r="J355" i="11" l="1"/>
  <c r="I355" i="11" s="1"/>
  <c r="L355" i="11" s="1"/>
  <c r="K355" i="11" l="1"/>
  <c r="J356" i="11" l="1"/>
  <c r="I356" i="11" s="1"/>
  <c r="L356" i="11" s="1"/>
  <c r="K356" i="11" l="1"/>
  <c r="J357" i="11" l="1"/>
  <c r="I357" i="11" s="1"/>
  <c r="L357" i="11" s="1"/>
  <c r="K357" i="11" l="1"/>
  <c r="J358" i="11" l="1"/>
  <c r="I358" i="11" s="1"/>
  <c r="L358" i="11" s="1"/>
  <c r="K358" i="11" l="1"/>
  <c r="J359" i="11" l="1"/>
  <c r="I359" i="11" s="1"/>
  <c r="L359" i="11" s="1"/>
  <c r="K359" i="11" l="1"/>
  <c r="J360" i="11" l="1"/>
  <c r="I360" i="11" s="1"/>
  <c r="L360" i="11" s="1"/>
  <c r="K360" i="11" l="1"/>
  <c r="J361" i="11" l="1"/>
  <c r="I361" i="11" s="1"/>
  <c r="L361" i="11" s="1"/>
  <c r="K361" i="11" l="1"/>
  <c r="J362" i="11" s="1"/>
  <c r="I362" i="11" s="1"/>
  <c r="L362" i="11" s="1"/>
  <c r="K362" i="11" l="1"/>
  <c r="J363" i="11" l="1"/>
  <c r="I363" i="11" s="1"/>
  <c r="L363" i="11" s="1"/>
  <c r="K363" i="11" l="1"/>
  <c r="J364" i="11" s="1"/>
  <c r="I364" i="11" s="1"/>
  <c r="L364" i="11" s="1"/>
  <c r="K364" i="11" l="1"/>
  <c r="J365" i="11" l="1"/>
  <c r="I365" i="11" s="1"/>
  <c r="L365" i="11" s="1"/>
  <c r="K365" i="11" l="1"/>
  <c r="J366" i="11" s="1"/>
  <c r="I366" i="11" s="1"/>
  <c r="L366" i="11" s="1"/>
  <c r="K366" i="11" l="1"/>
  <c r="J367" i="11" s="1"/>
  <c r="I367" i="11" s="1"/>
  <c r="L367" i="11" s="1"/>
  <c r="K367" i="11" l="1"/>
  <c r="J368" i="11" l="1"/>
  <c r="I368" i="11" s="1"/>
  <c r="L368" i="11" s="1"/>
  <c r="K368" i="11" l="1"/>
  <c r="L4" i="11"/>
  <c r="D31" i="3" s="1"/>
  <c r="C14" i="4" l="1"/>
  <c r="D32" i="3" l="1"/>
  <c r="H14" i="4"/>
  <c r="H15" i="4" s="1"/>
  <c r="H17" i="4" s="1"/>
  <c r="E14" i="4"/>
  <c r="E15" i="4" s="1"/>
  <c r="C32" i="4"/>
  <c r="G14" i="4"/>
  <c r="G15" i="4" s="1"/>
  <c r="D14" i="4"/>
  <c r="D15" i="4" s="1"/>
  <c r="C15" i="4"/>
  <c r="F14" i="4"/>
  <c r="F15" i="4" s="1"/>
  <c r="I31" i="3"/>
  <c r="F31" i="3"/>
  <c r="H31" i="3"/>
  <c r="G31" i="3"/>
  <c r="E31" i="3"/>
  <c r="B97" i="3" l="1"/>
  <c r="D58" i="3"/>
  <c r="D33" i="3"/>
  <c r="D43" i="3"/>
  <c r="D39" i="3"/>
  <c r="E32" i="3"/>
  <c r="D55" i="3" s="1"/>
  <c r="F17" i="4"/>
  <c r="F20" i="4"/>
  <c r="C17" i="4"/>
  <c r="C29" i="4"/>
  <c r="C20" i="4"/>
  <c r="D20" i="4"/>
  <c r="D17" i="4"/>
  <c r="G17" i="4"/>
  <c r="G20" i="4"/>
  <c r="E20" i="4"/>
  <c r="E17" i="4"/>
  <c r="E33" i="3" l="1"/>
  <c r="E41" i="3" s="1"/>
  <c r="E43" i="3"/>
  <c r="D41" i="3"/>
  <c r="E39" i="3"/>
  <c r="I20" i="4"/>
  <c r="H20" i="4"/>
  <c r="C21" i="4"/>
  <c r="G21" i="4" s="1"/>
  <c r="F29" i="3" l="1"/>
  <c r="G29" i="3"/>
  <c r="G28" i="3"/>
  <c r="H29" i="3"/>
  <c r="F30" i="3" l="1"/>
  <c r="G30" i="3"/>
  <c r="H30" i="3"/>
  <c r="B100" i="3" s="1"/>
  <c r="C92" i="3" l="1"/>
  <c r="B99" i="3"/>
  <c r="G19" i="3"/>
  <c r="B98" i="3"/>
  <c r="B101" i="3" s="1"/>
  <c r="G18" i="3" s="1"/>
  <c r="C93" i="3"/>
  <c r="H32" i="3"/>
  <c r="F32" i="3"/>
  <c r="G32" i="3"/>
  <c r="H33" i="3" l="1"/>
  <c r="B18" i="7"/>
  <c r="G33" i="3"/>
  <c r="G41" i="3" s="1"/>
  <c r="G43" i="3"/>
  <c r="F33" i="3"/>
  <c r="F41" i="3" s="1"/>
  <c r="F43" i="3"/>
  <c r="F39" i="3"/>
  <c r="G39" i="3"/>
  <c r="I27" i="3" l="1"/>
  <c r="I28" i="3" s="1"/>
  <c r="I29" i="3" l="1"/>
  <c r="I30" i="3" s="1"/>
  <c r="I45" i="3" s="1"/>
  <c r="I47" i="3" l="1"/>
  <c r="I49" i="3" s="1"/>
  <c r="H39" i="3" s="1"/>
  <c r="D66" i="3"/>
  <c r="I32" i="3"/>
  <c r="I33" i="3" s="1"/>
  <c r="B39" i="3" l="1"/>
  <c r="B36" i="3"/>
  <c r="C36" i="3" s="1"/>
  <c r="C94" i="3"/>
  <c r="I51" i="3" l="1"/>
  <c r="H41" i="3" s="1"/>
  <c r="D61" i="3" s="1"/>
  <c r="G14" i="3"/>
  <c r="H43" i="3"/>
  <c r="G13" i="3" l="1"/>
  <c r="B41" i="3"/>
  <c r="G15" i="3" s="1"/>
  <c r="G16" i="3"/>
  <c r="F38" i="3" l="1"/>
  <c r="F40" i="3" s="1"/>
  <c r="D38" i="3"/>
  <c r="G37" i="3"/>
  <c r="I46" i="3"/>
  <c r="H37" i="3"/>
  <c r="I50" i="3"/>
  <c r="E38" i="3"/>
  <c r="E40" i="3" s="1"/>
  <c r="I37" i="3"/>
  <c r="H38" i="3"/>
  <c r="H40" i="3" s="1"/>
  <c r="G38" i="3"/>
  <c r="G40" i="3" s="1"/>
  <c r="I48" i="3"/>
  <c r="E37" i="3"/>
  <c r="I38" i="3"/>
  <c r="I40" i="3" s="1"/>
  <c r="F37" i="3"/>
  <c r="G17" i="3"/>
  <c r="D69" i="3" l="1"/>
  <c r="F69" i="3" s="1"/>
  <c r="F71" i="3" s="1"/>
  <c r="D40" i="3"/>
  <c r="D42" i="3"/>
  <c r="H42" i="3" s="1"/>
</calcChain>
</file>

<file path=xl/sharedStrings.xml><?xml version="1.0" encoding="utf-8"?>
<sst xmlns="http://schemas.openxmlformats.org/spreadsheetml/2006/main" count="248" uniqueCount="161">
  <si>
    <t>Year 1</t>
  </si>
  <si>
    <t>Year 2</t>
  </si>
  <si>
    <t>Year 3</t>
  </si>
  <si>
    <t>Year 4</t>
  </si>
  <si>
    <t>Year 5</t>
  </si>
  <si>
    <t>Potential Gross Income</t>
  </si>
  <si>
    <t>Vacancy</t>
  </si>
  <si>
    <t>Effective Gross Income</t>
  </si>
  <si>
    <t>Operating Expenses</t>
  </si>
  <si>
    <t>Capital Expenditures</t>
  </si>
  <si>
    <t>Net Operating Income</t>
  </si>
  <si>
    <t>Debt Service</t>
  </si>
  <si>
    <t>Before Tax Cash Flows</t>
  </si>
  <si>
    <t xml:space="preserve">Acquisition Price </t>
  </si>
  <si>
    <t>Equity Investment</t>
  </si>
  <si>
    <t>Loan Amount</t>
  </si>
  <si>
    <t>Equity Dividend Rate = BTCF/Equity</t>
  </si>
  <si>
    <t>EGI Multiplier = Sales Price/EGI</t>
  </si>
  <si>
    <t>Operating Expense Ratio = Opex/EGI</t>
  </si>
  <si>
    <t>Debt Coverage Ratio = NOI/Debt Service</t>
  </si>
  <si>
    <t>Debt Yield Ratio = NOI/Loan Amount</t>
  </si>
  <si>
    <t>Net Income Multiplier = Sales Price/NOI</t>
  </si>
  <si>
    <t>LTV</t>
  </si>
  <si>
    <t>IRR</t>
  </si>
  <si>
    <t>CAP Rate = NOI/Sales Price "going in"</t>
  </si>
  <si>
    <t>DCF NOI Cash Flows</t>
  </si>
  <si>
    <t>Discounted Before Tax Cash Flows</t>
  </si>
  <si>
    <t>Discounted Before Tax Equity Reversion</t>
  </si>
  <si>
    <t>Before Tax Equity Reversion</t>
  </si>
  <si>
    <t>NPV inputs</t>
  </si>
  <si>
    <t>Future Sales Price</t>
  </si>
  <si>
    <t>Discounted Value of Future Sales Price</t>
  </si>
  <si>
    <t>Going Out Cap Rate</t>
  </si>
  <si>
    <t>Direct Capitalization Value on going in CAP</t>
  </si>
  <si>
    <t>Direct Capitalization Value on going out CAP</t>
  </si>
  <si>
    <t>Valuations</t>
  </si>
  <si>
    <t>EGIM = Sales Price of Comps/EGI, V= EGI*EGIM</t>
  </si>
  <si>
    <t>Net Income Multiplier Valuation = NIM*NOI 1st yr</t>
  </si>
  <si>
    <t>Future NSP</t>
  </si>
  <si>
    <t>Discounted NSP</t>
  </si>
  <si>
    <t>Year 6</t>
  </si>
  <si>
    <t>DCF Valuation</t>
  </si>
  <si>
    <t>Future Sales Price. NOI in year 6 divided by going out CAP rate</t>
  </si>
  <si>
    <t>Equity investment</t>
  </si>
  <si>
    <t xml:space="preserve">Loan amount </t>
  </si>
  <si>
    <t>DCF approach</t>
  </si>
  <si>
    <t xml:space="preserve"> </t>
  </si>
  <si>
    <t>Going out CAP rate</t>
  </si>
  <si>
    <t>AMORTIZATION SCHEDULE</t>
  </si>
  <si>
    <t>Current rate</t>
  </si>
  <si>
    <t>Total Payment</t>
  </si>
  <si>
    <t>Month</t>
  </si>
  <si>
    <t>Principal</t>
  </si>
  <si>
    <t>Interest</t>
  </si>
  <si>
    <t>Loan Balance</t>
  </si>
  <si>
    <t>Equity</t>
  </si>
  <si>
    <t>PV</t>
  </si>
  <si>
    <t>I</t>
  </si>
  <si>
    <t>N</t>
  </si>
  <si>
    <t>PMT</t>
  </si>
  <si>
    <t>Discounted BTER</t>
  </si>
  <si>
    <t>Discounted After Tax Cash Flows and Equity Reversion</t>
  </si>
  <si>
    <t>EGI Multiplier = Sales Price of 3 comps/EGI</t>
  </si>
  <si>
    <t>Assumed Rent per unit</t>
  </si>
  <si>
    <t>Total Annual PMT</t>
  </si>
  <si>
    <t>Interest Rate</t>
  </si>
  <si>
    <t>Term</t>
  </si>
  <si>
    <t>Escrows</t>
  </si>
  <si>
    <t>Comp 1</t>
  </si>
  <si>
    <t>Comp 2</t>
  </si>
  <si>
    <t>Comp 3</t>
  </si>
  <si>
    <t>Comp 4</t>
  </si>
  <si>
    <t>Comp 5</t>
  </si>
  <si>
    <t>Avg</t>
  </si>
  <si>
    <t>Direct Market Extraction for EGI</t>
  </si>
  <si>
    <t xml:space="preserve">Comp 1 </t>
  </si>
  <si>
    <t>EGI Evaluation for subject Property</t>
  </si>
  <si>
    <t>Escrows (Taxes and Insurance)</t>
  </si>
  <si>
    <t>Down Payment</t>
  </si>
  <si>
    <t>Closing Costs</t>
  </si>
  <si>
    <t>Value in year 3</t>
  </si>
  <si>
    <t xml:space="preserve"> DSCR in year 3</t>
  </si>
  <si>
    <t>BTER in year 5 with refinance</t>
  </si>
  <si>
    <t>Key Assumptions</t>
  </si>
  <si>
    <t>MIRR</t>
  </si>
  <si>
    <t>Reinvestment Rate</t>
  </si>
  <si>
    <t>PGI as a % of Acquisition price</t>
  </si>
  <si>
    <t>PGI annual increase</t>
  </si>
  <si>
    <t>First year Vacancy</t>
  </si>
  <si>
    <t>OPEX as a % of EGI</t>
  </si>
  <si>
    <t>CAPEX as a % of PGI</t>
  </si>
  <si>
    <t>Stabilized CAPEX as a % of EGI</t>
  </si>
  <si>
    <t>Reinvestment rate/WACC</t>
  </si>
  <si>
    <t>NPV</t>
  </si>
  <si>
    <t>Color key code</t>
  </si>
  <si>
    <t>Key assumption</t>
  </si>
  <si>
    <t>Key ratio. Can't be changed</t>
  </si>
  <si>
    <r>
      <t>Going in CAP rate</t>
    </r>
    <r>
      <rPr>
        <sz val="8"/>
        <color theme="1"/>
        <rFont val="Calibri"/>
        <family val="2"/>
        <scheme val="minor"/>
      </rPr>
      <t xml:space="preserve"> (Direct Market Extraction)</t>
    </r>
  </si>
  <si>
    <t>Closing costs as a % of L/A</t>
  </si>
  <si>
    <t>Stabilized Vacancy</t>
  </si>
  <si>
    <t>Stabilized DSCR</t>
  </si>
  <si>
    <t>Color Key</t>
  </si>
  <si>
    <t>Key Assumption - Changeable</t>
  </si>
  <si>
    <t>Don't change</t>
  </si>
  <si>
    <t>Equity Investment ( Sum of CC and DP)</t>
  </si>
  <si>
    <t>Increase in PGI per year</t>
  </si>
  <si>
    <t>Closing costs for acquistion as a % of L/A</t>
  </si>
  <si>
    <t>WACC: WD*RD + WE*RE</t>
  </si>
  <si>
    <t>CAP Rate = NOI/Sales Price - CAP Rate of purchase</t>
  </si>
  <si>
    <t>Direct Market Extraction of "Going In Market CAP Rate"</t>
  </si>
  <si>
    <t>Key Ratios</t>
  </si>
  <si>
    <t>Selling cost in year 5</t>
  </si>
  <si>
    <t xml:space="preserve">After Tax IRR </t>
  </si>
  <si>
    <t>Vacancy in yr 1</t>
  </si>
  <si>
    <t>Tax Rate</t>
  </si>
  <si>
    <t>After Tax Cash Flows (ATCF)</t>
  </si>
  <si>
    <t>After Tax Equity Reversion</t>
  </si>
  <si>
    <t>After Tax IRR</t>
  </si>
  <si>
    <t>XIRR</t>
  </si>
  <si>
    <t>XNPV</t>
  </si>
  <si>
    <t>Loan Assumptions</t>
  </si>
  <si>
    <t>Before Tax MIRR</t>
  </si>
  <si>
    <t>Annual Cash Flows</t>
  </si>
  <si>
    <t>Date</t>
  </si>
  <si>
    <t>Period</t>
  </si>
  <si>
    <t>DCF Valuation Analysis</t>
  </si>
  <si>
    <t>Before Tax IRR</t>
  </si>
  <si>
    <t>NPV Valuation Analysis</t>
  </si>
  <si>
    <t>Going in CAP Rate from Direct Market Extraction</t>
  </si>
  <si>
    <t>Key Ratios - Don't Change</t>
  </si>
  <si>
    <t>XNPV Calculation</t>
  </si>
  <si>
    <t xml:space="preserve">After Tax XIRR </t>
  </si>
  <si>
    <t>Vacancy, Bad Debt</t>
  </si>
  <si>
    <t>Direct Capitalization Value on Market going in CAP</t>
  </si>
  <si>
    <t>New Conversion price</t>
  </si>
  <si>
    <t>Old Conversion Price</t>
  </si>
  <si>
    <t>Number of shares outstanding</t>
  </si>
  <si>
    <t>total consideration</t>
  </si>
  <si>
    <t>Number of new shares issued</t>
  </si>
  <si>
    <t>C2</t>
  </si>
  <si>
    <t>C1</t>
  </si>
  <si>
    <t>A</t>
  </si>
  <si>
    <t>B</t>
  </si>
  <si>
    <t>C</t>
  </si>
  <si>
    <t>Weighted Average</t>
  </si>
  <si>
    <t>Going out CAP rate relative to going in CAP rate</t>
  </si>
  <si>
    <t>NPV and NPV relative to initial investment</t>
  </si>
  <si>
    <t>Total Square feet</t>
  </si>
  <si>
    <t>CAPEX % of EGI in years 2-5</t>
  </si>
  <si>
    <t>Vacancy in yr 2</t>
  </si>
  <si>
    <t>Vacancy in yrs 3-5</t>
  </si>
  <si>
    <t>CAPEX as a % of EGI. Year 1</t>
  </si>
  <si>
    <t>Total Cost of Project</t>
  </si>
  <si>
    <t>Blended DSCR years 2-5</t>
  </si>
  <si>
    <t>Blended DSCR</t>
  </si>
  <si>
    <t>Debt Yield Ratio</t>
  </si>
  <si>
    <t>OPEX as a % of EGI. Year 1-5</t>
  </si>
  <si>
    <t>Year 2 Debt Service Coverage Ratio = NOI/Debt Service</t>
  </si>
  <si>
    <t>Reconciliation Weights</t>
  </si>
  <si>
    <t>Recon value</t>
  </si>
  <si>
    <t>Average Room rental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</si>
</sst>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  <numFmt numFmtId="167" formatCode="0.0"/>
    <numFmt numFmtId="168" formatCode="_(* #,##0.000_);_(* \(#,##0.000\);_(* &quot;-&quot;??_);_(@_)"/>
    <numFmt numFmtId="169" formatCode="_(&quot;$&quot;* #,##0.0_);_(&quot;$&quot;* \(#,##0.0\);_(&quot;$&quot;* &quot;-&quot;?_);_(@_)"/>
    <numFmt numFmtId="170" formatCode="0.000%"/>
    <numFmt numFmtId="171" formatCode="[$-409]mmm\-yy;@"/>
    <numFmt numFmtId="172" formatCode="_(* #,##0_);_(* \(#,##0\);_(* &quot;-&quot;??_);_(@_)"/>
    <numFmt numFmtId="173" formatCode="_(* #,##0.0000000_);_(* \(#,##0.0000000\);_(* &quot;-&quot;??_);_(@_)"/>
    <numFmt numFmtId="174" formatCode="0.000"/>
    <numFmt numFmtId="175" formatCode="_(* #,##0.0000_);_(* \(#,##0.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indexed="9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E03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10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6" fontId="0" fillId="0" borderId="0" xfId="0" applyNumberFormat="1"/>
    <xf numFmtId="9" fontId="0" fillId="0" borderId="0" xfId="3" applyFont="1"/>
    <xf numFmtId="164" fontId="0" fillId="0" borderId="0" xfId="3" applyNumberFormat="1" applyFont="1"/>
    <xf numFmtId="10" fontId="0" fillId="0" borderId="0" xfId="3" applyNumberFormat="1" applyFont="1"/>
    <xf numFmtId="2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44" fontId="0" fillId="0" borderId="0" xfId="0" applyNumberFormat="1"/>
    <xf numFmtId="169" fontId="0" fillId="0" borderId="0" xfId="0" applyNumberFormat="1"/>
    <xf numFmtId="44" fontId="0" fillId="0" borderId="0" xfId="2" applyFont="1"/>
    <xf numFmtId="0" fontId="2" fillId="2" borderId="0" xfId="0" applyFont="1" applyFill="1"/>
    <xf numFmtId="0" fontId="3" fillId="2" borderId="0" xfId="0" applyFont="1" applyFill="1"/>
    <xf numFmtId="4" fontId="2" fillId="2" borderId="0" xfId="0" applyNumberFormat="1" applyFont="1" applyFill="1"/>
    <xf numFmtId="170" fontId="2" fillId="2" borderId="0" xfId="0" applyNumberFormat="1" applyFont="1" applyFill="1"/>
    <xf numFmtId="9" fontId="2" fillId="2" borderId="0" xfId="0" applyNumberFormat="1" applyFont="1" applyFill="1"/>
    <xf numFmtId="44" fontId="2" fillId="2" borderId="0" xfId="2" applyFont="1" applyFill="1"/>
    <xf numFmtId="2" fontId="2" fillId="2" borderId="0" xfId="0" applyNumberFormat="1" applyFont="1" applyFill="1"/>
    <xf numFmtId="8" fontId="2" fillId="2" borderId="0" xfId="0" applyNumberFormat="1" applyFont="1" applyFill="1"/>
    <xf numFmtId="8" fontId="4" fillId="2" borderId="0" xfId="2" applyNumberFormat="1" applyFont="1" applyFill="1"/>
    <xf numFmtId="44" fontId="4" fillId="2" borderId="0" xfId="0" applyNumberFormat="1" applyFont="1" applyFill="1"/>
    <xf numFmtId="171" fontId="2" fillId="2" borderId="0" xfId="0" applyNumberFormat="1" applyFont="1" applyFill="1"/>
    <xf numFmtId="0" fontId="2" fillId="2" borderId="0" xfId="0" applyFont="1" applyFill="1" applyAlignment="1">
      <alignment horizontal="right"/>
    </xf>
    <xf numFmtId="10" fontId="2" fillId="2" borderId="0" xfId="0" applyNumberFormat="1" applyFont="1" applyFill="1"/>
    <xf numFmtId="0" fontId="5" fillId="2" borderId="0" xfId="0" applyFont="1" applyFill="1"/>
    <xf numFmtId="38" fontId="2" fillId="2" borderId="0" xfId="0" applyNumberFormat="1" applyFont="1" applyFill="1"/>
    <xf numFmtId="0" fontId="2" fillId="3" borderId="0" xfId="0" applyFont="1" applyFill="1"/>
    <xf numFmtId="166" fontId="2" fillId="2" borderId="0" xfId="2" applyNumberFormat="1" applyFont="1" applyFill="1"/>
    <xf numFmtId="166" fontId="2" fillId="3" borderId="0" xfId="2" applyNumberFormat="1" applyFont="1" applyFill="1"/>
    <xf numFmtId="166" fontId="0" fillId="3" borderId="0" xfId="2" applyNumberFormat="1" applyFont="1" applyFill="1"/>
    <xf numFmtId="43" fontId="0" fillId="0" borderId="0" xfId="1" applyFont="1"/>
    <xf numFmtId="10" fontId="0" fillId="3" borderId="0" xfId="3" applyNumberFormat="1" applyFont="1" applyFill="1"/>
    <xf numFmtId="0" fontId="8" fillId="0" borderId="0" xfId="0" applyFont="1"/>
    <xf numFmtId="44" fontId="8" fillId="0" borderId="0" xfId="0" applyNumberFormat="1" applyFont="1"/>
    <xf numFmtId="0" fontId="0" fillId="3" borderId="0" xfId="0" applyFill="1"/>
    <xf numFmtId="0" fontId="0" fillId="4" borderId="0" xfId="0" applyFill="1"/>
    <xf numFmtId="9" fontId="0" fillId="4" borderId="0" xfId="3" applyFont="1" applyFill="1"/>
    <xf numFmtId="166" fontId="0" fillId="0" borderId="0" xfId="2" applyNumberFormat="1" applyFont="1" applyFill="1"/>
    <xf numFmtId="0" fontId="0" fillId="5" borderId="0" xfId="0" applyFill="1"/>
    <xf numFmtId="0" fontId="0" fillId="6" borderId="0" xfId="0" applyFill="1"/>
    <xf numFmtId="9" fontId="0" fillId="6" borderId="0" xfId="3" applyFont="1" applyFill="1"/>
    <xf numFmtId="166" fontId="0" fillId="6" borderId="0" xfId="2" applyNumberFormat="1" applyFont="1" applyFill="1"/>
    <xf numFmtId="10" fontId="0" fillId="6" borderId="0" xfId="3" applyNumberFormat="1" applyFont="1" applyFill="1"/>
    <xf numFmtId="172" fontId="0" fillId="6" borderId="0" xfId="1" applyNumberFormat="1" applyFont="1" applyFill="1"/>
    <xf numFmtId="166" fontId="0" fillId="4" borderId="0" xfId="2" applyNumberFormat="1" applyFont="1" applyFill="1"/>
    <xf numFmtId="164" fontId="0" fillId="6" borderId="0" xfId="3" applyNumberFormat="1" applyFont="1" applyFill="1"/>
    <xf numFmtId="43" fontId="0" fillId="4" borderId="0" xfId="1" applyFont="1" applyFill="1"/>
    <xf numFmtId="10" fontId="0" fillId="6" borderId="0" xfId="0" applyNumberFormat="1" applyFill="1"/>
    <xf numFmtId="10" fontId="0" fillId="4" borderId="0" xfId="3" applyNumberFormat="1" applyFont="1" applyFill="1"/>
    <xf numFmtId="2" fontId="0" fillId="4" borderId="0" xfId="0" applyNumberFormat="1" applyFill="1"/>
    <xf numFmtId="167" fontId="0" fillId="4" borderId="0" xfId="0" applyNumberFormat="1" applyFill="1"/>
    <xf numFmtId="0" fontId="6" fillId="0" borderId="0" xfId="0" applyFont="1"/>
    <xf numFmtId="166" fontId="6" fillId="0" borderId="0" xfId="0" applyNumberFormat="1" applyFont="1"/>
    <xf numFmtId="44" fontId="0" fillId="3" borderId="0" xfId="2" applyFont="1" applyFill="1"/>
    <xf numFmtId="10" fontId="0" fillId="3" borderId="0" xfId="0" applyNumberFormat="1" applyFill="1"/>
    <xf numFmtId="44" fontId="0" fillId="3" borderId="0" xfId="0" applyNumberFormat="1" applyFill="1"/>
    <xf numFmtId="2" fontId="0" fillId="5" borderId="0" xfId="0" applyNumberFormat="1" applyFill="1"/>
    <xf numFmtId="44" fontId="0" fillId="5" borderId="0" xfId="0" applyNumberFormat="1" applyFill="1"/>
    <xf numFmtId="164" fontId="10" fillId="0" borderId="0" xfId="3" applyNumberFormat="1" applyFont="1" applyFill="1"/>
    <xf numFmtId="9" fontId="10" fillId="0" borderId="0" xfId="3" applyFont="1" applyFill="1"/>
    <xf numFmtId="166" fontId="6" fillId="3" borderId="0" xfId="2" applyNumberFormat="1" applyFont="1" applyFill="1"/>
    <xf numFmtId="0" fontId="6" fillId="3" borderId="0" xfId="0" applyFont="1" applyFill="1"/>
    <xf numFmtId="166" fontId="0" fillId="3" borderId="1" xfId="2" applyNumberFormat="1" applyFont="1" applyFill="1" applyBorder="1"/>
    <xf numFmtId="0" fontId="0" fillId="0" borderId="1" xfId="0" applyBorder="1"/>
    <xf numFmtId="0" fontId="6" fillId="0" borderId="1" xfId="0" applyFont="1" applyBorder="1"/>
    <xf numFmtId="166" fontId="6" fillId="3" borderId="1" xfId="2" applyNumberFormat="1" applyFont="1" applyFill="1" applyBorder="1"/>
    <xf numFmtId="166" fontId="6" fillId="7" borderId="3" xfId="2" applyNumberFormat="1" applyFont="1" applyFill="1" applyBorder="1"/>
    <xf numFmtId="0" fontId="6" fillId="0" borderId="3" xfId="0" applyFont="1" applyBorder="1"/>
    <xf numFmtId="166" fontId="6" fillId="0" borderId="2" xfId="2" applyNumberFormat="1" applyFont="1" applyBorder="1"/>
    <xf numFmtId="166" fontId="0" fillId="0" borderId="2" xfId="2" applyNumberFormat="1" applyFont="1" applyBorder="1"/>
    <xf numFmtId="0" fontId="11" fillId="8" borderId="0" xfId="0" applyFont="1" applyFill="1"/>
    <xf numFmtId="0" fontId="11" fillId="8" borderId="0" xfId="0" applyFont="1" applyFill="1" applyAlignment="1">
      <alignment horizontal="right"/>
    </xf>
    <xf numFmtId="10" fontId="6" fillId="4" borderId="0" xfId="3" applyNumberFormat="1" applyFont="1" applyFill="1"/>
    <xf numFmtId="14" fontId="11" fillId="8" borderId="0" xfId="3" applyNumberFormat="1" applyFont="1" applyFill="1" applyAlignment="1">
      <alignment horizontal="right"/>
    </xf>
    <xf numFmtId="0" fontId="12" fillId="8" borderId="0" xfId="0" applyFont="1" applyFill="1"/>
    <xf numFmtId="166" fontId="11" fillId="8" borderId="0" xfId="2" applyNumberFormat="1" applyFont="1" applyFill="1"/>
    <xf numFmtId="165" fontId="11" fillId="8" borderId="0" xfId="2" applyNumberFormat="1" applyFont="1" applyFill="1"/>
    <xf numFmtId="165" fontId="0" fillId="0" borderId="0" xfId="2" applyNumberFormat="1" applyFont="1" applyFill="1"/>
    <xf numFmtId="6" fontId="6" fillId="4" borderId="0" xfId="2" applyNumberFormat="1" applyFont="1" applyFill="1"/>
    <xf numFmtId="169" fontId="0" fillId="3" borderId="0" xfId="0" applyNumberFormat="1" applyFill="1"/>
    <xf numFmtId="166" fontId="10" fillId="3" borderId="0" xfId="2" applyNumberFormat="1" applyFont="1" applyFill="1"/>
    <xf numFmtId="172" fontId="0" fillId="0" borderId="0" xfId="1" applyNumberFormat="1" applyFont="1"/>
    <xf numFmtId="173" fontId="0" fillId="0" borderId="0" xfId="0" applyNumberFormat="1"/>
    <xf numFmtId="6" fontId="0" fillId="6" borderId="0" xfId="0" applyNumberFormat="1" applyFill="1"/>
    <xf numFmtId="0" fontId="6" fillId="9" borderId="0" xfId="0" applyFont="1" applyFill="1"/>
    <xf numFmtId="0" fontId="0" fillId="9" borderId="0" xfId="0" applyFill="1"/>
    <xf numFmtId="166" fontId="0" fillId="9" borderId="0" xfId="2" applyNumberFormat="1" applyFont="1" applyFill="1"/>
    <xf numFmtId="44" fontId="13" fillId="9" borderId="0" xfId="2" applyFont="1" applyFill="1"/>
    <xf numFmtId="172" fontId="13" fillId="9" borderId="0" xfId="1" applyNumberFormat="1" applyFont="1" applyFill="1"/>
    <xf numFmtId="166" fontId="14" fillId="0" borderId="0" xfId="2" applyNumberFormat="1" applyFont="1" applyFill="1"/>
    <xf numFmtId="166" fontId="15" fillId="0" borderId="0" xfId="2" applyNumberFormat="1" applyFont="1" applyFill="1"/>
    <xf numFmtId="164" fontId="15" fillId="0" borderId="0" xfId="3" applyNumberFormat="1" applyFont="1" applyFill="1"/>
    <xf numFmtId="170" fontId="15" fillId="0" borderId="0" xfId="3" applyNumberFormat="1" applyFont="1" applyFill="1"/>
    <xf numFmtId="172" fontId="15" fillId="0" borderId="0" xfId="1" applyNumberFormat="1" applyFont="1" applyFill="1"/>
    <xf numFmtId="9" fontId="15" fillId="0" borderId="0" xfId="3" applyFont="1" applyFill="1"/>
    <xf numFmtId="10" fontId="15" fillId="0" borderId="0" xfId="3" applyNumberFormat="1" applyFont="1" applyFill="1"/>
    <xf numFmtId="43" fontId="0" fillId="0" borderId="0" xfId="1" applyFont="1" applyFill="1"/>
    <xf numFmtId="0" fontId="0" fillId="10" borderId="0" xfId="0" applyFill="1"/>
    <xf numFmtId="166" fontId="0" fillId="10" borderId="0" xfId="2" applyNumberFormat="1" applyFont="1" applyFill="1"/>
    <xf numFmtId="10" fontId="14" fillId="0" borderId="0" xfId="3" applyNumberFormat="1" applyFont="1" applyFill="1"/>
    <xf numFmtId="9" fontId="15" fillId="0" borderId="0" xfId="3" applyFont="1"/>
    <xf numFmtId="174" fontId="0" fillId="0" borderId="0" xfId="0" applyNumberFormat="1"/>
    <xf numFmtId="175" fontId="0" fillId="4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  <color rgb="FF0E0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30480</xdr:rowOff>
    </xdr:from>
    <xdr:to>
      <xdr:col>12</xdr:col>
      <xdr:colOff>91440</xdr:colOff>
      <xdr:row>21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68FB6D-65BB-4173-BADB-7E1C0F024A90}"/>
            </a:ext>
          </a:extLst>
        </xdr:cNvPr>
        <xdr:cNvSpPr txBox="1"/>
      </xdr:nvSpPr>
      <xdr:spPr>
        <a:xfrm>
          <a:off x="9646920" y="30480"/>
          <a:ext cx="4853940" cy="368808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solidFill>
                <a:schemeClr val="bg1"/>
              </a:solidFill>
            </a:rPr>
            <a:t>Scenario: Reposition $15,000,000 Hotel Purchase - 70% LTV loan</a:t>
          </a:r>
        </a:p>
        <a:p>
          <a:r>
            <a:rPr lang="en-US">
              <a:solidFill>
                <a:schemeClr val="bg1"/>
              </a:solidFill>
            </a:rPr>
            <a:t>PGI: Room rental rate =110. 50 rooms . PGI increases at 2% per year</a:t>
          </a:r>
        </a:p>
        <a:p>
          <a:r>
            <a:rPr lang="en-US">
              <a:solidFill>
                <a:schemeClr val="bg1"/>
              </a:solidFill>
            </a:rPr>
            <a:t>Vacancy: 20% for life of investment</a:t>
          </a:r>
        </a:p>
        <a:p>
          <a:r>
            <a:rPr lang="en-US">
              <a:solidFill>
                <a:schemeClr val="bg1"/>
              </a:solidFill>
            </a:rPr>
            <a:t>CAPEX: 5% for the 5 year hold    </a:t>
          </a:r>
        </a:p>
        <a:p>
          <a:r>
            <a:rPr lang="en-US">
              <a:solidFill>
                <a:schemeClr val="bg1"/>
              </a:solidFill>
            </a:rPr>
            <a:t>OPEX: 30% of EGI</a:t>
          </a:r>
        </a:p>
        <a:p>
          <a:r>
            <a:rPr lang="en-US">
              <a:solidFill>
                <a:schemeClr val="bg1"/>
              </a:solidFill>
            </a:rPr>
            <a:t>WACC: WACC of project  - Reinvestment Rate: IRR of project</a:t>
          </a:r>
        </a:p>
        <a:p>
          <a:r>
            <a:rPr lang="en-US">
              <a:solidFill>
                <a:schemeClr val="bg1"/>
              </a:solidFill>
            </a:rPr>
            <a:t>Mortgage Rate: 6.75%  25 year term </a:t>
          </a:r>
        </a:p>
        <a:p>
          <a:r>
            <a:rPr lang="en-US">
              <a:solidFill>
                <a:schemeClr val="bg1"/>
              </a:solidFill>
            </a:rPr>
            <a:t>Closing costs: 1.5% of L/A </a:t>
          </a:r>
        </a:p>
        <a:p>
          <a:r>
            <a:rPr lang="en-US">
              <a:solidFill>
                <a:schemeClr val="bg1"/>
              </a:solidFill>
            </a:rPr>
            <a:t>Going out CAP rate: -.25% of going in</a:t>
          </a:r>
        </a:p>
        <a:p>
          <a:r>
            <a:rPr lang="en-US">
              <a:solidFill>
                <a:schemeClr val="bg1"/>
              </a:solidFill>
            </a:rPr>
            <a:t>DSCR requirement: 1.2 - Debt Yield Ratio must be above 10%</a:t>
          </a:r>
        </a:p>
        <a:p>
          <a:r>
            <a:rPr lang="en-US">
              <a:solidFill>
                <a:schemeClr val="bg1"/>
              </a:solidFill>
            </a:rPr>
            <a:t>Selling costs in year 5 = 4% of sales price </a:t>
          </a:r>
        </a:p>
        <a:p>
          <a:r>
            <a:rPr lang="en-US">
              <a:solidFill>
                <a:schemeClr val="bg1"/>
              </a:solidFill>
            </a:rPr>
            <a:t>5 Year Hold  - Tax Rate 20%</a:t>
          </a:r>
        </a:p>
        <a:p>
          <a:r>
            <a:rPr lang="en-US">
              <a:solidFill>
                <a:schemeClr val="bg1"/>
              </a:solidFill>
            </a:rPr>
            <a:t>Sensitivity Analysis</a:t>
          </a:r>
        </a:p>
        <a:p>
          <a:r>
            <a:rPr lang="en-US">
              <a:solidFill>
                <a:schemeClr val="bg1"/>
              </a:solidFill>
            </a:rPr>
            <a:t>1)  The investor requires an BTIRR of 15% Does this investment work? If not, what are some solutions?</a:t>
          </a:r>
        </a:p>
        <a:p>
          <a:r>
            <a:rPr lang="en-US">
              <a:solidFill>
                <a:schemeClr val="bg1"/>
              </a:solidFill>
            </a:rPr>
            <a:t>2) What if the Going Out Cap Rate is .5% higher than the Going In Cap Rate?</a:t>
          </a:r>
        </a:p>
        <a:p>
          <a:r>
            <a:rPr lang="en-US">
              <a:solidFill>
                <a:schemeClr val="bg1"/>
              </a:solidFill>
            </a:rPr>
            <a:t>3) What happens to IRR if OPEX decreases to 25% for the entire 5 year hold?</a:t>
          </a:r>
        </a:p>
        <a:p>
          <a:r>
            <a:rPr lang="en-US">
              <a:solidFill>
                <a:schemeClr val="bg1"/>
              </a:solidFill>
            </a:rPr>
            <a:t>4) Do a valuation analysis (reconciliation) weighting DCF at 80% and Direct Capitalization at 20%. What does this tell you about the purchase price of the asset?</a:t>
          </a:r>
        </a:p>
        <a:p>
          <a:endParaRPr lang="en-US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n-US" sz="1000">
            <a:solidFill>
              <a:srgbClr val="FF0000"/>
            </a:solidFill>
            <a:effectLst/>
          </a:endParaRPr>
        </a:p>
        <a:p>
          <a:pPr rtl="0" eaLnBrk="1" latinLnBrk="0" hangingPunct="1"/>
          <a:endParaRPr lang="en-US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n-US" sz="1000">
            <a:effectLst/>
          </a:endParaRPr>
        </a:p>
        <a:p>
          <a:pPr rtl="0" eaLnBrk="1" latinLnBrk="0" hangingPunct="1"/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zoomScale="110" zoomScaleNormal="110" workbookViewId="0">
      <selection activeCell="D27" sqref="D27"/>
    </sheetView>
  </sheetViews>
  <sheetFormatPr defaultRowHeight="15" x14ac:dyDescent="0.25"/>
  <cols>
    <col min="1" max="1" width="26.5703125" customWidth="1"/>
    <col min="2" max="2" width="15" customWidth="1"/>
    <col min="3" max="3" width="16" customWidth="1"/>
    <col min="4" max="4" width="13.42578125" customWidth="1"/>
    <col min="5" max="5" width="14.28515625" customWidth="1"/>
    <col min="6" max="6" width="15.7109375" customWidth="1"/>
    <col min="7" max="7" width="13.85546875" customWidth="1"/>
    <col min="8" max="8" width="13" customWidth="1"/>
  </cols>
  <sheetData>
    <row r="1" spans="1:8" x14ac:dyDescent="0.25">
      <c r="D1" s="3"/>
      <c r="E1" s="3"/>
      <c r="F1" s="3"/>
      <c r="G1" s="3"/>
      <c r="H1" s="3"/>
    </row>
    <row r="2" spans="1:8" x14ac:dyDescent="0.25">
      <c r="A2" s="42" t="s">
        <v>13</v>
      </c>
      <c r="B2" s="42"/>
      <c r="C2" s="44">
        <v>50000000</v>
      </c>
      <c r="D2" s="3"/>
      <c r="E2" s="3"/>
      <c r="F2" s="3"/>
      <c r="G2" s="3"/>
      <c r="H2" s="3"/>
    </row>
    <row r="3" spans="1:8" x14ac:dyDescent="0.25">
      <c r="A3" s="42" t="s">
        <v>78</v>
      </c>
      <c r="B3" s="42"/>
      <c r="C3" s="47">
        <f>SUM(C2-C7)</f>
        <v>15000000</v>
      </c>
      <c r="D3" s="3"/>
      <c r="E3" s="3"/>
      <c r="F3" s="3"/>
      <c r="G3" s="3"/>
      <c r="H3" s="3"/>
    </row>
    <row r="4" spans="1:8" x14ac:dyDescent="0.25">
      <c r="A4" s="42" t="s">
        <v>98</v>
      </c>
      <c r="B4" s="42"/>
      <c r="C4" s="43">
        <v>0.03</v>
      </c>
      <c r="D4" s="3"/>
      <c r="E4" s="3"/>
      <c r="F4" s="3"/>
      <c r="G4" s="3"/>
      <c r="H4" s="3"/>
    </row>
    <row r="5" spans="1:8" x14ac:dyDescent="0.25">
      <c r="A5" s="42" t="s">
        <v>79</v>
      </c>
      <c r="B5" s="42"/>
      <c r="C5" s="47">
        <f>C7*C4</f>
        <v>1050000</v>
      </c>
      <c r="D5" s="3"/>
      <c r="E5" s="3"/>
      <c r="F5" s="3"/>
      <c r="G5" s="3"/>
      <c r="H5" s="3"/>
    </row>
    <row r="6" spans="1:8" x14ac:dyDescent="0.25">
      <c r="A6" s="42" t="s">
        <v>14</v>
      </c>
      <c r="B6" s="42"/>
      <c r="C6" s="47">
        <f>SUM(C3:C5)</f>
        <v>16050000.029999999</v>
      </c>
      <c r="D6" s="3"/>
      <c r="E6" s="3"/>
      <c r="F6" s="3" t="s">
        <v>94</v>
      </c>
      <c r="G6" s="3"/>
      <c r="H6" s="3"/>
    </row>
    <row r="7" spans="1:8" x14ac:dyDescent="0.25">
      <c r="A7" s="42" t="s">
        <v>15</v>
      </c>
      <c r="B7" s="42"/>
      <c r="C7" s="47">
        <f>(C2*C8)</f>
        <v>35000000</v>
      </c>
      <c r="D7" s="3"/>
      <c r="E7" s="3"/>
      <c r="F7" s="44" t="s">
        <v>95</v>
      </c>
      <c r="G7" s="3"/>
      <c r="H7" s="3"/>
    </row>
    <row r="8" spans="1:8" x14ac:dyDescent="0.25">
      <c r="A8" s="42" t="s">
        <v>22</v>
      </c>
      <c r="B8" s="42"/>
      <c r="C8" s="48">
        <v>0.7</v>
      </c>
      <c r="D8" s="3"/>
      <c r="E8" s="3"/>
      <c r="F8" s="47" t="s">
        <v>96</v>
      </c>
      <c r="G8" s="47"/>
      <c r="H8" s="3"/>
    </row>
    <row r="9" spans="1:8" x14ac:dyDescent="0.25">
      <c r="A9" s="42" t="s">
        <v>83</v>
      </c>
      <c r="B9" s="42"/>
      <c r="C9" s="5"/>
      <c r="D9" s="3"/>
      <c r="E9" s="3"/>
      <c r="F9" s="3"/>
      <c r="G9" s="3"/>
      <c r="H9" s="3"/>
    </row>
    <row r="10" spans="1:8" x14ac:dyDescent="0.25">
      <c r="A10" s="42" t="s">
        <v>86</v>
      </c>
      <c r="B10" s="43">
        <v>0.14000000000000001</v>
      </c>
      <c r="C10" s="5"/>
      <c r="D10" s="3"/>
      <c r="E10" s="3"/>
      <c r="F10" s="3"/>
      <c r="G10" s="3"/>
      <c r="H10" s="3"/>
    </row>
    <row r="11" spans="1:8" x14ac:dyDescent="0.25">
      <c r="A11" s="42" t="s">
        <v>87</v>
      </c>
      <c r="B11" s="43">
        <v>0.03</v>
      </c>
      <c r="C11" s="5"/>
      <c r="D11" s="3"/>
      <c r="E11" s="3"/>
      <c r="F11" s="3"/>
      <c r="G11" s="3"/>
      <c r="H11" s="3"/>
    </row>
    <row r="12" spans="1:8" x14ac:dyDescent="0.25">
      <c r="A12" s="42" t="s">
        <v>99</v>
      </c>
      <c r="B12" s="43">
        <v>0.2</v>
      </c>
      <c r="C12" s="5"/>
      <c r="D12" s="3"/>
      <c r="E12" s="3"/>
      <c r="F12" s="3"/>
      <c r="G12" s="3"/>
      <c r="H12" s="3"/>
    </row>
    <row r="13" spans="1:8" x14ac:dyDescent="0.25">
      <c r="A13" s="42" t="s">
        <v>88</v>
      </c>
      <c r="B13" s="43">
        <v>1</v>
      </c>
      <c r="C13" s="5"/>
      <c r="D13" s="3"/>
      <c r="E13" s="3"/>
      <c r="F13" s="3"/>
      <c r="G13" s="3"/>
      <c r="H13" s="3"/>
    </row>
    <row r="14" spans="1:8" x14ac:dyDescent="0.25">
      <c r="A14" s="42" t="s">
        <v>89</v>
      </c>
      <c r="B14" s="43">
        <v>0.35</v>
      </c>
      <c r="C14" s="5"/>
      <c r="D14" s="3"/>
      <c r="E14" s="3"/>
      <c r="F14" s="3"/>
      <c r="G14" s="3"/>
      <c r="H14" s="3"/>
    </row>
    <row r="15" spans="1:8" x14ac:dyDescent="0.25">
      <c r="A15" s="42" t="s">
        <v>90</v>
      </c>
      <c r="B15" s="43">
        <v>0.6</v>
      </c>
      <c r="C15" s="5"/>
      <c r="D15" s="3"/>
      <c r="E15" s="3"/>
      <c r="F15" s="3"/>
      <c r="G15" s="3"/>
      <c r="H15" s="3"/>
    </row>
    <row r="16" spans="1:8" x14ac:dyDescent="0.25">
      <c r="A16" s="42" t="s">
        <v>91</v>
      </c>
      <c r="B16" s="43">
        <v>0.05</v>
      </c>
      <c r="C16" s="5"/>
      <c r="D16" s="3"/>
      <c r="E16" s="3"/>
      <c r="F16" s="3"/>
      <c r="G16" s="3"/>
      <c r="H16" s="2"/>
    </row>
    <row r="17" spans="1:8" x14ac:dyDescent="0.25">
      <c r="A17" s="42" t="s">
        <v>92</v>
      </c>
      <c r="B17" s="43">
        <v>0.18</v>
      </c>
      <c r="C17" s="5"/>
      <c r="D17" s="3"/>
      <c r="E17" s="3"/>
      <c r="F17" s="3"/>
      <c r="G17" s="3"/>
      <c r="H17" s="3"/>
    </row>
    <row r="18" spans="1:8" x14ac:dyDescent="0.25">
      <c r="A18" s="38" t="s">
        <v>100</v>
      </c>
      <c r="B18" s="49">
        <f>'Nov 29'!D58</f>
        <v>1.3590128948401636</v>
      </c>
      <c r="C18" s="5"/>
      <c r="D18" s="3"/>
      <c r="E18" s="3"/>
      <c r="F18" s="3"/>
      <c r="G18" s="3"/>
      <c r="H18" s="3"/>
    </row>
    <row r="19" spans="1:8" x14ac:dyDescent="0.25">
      <c r="A19" s="42"/>
      <c r="B19" s="43"/>
      <c r="C19" s="5"/>
      <c r="D19" s="3"/>
      <c r="E19" s="3"/>
      <c r="F19" s="3"/>
      <c r="G19" s="3"/>
      <c r="H19" s="6"/>
    </row>
    <row r="20" spans="1:8" x14ac:dyDescent="0.25">
      <c r="A20" s="42"/>
      <c r="B20" s="42"/>
      <c r="C20" s="3"/>
      <c r="D20" s="3"/>
      <c r="E20" s="3"/>
      <c r="F20" s="3"/>
      <c r="G20" s="3"/>
      <c r="H20" s="3"/>
    </row>
    <row r="21" spans="1:8" x14ac:dyDescent="0.25">
      <c r="A21" s="42" t="s">
        <v>97</v>
      </c>
      <c r="B21" s="50">
        <f>'Nov 29'!D53</f>
        <v>7.8872444444444439E-2</v>
      </c>
      <c r="C21" s="3"/>
      <c r="D21" s="3"/>
      <c r="E21" s="3"/>
      <c r="F21" s="3"/>
      <c r="G21" s="3"/>
      <c r="H21" s="3"/>
    </row>
    <row r="22" spans="1:8" x14ac:dyDescent="0.25">
      <c r="A22" s="38" t="s">
        <v>47</v>
      </c>
      <c r="B22" s="51">
        <f>B21</f>
        <v>7.8872444444444439E-2</v>
      </c>
      <c r="C22" s="3"/>
      <c r="D22" s="3"/>
      <c r="E22" s="3"/>
      <c r="F22" s="3"/>
      <c r="G22" s="3"/>
      <c r="H22" s="5"/>
    </row>
    <row r="23" spans="1:8" x14ac:dyDescent="0.25">
      <c r="C23" s="3"/>
      <c r="D23" s="3"/>
      <c r="E23" s="3"/>
      <c r="F23" s="3"/>
      <c r="G23" s="3"/>
      <c r="H23" s="3"/>
    </row>
    <row r="24" spans="1:8" x14ac:dyDescent="0.25">
      <c r="A24" s="38" t="s">
        <v>23</v>
      </c>
      <c r="B24" s="47"/>
      <c r="C24" s="7"/>
      <c r="D24" s="3"/>
      <c r="E24" s="3"/>
      <c r="F24" s="3"/>
      <c r="G24" s="3"/>
      <c r="H24" s="3"/>
    </row>
    <row r="25" spans="1:8" x14ac:dyDescent="0.25">
      <c r="A25" s="38" t="s">
        <v>93</v>
      </c>
      <c r="B25" s="47"/>
      <c r="C25" s="7"/>
    </row>
    <row r="26" spans="1:8" x14ac:dyDescent="0.25">
      <c r="A26" s="38" t="s">
        <v>84</v>
      </c>
      <c r="B26" s="47"/>
      <c r="C26" s="8"/>
    </row>
    <row r="27" spans="1:8" x14ac:dyDescent="0.25">
      <c r="A27" s="44" t="s">
        <v>65</v>
      </c>
      <c r="B27" s="45">
        <v>5.5E-2</v>
      </c>
      <c r="C27" s="5"/>
    </row>
    <row r="28" spans="1:8" x14ac:dyDescent="0.25">
      <c r="A28" s="44" t="s">
        <v>66</v>
      </c>
      <c r="B28" s="46">
        <v>360</v>
      </c>
      <c r="C28" s="8"/>
    </row>
    <row r="29" spans="1:8" x14ac:dyDescent="0.25">
      <c r="A29" s="44" t="s">
        <v>77</v>
      </c>
      <c r="B29" s="44"/>
      <c r="C29" s="6"/>
    </row>
    <row r="30" spans="1:8" x14ac:dyDescent="0.25">
      <c r="C30" s="9"/>
    </row>
    <row r="31" spans="1:8" x14ac:dyDescent="0.25">
      <c r="C31" s="13"/>
    </row>
    <row r="32" spans="1:8" x14ac:dyDescent="0.25">
      <c r="C3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showGridLines="0" tabSelected="1" zoomScale="80" zoomScaleNormal="80" workbookViewId="0">
      <selection activeCell="B3" sqref="B3"/>
    </sheetView>
  </sheetViews>
  <sheetFormatPr defaultRowHeight="15" x14ac:dyDescent="0.25"/>
  <cols>
    <col min="1" max="1" width="42.140625" customWidth="1"/>
    <col min="2" max="2" width="16" customWidth="1"/>
    <col min="3" max="3" width="25.85546875" customWidth="1"/>
    <col min="4" max="4" width="19.5703125" customWidth="1"/>
    <col min="5" max="5" width="13" customWidth="1"/>
    <col min="6" max="6" width="16.85546875" customWidth="1"/>
    <col min="7" max="7" width="15.140625" customWidth="1"/>
    <col min="8" max="8" width="15.42578125" customWidth="1"/>
    <col min="9" max="9" width="15.5703125" customWidth="1"/>
    <col min="10" max="10" width="16.42578125" customWidth="1"/>
    <col min="11" max="11" width="16" customWidth="1"/>
  </cols>
  <sheetData>
    <row r="1" spans="1:10" x14ac:dyDescent="0.25">
      <c r="A1" s="63" t="s">
        <v>120</v>
      </c>
      <c r="B1" s="37"/>
      <c r="C1" s="37"/>
      <c r="D1" s="37"/>
      <c r="F1" s="37" t="s">
        <v>101</v>
      </c>
      <c r="G1" s="37"/>
    </row>
    <row r="2" spans="1:10" x14ac:dyDescent="0.25">
      <c r="A2" t="s">
        <v>152</v>
      </c>
      <c r="B2" s="93">
        <v>13500000</v>
      </c>
      <c r="C2" s="40" t="s">
        <v>65</v>
      </c>
      <c r="D2" s="95">
        <v>6.7500000000000004E-2</v>
      </c>
      <c r="F2" s="83" t="s">
        <v>102</v>
      </c>
      <c r="G2" s="32"/>
      <c r="J2" s="3"/>
    </row>
    <row r="3" spans="1:10" x14ac:dyDescent="0.25">
      <c r="A3" t="s">
        <v>78</v>
      </c>
      <c r="B3" s="3">
        <f>SUM(B2-B6)</f>
        <v>4050000</v>
      </c>
      <c r="C3" s="40" t="s">
        <v>66</v>
      </c>
      <c r="D3" s="96">
        <v>300</v>
      </c>
      <c r="F3" s="47" t="s">
        <v>129</v>
      </c>
      <c r="G3" s="47"/>
      <c r="J3" s="3"/>
    </row>
    <row r="4" spans="1:10" x14ac:dyDescent="0.25">
      <c r="A4" t="s">
        <v>79</v>
      </c>
      <c r="B4" s="3">
        <f>B6*B18</f>
        <v>141750</v>
      </c>
      <c r="C4" s="40" t="s">
        <v>77</v>
      </c>
      <c r="D4" s="40"/>
      <c r="F4" s="3" t="s">
        <v>103</v>
      </c>
      <c r="G4" s="3"/>
      <c r="J4" s="3"/>
    </row>
    <row r="5" spans="1:10" x14ac:dyDescent="0.25">
      <c r="A5" t="s">
        <v>104</v>
      </c>
      <c r="B5" s="3">
        <f>SUM(B3:B4)</f>
        <v>4191750</v>
      </c>
      <c r="F5" s="3"/>
      <c r="G5" s="3"/>
      <c r="J5" s="3"/>
    </row>
    <row r="6" spans="1:10" x14ac:dyDescent="0.25">
      <c r="A6" t="s">
        <v>15</v>
      </c>
      <c r="B6" s="3">
        <f>(B2*B7)</f>
        <v>9450000</v>
      </c>
      <c r="F6" s="3"/>
      <c r="G6" s="3"/>
      <c r="J6" s="3"/>
    </row>
    <row r="7" spans="1:10" x14ac:dyDescent="0.25">
      <c r="A7" t="s">
        <v>22</v>
      </c>
      <c r="B7" s="94">
        <v>0.7</v>
      </c>
      <c r="F7" s="3"/>
      <c r="G7" s="3"/>
      <c r="J7" s="3"/>
    </row>
    <row r="8" spans="1:10" x14ac:dyDescent="0.25">
      <c r="B8" s="61"/>
      <c r="F8" s="3"/>
      <c r="G8" s="3"/>
      <c r="J8" s="3"/>
    </row>
    <row r="9" spans="1:10" x14ac:dyDescent="0.25">
      <c r="A9" s="64" t="s">
        <v>83</v>
      </c>
      <c r="B9" s="37"/>
      <c r="C9" s="32"/>
      <c r="D9" s="32"/>
      <c r="F9" s="3"/>
      <c r="G9" s="3"/>
      <c r="J9" s="3"/>
    </row>
    <row r="10" spans="1:10" s="88" customFormat="1" x14ac:dyDescent="0.25">
      <c r="A10" s="87" t="s">
        <v>160</v>
      </c>
      <c r="B10" s="90">
        <v>110</v>
      </c>
      <c r="C10" s="89" t="s">
        <v>147</v>
      </c>
      <c r="D10" s="91">
        <v>50</v>
      </c>
      <c r="F10" s="89"/>
      <c r="G10" s="89"/>
      <c r="J10" s="89"/>
    </row>
    <row r="11" spans="1:10" x14ac:dyDescent="0.25">
      <c r="A11" t="s">
        <v>5</v>
      </c>
      <c r="B11" s="92">
        <f>B10*D10*365</f>
        <v>2007500</v>
      </c>
      <c r="C11" s="40" t="s">
        <v>148</v>
      </c>
      <c r="D11" s="98">
        <v>0.05</v>
      </c>
      <c r="F11" s="3"/>
      <c r="G11" s="3"/>
      <c r="J11" s="3"/>
    </row>
    <row r="12" spans="1:10" x14ac:dyDescent="0.25">
      <c r="A12" t="s">
        <v>105</v>
      </c>
      <c r="B12" s="98">
        <v>0.02</v>
      </c>
      <c r="C12" s="40" t="s">
        <v>114</v>
      </c>
      <c r="D12" s="97">
        <v>0.2</v>
      </c>
      <c r="F12" s="71" t="s">
        <v>110</v>
      </c>
      <c r="G12" s="72"/>
      <c r="J12" s="3"/>
    </row>
    <row r="13" spans="1:10" x14ac:dyDescent="0.25">
      <c r="A13" t="s">
        <v>113</v>
      </c>
      <c r="B13" s="97">
        <v>0.2</v>
      </c>
      <c r="C13" t="s">
        <v>150</v>
      </c>
      <c r="D13" s="103">
        <v>0.2</v>
      </c>
      <c r="F13" s="47" t="s">
        <v>121</v>
      </c>
      <c r="G13" s="51">
        <f>MIRR(C39:H39,D2,B17)</f>
        <v>0.13523302158130979</v>
      </c>
      <c r="J13" s="3"/>
    </row>
    <row r="14" spans="1:10" x14ac:dyDescent="0.25">
      <c r="A14" t="s">
        <v>149</v>
      </c>
      <c r="B14" s="97">
        <v>0.2</v>
      </c>
      <c r="F14" s="47" t="s">
        <v>23</v>
      </c>
      <c r="G14" s="51">
        <f>B39</f>
        <v>0.13348897801308479</v>
      </c>
      <c r="J14" s="3"/>
    </row>
    <row r="15" spans="1:10" x14ac:dyDescent="0.25">
      <c r="A15" t="s">
        <v>151</v>
      </c>
      <c r="B15" s="97">
        <v>0.05</v>
      </c>
      <c r="C15" s="5"/>
      <c r="F15" s="47" t="s">
        <v>112</v>
      </c>
      <c r="G15" s="51">
        <f>B41</f>
        <v>7.8765307260628248E-2</v>
      </c>
      <c r="J15" s="3"/>
    </row>
    <row r="16" spans="1:10" x14ac:dyDescent="0.25">
      <c r="A16" t="s">
        <v>156</v>
      </c>
      <c r="B16" s="97">
        <v>0.3</v>
      </c>
      <c r="C16" s="5"/>
      <c r="F16" s="47" t="s">
        <v>131</v>
      </c>
      <c r="G16" s="51">
        <f>D61</f>
        <v>7.87227898836136E-2</v>
      </c>
      <c r="J16" s="3"/>
    </row>
    <row r="17" spans="1:11" x14ac:dyDescent="0.25">
      <c r="A17" t="s">
        <v>85</v>
      </c>
      <c r="B17" s="102">
        <v>0.15</v>
      </c>
      <c r="C17" s="5"/>
      <c r="D17" s="40"/>
      <c r="F17" s="47" t="s">
        <v>119</v>
      </c>
      <c r="G17" s="47">
        <f>XNPV(B19,D43:H43,D24:H24)</f>
        <v>5577193.9861585395</v>
      </c>
      <c r="J17" s="3"/>
    </row>
    <row r="18" spans="1:11" x14ac:dyDescent="0.25">
      <c r="A18" t="s">
        <v>106</v>
      </c>
      <c r="B18" s="94">
        <v>1.4999999999999999E-2</v>
      </c>
      <c r="C18" s="5"/>
      <c r="D18" s="40"/>
      <c r="F18" s="47" t="s">
        <v>154</v>
      </c>
      <c r="G18" s="105">
        <f>B101</f>
        <v>1.4003296048690945</v>
      </c>
      <c r="H18" s="3"/>
      <c r="I18" s="3"/>
      <c r="J18" s="3"/>
    </row>
    <row r="19" spans="1:11" x14ac:dyDescent="0.25">
      <c r="A19" t="s">
        <v>107</v>
      </c>
      <c r="B19" s="102">
        <f>(B7*D2)*(1-D12)+(1-B7)*B17</f>
        <v>8.2800000000000012E-2</v>
      </c>
      <c r="C19" s="5"/>
      <c r="D19" s="40"/>
      <c r="F19" s="47" t="s">
        <v>155</v>
      </c>
      <c r="G19" s="51">
        <f>D59</f>
        <v>0.11267492063492064</v>
      </c>
      <c r="H19" s="3"/>
      <c r="I19" s="3"/>
      <c r="J19" s="3"/>
    </row>
    <row r="20" spans="1:11" x14ac:dyDescent="0.25">
      <c r="A20" t="s">
        <v>145</v>
      </c>
      <c r="B20" s="95">
        <v>-2.5000000000000001E-3</v>
      </c>
      <c r="C20" s="5"/>
      <c r="D20" s="3"/>
      <c r="F20" s="3"/>
      <c r="G20" s="3"/>
      <c r="H20" s="3"/>
      <c r="I20" s="3"/>
      <c r="J20" s="3"/>
    </row>
    <row r="21" spans="1:11" x14ac:dyDescent="0.25">
      <c r="A21" t="s">
        <v>111</v>
      </c>
      <c r="B21" s="94">
        <v>0.04</v>
      </c>
      <c r="J21" s="3"/>
    </row>
    <row r="22" spans="1:11" x14ac:dyDescent="0.25">
      <c r="B22" s="62"/>
      <c r="J22" s="3"/>
    </row>
    <row r="23" spans="1:11" x14ac:dyDescent="0.25">
      <c r="A23" s="73"/>
      <c r="B23" s="74" t="s">
        <v>124</v>
      </c>
      <c r="C23" s="74">
        <v>0</v>
      </c>
      <c r="D23" s="74">
        <f t="shared" ref="D23:I23" si="0">C23+1</f>
        <v>1</v>
      </c>
      <c r="E23" s="74">
        <f t="shared" si="0"/>
        <v>2</v>
      </c>
      <c r="F23" s="74">
        <f t="shared" si="0"/>
        <v>3</v>
      </c>
      <c r="G23" s="74">
        <f t="shared" si="0"/>
        <v>4</v>
      </c>
      <c r="H23" s="74">
        <f t="shared" si="0"/>
        <v>5</v>
      </c>
      <c r="I23" s="74">
        <f t="shared" si="0"/>
        <v>6</v>
      </c>
      <c r="J23" s="3"/>
    </row>
    <row r="24" spans="1:11" x14ac:dyDescent="0.25">
      <c r="A24" s="77" t="s">
        <v>122</v>
      </c>
      <c r="B24" s="74" t="s">
        <v>123</v>
      </c>
      <c r="C24" s="76">
        <v>44196</v>
      </c>
      <c r="D24" s="76">
        <f t="shared" ref="D24:I24" si="1">DATE(YEAR(C24)+1,MONTH(C24),DAY(C24))</f>
        <v>44561</v>
      </c>
      <c r="E24" s="76">
        <f t="shared" si="1"/>
        <v>44926</v>
      </c>
      <c r="F24" s="76">
        <f t="shared" si="1"/>
        <v>45291</v>
      </c>
      <c r="G24" s="76">
        <f t="shared" si="1"/>
        <v>45657</v>
      </c>
      <c r="H24" s="76">
        <f t="shared" si="1"/>
        <v>46022</v>
      </c>
      <c r="I24" s="76">
        <f t="shared" si="1"/>
        <v>46387</v>
      </c>
      <c r="J24" s="3"/>
    </row>
    <row r="25" spans="1:11" x14ac:dyDescent="0.25">
      <c r="A25" t="s">
        <v>5</v>
      </c>
      <c r="D25" s="40">
        <f>B11</f>
        <v>2007500</v>
      </c>
      <c r="E25" s="40">
        <f>D25*(1+B12)</f>
        <v>2047650</v>
      </c>
      <c r="F25" s="40">
        <f>E25*(1+B12)</f>
        <v>2088603</v>
      </c>
      <c r="G25" s="40">
        <f>F25*(1+B12)</f>
        <v>2130375.06</v>
      </c>
      <c r="H25" s="40">
        <f>G25*(1+B12)</f>
        <v>2172982.5611999999</v>
      </c>
      <c r="I25" s="40">
        <f>H25*(1+B12)</f>
        <v>2216442.2124239998</v>
      </c>
      <c r="J25" s="3"/>
    </row>
    <row r="26" spans="1:11" x14ac:dyDescent="0.25">
      <c r="A26" t="s">
        <v>132</v>
      </c>
      <c r="D26" s="40">
        <f>-D25*(B13)</f>
        <v>-401500</v>
      </c>
      <c r="E26" s="40">
        <f>-E25*B14</f>
        <v>-409530</v>
      </c>
      <c r="F26" s="40">
        <f>-F25*D13</f>
        <v>-417720.60000000003</v>
      </c>
      <c r="G26" s="40">
        <f>-G25*D13</f>
        <v>-426075.01200000005</v>
      </c>
      <c r="H26" s="40">
        <f>-H25*D13</f>
        <v>-434596.51224000001</v>
      </c>
      <c r="I26" s="40">
        <f>-I25*D13</f>
        <v>-443288.44248480001</v>
      </c>
      <c r="J26" s="3"/>
    </row>
    <row r="27" spans="1:11" x14ac:dyDescent="0.25">
      <c r="A27" t="s">
        <v>7</v>
      </c>
      <c r="D27" s="40">
        <f t="shared" ref="D27:I27" si="2">SUM(D25:D26)</f>
        <v>1606000</v>
      </c>
      <c r="E27" s="40">
        <f t="shared" si="2"/>
        <v>1638120</v>
      </c>
      <c r="F27" s="40">
        <f t="shared" si="2"/>
        <v>1670882.4</v>
      </c>
      <c r="G27" s="40">
        <f t="shared" si="2"/>
        <v>1704300.048</v>
      </c>
      <c r="H27" s="40">
        <f t="shared" si="2"/>
        <v>1738386.0489599998</v>
      </c>
      <c r="I27" s="40">
        <f t="shared" si="2"/>
        <v>1773153.7699391998</v>
      </c>
      <c r="J27" s="3"/>
    </row>
    <row r="28" spans="1:11" x14ac:dyDescent="0.25">
      <c r="A28" t="s">
        <v>8</v>
      </c>
      <c r="D28" s="40">
        <f>D27*B16</f>
        <v>481800</v>
      </c>
      <c r="E28" s="40">
        <f>E27*B16</f>
        <v>491436</v>
      </c>
      <c r="F28" s="80">
        <f>F27*B16</f>
        <v>501264.72</v>
      </c>
      <c r="G28" s="40">
        <f>G27*B16</f>
        <v>511290.01439999999</v>
      </c>
      <c r="H28" s="40">
        <f>H27*B16</f>
        <v>521515.8146879999</v>
      </c>
      <c r="I28" s="40">
        <f>I27*B16</f>
        <v>531946.13098175987</v>
      </c>
      <c r="J28" s="3"/>
    </row>
    <row r="29" spans="1:11" x14ac:dyDescent="0.25">
      <c r="A29" t="s">
        <v>9</v>
      </c>
      <c r="D29" s="40">
        <f>D27*B15</f>
        <v>80300</v>
      </c>
      <c r="E29" s="40">
        <f>E27*D11</f>
        <v>81906</v>
      </c>
      <c r="F29" s="40">
        <f>F27*D11</f>
        <v>83544.12</v>
      </c>
      <c r="G29" s="40">
        <f>G27*D11</f>
        <v>85215.002399999998</v>
      </c>
      <c r="H29" s="40">
        <f>H27*D11</f>
        <v>86919.302448000002</v>
      </c>
      <c r="I29" s="40">
        <f>I27*D11</f>
        <v>88657.688496959992</v>
      </c>
      <c r="J29" s="3"/>
    </row>
    <row r="30" spans="1:11" x14ac:dyDescent="0.25">
      <c r="A30" s="67" t="s">
        <v>10</v>
      </c>
      <c r="B30" s="67"/>
      <c r="C30" s="67"/>
      <c r="D30" s="68">
        <f t="shared" ref="D30:I30" si="3">SUM(D27-D28-D29)</f>
        <v>1043900</v>
      </c>
      <c r="E30" s="68">
        <f t="shared" si="3"/>
        <v>1064778</v>
      </c>
      <c r="F30" s="68">
        <f t="shared" si="3"/>
        <v>1086073.56</v>
      </c>
      <c r="G30" s="68">
        <f t="shared" si="3"/>
        <v>1107795.0312000001</v>
      </c>
      <c r="H30" s="68">
        <f t="shared" si="3"/>
        <v>1129950.9318239999</v>
      </c>
      <c r="I30" s="68">
        <f t="shared" si="3"/>
        <v>1152549.9504604798</v>
      </c>
      <c r="J30" s="3"/>
    </row>
    <row r="31" spans="1:11" x14ac:dyDescent="0.25">
      <c r="A31" t="s">
        <v>11</v>
      </c>
      <c r="D31" s="40">
        <f>'Amortization schedule'!L4</f>
        <v>783493.66959114152</v>
      </c>
      <c r="E31" s="40">
        <f>D31</f>
        <v>783493.66959114152</v>
      </c>
      <c r="F31" s="40">
        <f>D31</f>
        <v>783493.66959114152</v>
      </c>
      <c r="G31" s="40">
        <f>D31</f>
        <v>783493.66959114152</v>
      </c>
      <c r="H31" s="40">
        <f>D31</f>
        <v>783493.66959114152</v>
      </c>
      <c r="I31" s="40">
        <f>D31</f>
        <v>783493.66959114152</v>
      </c>
      <c r="J31" s="3"/>
    </row>
    <row r="32" spans="1:11" x14ac:dyDescent="0.25">
      <c r="A32" s="66" t="s">
        <v>12</v>
      </c>
      <c r="B32" s="66"/>
      <c r="C32" s="66"/>
      <c r="D32" s="65">
        <f t="shared" ref="D32:I32" si="4">SUM(D30-D31)</f>
        <v>260406.33040885848</v>
      </c>
      <c r="E32" s="65">
        <f t="shared" si="4"/>
        <v>281284.33040885848</v>
      </c>
      <c r="F32" s="65">
        <f>SUM(F30-F31)</f>
        <v>302579.89040885854</v>
      </c>
      <c r="G32" s="65">
        <f t="shared" si="4"/>
        <v>324301.36160885857</v>
      </c>
      <c r="H32" s="65">
        <f t="shared" si="4"/>
        <v>346457.26223285834</v>
      </c>
      <c r="I32" s="65">
        <f t="shared" si="4"/>
        <v>369056.28086933831</v>
      </c>
      <c r="J32" s="3"/>
      <c r="K32" s="54"/>
    </row>
    <row r="33" spans="1:11" ht="15.75" thickBot="1" x14ac:dyDescent="0.3">
      <c r="A33" s="70" t="s">
        <v>115</v>
      </c>
      <c r="B33" s="70"/>
      <c r="C33" s="70"/>
      <c r="D33" s="69">
        <f>D32*(1-D12)</f>
        <v>208325.06432708679</v>
      </c>
      <c r="E33" s="69">
        <f>E32*(1-D12)</f>
        <v>225027.46432708681</v>
      </c>
      <c r="F33" s="69">
        <f>F32*(1-D12)</f>
        <v>242063.91232708684</v>
      </c>
      <c r="G33" s="69">
        <f>G32*(1-D12)</f>
        <v>259441.08928708686</v>
      </c>
      <c r="H33" s="69">
        <f>H32*(1-D12)</f>
        <v>277165.80978628667</v>
      </c>
      <c r="I33" s="69">
        <f>I32*(1-D12)</f>
        <v>295245.02469547064</v>
      </c>
      <c r="J33" s="3"/>
      <c r="K33" s="4"/>
    </row>
    <row r="34" spans="1:11" ht="15.75" thickTop="1" x14ac:dyDescent="0.25">
      <c r="J34" s="3"/>
      <c r="K34" s="4"/>
    </row>
    <row r="35" spans="1:11" x14ac:dyDescent="0.25">
      <c r="A35" s="77" t="s">
        <v>127</v>
      </c>
      <c r="B35" s="73"/>
      <c r="C35" s="73"/>
      <c r="D35" s="73"/>
      <c r="E35" s="78"/>
      <c r="F35" s="78"/>
      <c r="G35" s="78"/>
      <c r="H35" s="78"/>
      <c r="I35" s="79"/>
      <c r="J35" s="3"/>
      <c r="K35" s="4"/>
    </row>
    <row r="36" spans="1:11" x14ac:dyDescent="0.25">
      <c r="A36" t="s">
        <v>146</v>
      </c>
      <c r="B36" s="81">
        <f>NPV(B19,D32:H32,I49)</f>
        <v>4848539.9502820596</v>
      </c>
      <c r="C36" s="86">
        <f>SUM(B36-B5)</f>
        <v>656789.95028205961</v>
      </c>
      <c r="J36" s="33"/>
      <c r="K36" s="99"/>
    </row>
    <row r="37" spans="1:11" x14ac:dyDescent="0.25">
      <c r="A37" t="s">
        <v>25</v>
      </c>
      <c r="D37" s="32">
        <f>NPV(B19,D30)</f>
        <v>964074.62135205022</v>
      </c>
      <c r="E37" s="32">
        <f>NPV(B19,0,E30)</f>
        <v>908160.43016170233</v>
      </c>
      <c r="F37" s="32">
        <f>NPV(B19,0,0,F30)</f>
        <v>855489.13812794269</v>
      </c>
      <c r="G37" s="32">
        <f>NPV(B19,0,0,0,G30)</f>
        <v>805872.66428749694</v>
      </c>
      <c r="H37" s="32">
        <f>NPV(B19,0,0,0,0,H30)</f>
        <v>759133.83595608314</v>
      </c>
      <c r="I37" s="32">
        <f>NPV(B19,0,0,0,0,0,I30)</f>
        <v>715105.75607240933</v>
      </c>
      <c r="J37" s="3"/>
      <c r="K37" s="55"/>
    </row>
    <row r="38" spans="1:11" x14ac:dyDescent="0.25">
      <c r="A38" t="s">
        <v>26</v>
      </c>
      <c r="D38" s="3">
        <f>NPV(B19,D32)</f>
        <v>240493.47100928932</v>
      </c>
      <c r="E38" s="3">
        <f>NPV(B19,0,E32)</f>
        <v>239910.38366857255</v>
      </c>
      <c r="F38" s="3">
        <f>NPV(B19,0,0,F32)</f>
        <v>238339.11366070062</v>
      </c>
      <c r="G38" s="3">
        <f>NPV(B19,0,0,0,G32)</f>
        <v>235915.1241441259</v>
      </c>
      <c r="H38" s="3">
        <f>NPV(B19,0,0,0,0,H32)</f>
        <v>232760.04565005141</v>
      </c>
      <c r="I38" s="2">
        <f>NPV(B19,0,0,0,0,0,I32)</f>
        <v>228982.93532431943</v>
      </c>
      <c r="K38" s="55"/>
    </row>
    <row r="39" spans="1:11" x14ac:dyDescent="0.25">
      <c r="A39" t="s">
        <v>126</v>
      </c>
      <c r="B39" s="75">
        <f>IRR(C39:H39)</f>
        <v>0.13348897801308479</v>
      </c>
      <c r="C39" s="3">
        <f>C41</f>
        <v>-4191750</v>
      </c>
      <c r="D39" s="3">
        <f>D32</f>
        <v>260406.33040885848</v>
      </c>
      <c r="E39" s="3">
        <f>E32</f>
        <v>281284.33040885848</v>
      </c>
      <c r="F39" s="3">
        <f>F32</f>
        <v>302579.89040885854</v>
      </c>
      <c r="G39" s="3">
        <f>G32</f>
        <v>324301.36160885857</v>
      </c>
      <c r="H39" s="3">
        <f>H32+I49</f>
        <v>6247158.9799732137</v>
      </c>
      <c r="I39" s="3"/>
      <c r="J39" s="3"/>
    </row>
    <row r="40" spans="1:11" x14ac:dyDescent="0.25">
      <c r="A40" t="s">
        <v>61</v>
      </c>
      <c r="D40" s="3">
        <f t="shared" ref="D40:I40" si="5">D38*0.8</f>
        <v>192394.77680743148</v>
      </c>
      <c r="E40" s="3">
        <f t="shared" si="5"/>
        <v>191928.30693485806</v>
      </c>
      <c r="F40" s="3">
        <f t="shared" si="5"/>
        <v>190671.29092856051</v>
      </c>
      <c r="G40" s="3">
        <f t="shared" si="5"/>
        <v>188732.09931530073</v>
      </c>
      <c r="H40" s="3">
        <f t="shared" si="5"/>
        <v>186208.03652004115</v>
      </c>
      <c r="I40" s="3">
        <f t="shared" si="5"/>
        <v>183186.34825945555</v>
      </c>
      <c r="J40" s="10"/>
    </row>
    <row r="41" spans="1:11" x14ac:dyDescent="0.25">
      <c r="A41" t="s">
        <v>117</v>
      </c>
      <c r="B41" s="75">
        <f>IRR(C41:H41)</f>
        <v>7.8765307260628248E-2</v>
      </c>
      <c r="C41" s="4">
        <f>(-B5)</f>
        <v>-4191750</v>
      </c>
      <c r="D41" s="40">
        <f>D33</f>
        <v>208325.06432708679</v>
      </c>
      <c r="E41" s="40">
        <f>E33</f>
        <v>225027.46432708681</v>
      </c>
      <c r="F41" s="40">
        <f>F33</f>
        <v>242063.91232708684</v>
      </c>
      <c r="G41" s="40">
        <f>G33</f>
        <v>259441.08928708686</v>
      </c>
      <c r="H41" s="40">
        <f>H33+I51</f>
        <v>4997727.1839785706</v>
      </c>
      <c r="J41" s="7"/>
    </row>
    <row r="42" spans="1:11" x14ac:dyDescent="0.25">
      <c r="A42" t="s">
        <v>29</v>
      </c>
      <c r="D42" s="40">
        <f>+SUM(D38:H38,I50)</f>
        <v>5151680.8363280231</v>
      </c>
      <c r="E42" s="40">
        <f>B5</f>
        <v>4191750</v>
      </c>
      <c r="F42" s="40"/>
      <c r="G42" s="40"/>
      <c r="H42" s="40">
        <f>SUM(D42-E42)</f>
        <v>959930.83632802311</v>
      </c>
      <c r="I42" s="40"/>
      <c r="J42" s="3"/>
    </row>
    <row r="43" spans="1:11" x14ac:dyDescent="0.25">
      <c r="A43" t="s">
        <v>130</v>
      </c>
      <c r="D43" s="40">
        <f>D32</f>
        <v>260406.33040885848</v>
      </c>
      <c r="E43" s="40">
        <f>E32</f>
        <v>281284.33040885848</v>
      </c>
      <c r="F43" s="40">
        <f>F32</f>
        <v>302579.89040885854</v>
      </c>
      <c r="G43" s="40">
        <f>G32</f>
        <v>324301.36160885857</v>
      </c>
      <c r="H43" s="40">
        <f>H32+I49</f>
        <v>6247158.9799732137</v>
      </c>
      <c r="I43" s="3"/>
      <c r="J43" s="3"/>
    </row>
    <row r="44" spans="1:11" x14ac:dyDescent="0.25">
      <c r="A44" s="77" t="s">
        <v>125</v>
      </c>
      <c r="B44" s="73"/>
      <c r="C44" s="73"/>
      <c r="D44" s="78"/>
      <c r="E44" s="78" t="s">
        <v>46</v>
      </c>
      <c r="F44" s="78"/>
      <c r="G44" s="78"/>
      <c r="H44" s="78"/>
      <c r="I44" s="78"/>
      <c r="J44" s="3"/>
    </row>
    <row r="45" spans="1:11" x14ac:dyDescent="0.25">
      <c r="A45" s="100" t="s">
        <v>30</v>
      </c>
      <c r="B45" s="100"/>
      <c r="C45" s="100"/>
      <c r="D45" s="101"/>
      <c r="E45" s="101"/>
      <c r="F45" s="101"/>
      <c r="G45" s="101"/>
      <c r="H45" s="100"/>
      <c r="I45" s="101">
        <f>SUM(I30/D62)</f>
        <v>15091175.34268369</v>
      </c>
      <c r="J45" s="3"/>
    </row>
    <row r="46" spans="1:11" x14ac:dyDescent="0.25">
      <c r="A46" t="s">
        <v>31</v>
      </c>
      <c r="D46" s="3"/>
      <c r="E46" s="3"/>
      <c r="F46" s="3"/>
      <c r="G46" s="3"/>
      <c r="I46" s="3">
        <f>NPV(B19,0,0,0,0,I45)</f>
        <v>10138689.658394597</v>
      </c>
      <c r="J46" s="3"/>
    </row>
    <row r="47" spans="1:11" x14ac:dyDescent="0.25">
      <c r="A47" s="100" t="s">
        <v>38</v>
      </c>
      <c r="B47" s="100"/>
      <c r="C47" s="100"/>
      <c r="D47" s="101"/>
      <c r="E47" s="101"/>
      <c r="F47" s="101"/>
      <c r="G47" s="101"/>
      <c r="H47" s="100"/>
      <c r="I47" s="101">
        <f>I45*(1-B21)</f>
        <v>14487528.328976342</v>
      </c>
      <c r="J47" s="3"/>
    </row>
    <row r="48" spans="1:11" x14ac:dyDescent="0.25">
      <c r="A48" t="s">
        <v>39</v>
      </c>
      <c r="D48" s="3"/>
      <c r="E48" s="3"/>
      <c r="F48" s="3"/>
      <c r="G48" s="3"/>
      <c r="I48" s="3">
        <f>NPV(B19,0,0,0,0,I47)</f>
        <v>9733142.0720588136</v>
      </c>
      <c r="J48" s="3"/>
    </row>
    <row r="49" spans="1:10" x14ac:dyDescent="0.25">
      <c r="A49" t="s">
        <v>28</v>
      </c>
      <c r="D49" s="3"/>
      <c r="E49" s="3"/>
      <c r="F49" s="3"/>
      <c r="G49" s="3"/>
      <c r="I49" s="3">
        <f>I47-'Amortization schedule'!K68</f>
        <v>5900701.7177403551</v>
      </c>
      <c r="J49" s="3"/>
    </row>
    <row r="50" spans="1:10" x14ac:dyDescent="0.25">
      <c r="A50" t="s">
        <v>60</v>
      </c>
      <c r="D50" s="3"/>
      <c r="E50" s="3"/>
      <c r="F50" s="3"/>
      <c r="G50" s="3"/>
      <c r="I50" s="3">
        <f>NPV(B19,0,0,0,0,I49)</f>
        <v>3964262.6981952833</v>
      </c>
      <c r="J50" s="3"/>
    </row>
    <row r="51" spans="1:10" x14ac:dyDescent="0.25">
      <c r="A51" t="s">
        <v>116</v>
      </c>
      <c r="D51" s="40"/>
      <c r="E51" s="40"/>
      <c r="F51" s="40"/>
      <c r="G51" s="40"/>
      <c r="I51" s="40">
        <f>I49*(1-D12)</f>
        <v>4720561.3741922844</v>
      </c>
      <c r="J51" s="3"/>
    </row>
    <row r="52" spans="1:10" x14ac:dyDescent="0.25">
      <c r="D52" s="40"/>
      <c r="E52" s="40"/>
      <c r="F52" s="40"/>
      <c r="G52" s="40"/>
      <c r="H52" s="40"/>
      <c r="I52" s="3"/>
      <c r="J52" s="3"/>
    </row>
    <row r="53" spans="1:10" x14ac:dyDescent="0.25">
      <c r="A53" s="38" t="s">
        <v>108</v>
      </c>
      <c r="B53" s="38"/>
      <c r="C53" s="38"/>
      <c r="D53" s="51">
        <f>(E30/B2)</f>
        <v>7.8872444444444439E-2</v>
      </c>
      <c r="E53" s="3"/>
      <c r="F53" s="3"/>
      <c r="G53" s="3"/>
      <c r="H53" s="3"/>
      <c r="I53" s="3"/>
      <c r="J53" s="3"/>
    </row>
    <row r="54" spans="1:10" x14ac:dyDescent="0.25">
      <c r="A54" s="38" t="s">
        <v>128</v>
      </c>
      <c r="B54" s="38"/>
      <c r="C54" s="38"/>
      <c r="D54" s="51">
        <f>D81</f>
        <v>7.2999999999999995E-2</v>
      </c>
      <c r="E54" s="3"/>
      <c r="F54" s="3"/>
      <c r="G54" s="3"/>
      <c r="H54" s="3"/>
      <c r="I54" s="3"/>
      <c r="J54" s="3"/>
    </row>
    <row r="55" spans="1:10" x14ac:dyDescent="0.25">
      <c r="A55" s="38" t="s">
        <v>16</v>
      </c>
      <c r="B55" s="38"/>
      <c r="C55" s="38"/>
      <c r="D55" s="51">
        <f>(E32/B5)</f>
        <v>6.7104271583195207E-2</v>
      </c>
    </row>
    <row r="56" spans="1:10" x14ac:dyDescent="0.25">
      <c r="A56" s="38" t="s">
        <v>62</v>
      </c>
      <c r="B56" s="38"/>
      <c r="C56" s="38"/>
      <c r="D56" s="52">
        <f>(B2/E27)</f>
        <v>8.24115449417625</v>
      </c>
    </row>
    <row r="57" spans="1:10" x14ac:dyDescent="0.25">
      <c r="A57" s="38" t="s">
        <v>18</v>
      </c>
      <c r="B57" s="38"/>
      <c r="C57" s="38"/>
      <c r="D57" s="39">
        <f>(F28/F27)</f>
        <v>0.3</v>
      </c>
    </row>
    <row r="58" spans="1:10" x14ac:dyDescent="0.25">
      <c r="A58" s="38" t="s">
        <v>157</v>
      </c>
      <c r="B58" s="38"/>
      <c r="C58" s="38"/>
      <c r="D58" s="52">
        <f>E30/E31</f>
        <v>1.3590128948401636</v>
      </c>
    </row>
    <row r="59" spans="1:10" x14ac:dyDescent="0.25">
      <c r="A59" s="38" t="s">
        <v>20</v>
      </c>
      <c r="B59" s="38"/>
      <c r="C59" s="38"/>
      <c r="D59" s="51">
        <f>(E30/B6)</f>
        <v>0.11267492063492064</v>
      </c>
    </row>
    <row r="60" spans="1:10" x14ac:dyDescent="0.25">
      <c r="A60" s="38" t="s">
        <v>21</v>
      </c>
      <c r="B60" s="38"/>
      <c r="C60" s="38"/>
      <c r="D60" s="53">
        <f>(B2/E30)</f>
        <v>12.678699221809616</v>
      </c>
    </row>
    <row r="61" spans="1:10" x14ac:dyDescent="0.25">
      <c r="A61" s="38" t="s">
        <v>118</v>
      </c>
      <c r="B61" s="38"/>
      <c r="C61" s="38"/>
      <c r="D61" s="51">
        <f>XIRR(C41:H41,C24:H24)</f>
        <v>7.87227898836136E-2</v>
      </c>
    </row>
    <row r="62" spans="1:10" x14ac:dyDescent="0.25">
      <c r="A62" s="42" t="s">
        <v>32</v>
      </c>
      <c r="B62" s="42"/>
      <c r="C62" s="42"/>
      <c r="D62" s="50">
        <f>D53+B20</f>
        <v>7.6372444444444437E-2</v>
      </c>
    </row>
    <row r="64" spans="1:10" x14ac:dyDescent="0.25">
      <c r="A64" s="77" t="s">
        <v>35</v>
      </c>
      <c r="B64" s="77"/>
      <c r="C64" s="77"/>
      <c r="D64" s="77"/>
      <c r="E64" s="77" t="s">
        <v>158</v>
      </c>
      <c r="F64" s="77"/>
    </row>
    <row r="65" spans="1:6" x14ac:dyDescent="0.25">
      <c r="A65" t="s">
        <v>133</v>
      </c>
      <c r="D65" s="11">
        <f>SUM(D30/D54)</f>
        <v>14300000</v>
      </c>
      <c r="E65" s="5">
        <v>0.1</v>
      </c>
      <c r="F65" s="11">
        <f>D65*E65</f>
        <v>1430000</v>
      </c>
    </row>
    <row r="66" spans="1:6" x14ac:dyDescent="0.25">
      <c r="A66" s="35" t="s">
        <v>34</v>
      </c>
      <c r="B66" s="35"/>
      <c r="D66" s="36">
        <f>SUM(I30/D62)</f>
        <v>15091175.34268369</v>
      </c>
    </row>
    <row r="67" spans="1:6" x14ac:dyDescent="0.25">
      <c r="A67" t="s">
        <v>36</v>
      </c>
      <c r="C67" s="33">
        <f>D83</f>
        <v>9.3333333333333339</v>
      </c>
      <c r="D67" s="82">
        <f>SUM(E27*C67)</f>
        <v>15289120.000000002</v>
      </c>
      <c r="E67" s="5">
        <v>0.1</v>
      </c>
      <c r="F67" s="12">
        <f>D67*E67</f>
        <v>1528912.0000000002</v>
      </c>
    </row>
    <row r="68" spans="1:6" x14ac:dyDescent="0.25">
      <c r="A68" t="s">
        <v>37</v>
      </c>
      <c r="D68" s="2">
        <f>(D60*D30)</f>
        <v>13235294.117647057</v>
      </c>
    </row>
    <row r="69" spans="1:6" x14ac:dyDescent="0.25">
      <c r="A69" s="37" t="s">
        <v>45</v>
      </c>
      <c r="B69" s="37"/>
      <c r="C69" s="37"/>
      <c r="D69" s="58">
        <f>SUM(D37:H37,I48)</f>
        <v>14025872.761944089</v>
      </c>
      <c r="E69" s="5">
        <v>0.8</v>
      </c>
      <c r="F69" s="11">
        <f>D69*E69</f>
        <v>11220698.209555272</v>
      </c>
    </row>
    <row r="71" spans="1:6" x14ac:dyDescent="0.25">
      <c r="E71" t="s">
        <v>159</v>
      </c>
      <c r="F71" s="11">
        <f>SUM(F65:F69)</f>
        <v>14179610.209555272</v>
      </c>
    </row>
    <row r="72" spans="1:6" x14ac:dyDescent="0.25">
      <c r="A72" s="37" t="s">
        <v>109</v>
      </c>
      <c r="B72" s="37"/>
      <c r="C72" s="37"/>
      <c r="D72" s="37"/>
    </row>
    <row r="73" spans="1:6" x14ac:dyDescent="0.25">
      <c r="A73" s="37"/>
      <c r="B73" s="37"/>
      <c r="C73" s="37"/>
      <c r="D73" s="37"/>
    </row>
    <row r="74" spans="1:6" x14ac:dyDescent="0.25">
      <c r="A74" s="37"/>
      <c r="B74" s="37"/>
      <c r="C74" s="37"/>
      <c r="D74" s="56">
        <f>E30/D81</f>
        <v>14586000</v>
      </c>
    </row>
    <row r="75" spans="1:6" x14ac:dyDescent="0.25">
      <c r="A75" s="37" t="s">
        <v>68</v>
      </c>
      <c r="B75" s="37"/>
      <c r="C75" s="37"/>
      <c r="D75" s="34">
        <v>7.8E-2</v>
      </c>
    </row>
    <row r="76" spans="1:6" x14ac:dyDescent="0.25">
      <c r="A76" s="37" t="s">
        <v>69</v>
      </c>
      <c r="B76" s="37"/>
      <c r="C76" s="37"/>
      <c r="D76" s="34">
        <v>7.4999999999999997E-2</v>
      </c>
    </row>
    <row r="77" spans="1:6" x14ac:dyDescent="0.25">
      <c r="A77" s="37" t="s">
        <v>70</v>
      </c>
      <c r="B77" s="37"/>
      <c r="C77" s="37"/>
      <c r="D77" s="34">
        <v>7.2999999999999995E-2</v>
      </c>
    </row>
    <row r="78" spans="1:6" x14ac:dyDescent="0.25">
      <c r="A78" s="37" t="s">
        <v>71</v>
      </c>
      <c r="B78" s="37"/>
      <c r="C78" s="37"/>
      <c r="D78" s="34">
        <v>7.0999999999999994E-2</v>
      </c>
    </row>
    <row r="79" spans="1:6" x14ac:dyDescent="0.25">
      <c r="A79" s="37" t="s">
        <v>72</v>
      </c>
      <c r="B79" s="37"/>
      <c r="C79" s="37"/>
      <c r="D79" s="34">
        <v>6.8000000000000005E-2</v>
      </c>
    </row>
    <row r="80" spans="1:6" x14ac:dyDescent="0.25">
      <c r="A80" s="37"/>
      <c r="B80" s="37"/>
      <c r="C80" s="37"/>
      <c r="D80" s="37"/>
    </row>
    <row r="81" spans="1:4" x14ac:dyDescent="0.25">
      <c r="A81" s="37" t="s">
        <v>73</v>
      </c>
      <c r="B81" s="37"/>
      <c r="C81" s="37"/>
      <c r="D81" s="57">
        <f>SUM(D75:D79)/5</f>
        <v>7.2999999999999995E-2</v>
      </c>
    </row>
    <row r="83" spans="1:4" x14ac:dyDescent="0.25">
      <c r="A83" s="41" t="s">
        <v>74</v>
      </c>
      <c r="B83" s="41"/>
      <c r="C83" s="41"/>
      <c r="D83" s="59">
        <f>SUM(D85:D87)/3</f>
        <v>9.3333333333333339</v>
      </c>
    </row>
    <row r="84" spans="1:4" x14ac:dyDescent="0.25">
      <c r="A84" s="41"/>
      <c r="B84" s="41"/>
      <c r="C84" s="41"/>
      <c r="D84" s="41"/>
    </row>
    <row r="85" spans="1:4" x14ac:dyDescent="0.25">
      <c r="A85" s="41" t="s">
        <v>75</v>
      </c>
      <c r="B85" s="41"/>
      <c r="C85" s="41"/>
      <c r="D85" s="41">
        <v>9.1999999999999993</v>
      </c>
    </row>
    <row r="86" spans="1:4" x14ac:dyDescent="0.25">
      <c r="A86" s="41" t="s">
        <v>69</v>
      </c>
      <c r="B86" s="41"/>
      <c r="C86" s="41"/>
      <c r="D86" s="41">
        <v>9.3000000000000007</v>
      </c>
    </row>
    <row r="87" spans="1:4" x14ac:dyDescent="0.25">
      <c r="A87" s="41" t="s">
        <v>70</v>
      </c>
      <c r="B87" s="41"/>
      <c r="C87" s="41"/>
      <c r="D87" s="41">
        <v>9.5</v>
      </c>
    </row>
    <row r="89" spans="1:4" x14ac:dyDescent="0.25">
      <c r="A89" s="41" t="s">
        <v>76</v>
      </c>
      <c r="B89" s="41"/>
      <c r="C89" s="41"/>
      <c r="D89" s="60">
        <f>SUM(E27*D83)</f>
        <v>15289120.000000002</v>
      </c>
    </row>
    <row r="92" spans="1:4" x14ac:dyDescent="0.25">
      <c r="A92" t="s">
        <v>80</v>
      </c>
      <c r="C92" s="11">
        <f>G30/D53</f>
        <v>14045400.000000002</v>
      </c>
    </row>
    <row r="93" spans="1:4" x14ac:dyDescent="0.25">
      <c r="A93" t="s">
        <v>81</v>
      </c>
      <c r="C93">
        <f>F30/F31</f>
        <v>1.3861931527369671</v>
      </c>
    </row>
    <row r="94" spans="1:4" x14ac:dyDescent="0.25">
      <c r="A94" t="s">
        <v>82</v>
      </c>
      <c r="C94" s="4">
        <f>I47-131450000</f>
        <v>-116962471.67102365</v>
      </c>
    </row>
    <row r="96" spans="1:4" x14ac:dyDescent="0.25">
      <c r="A96" t="s">
        <v>153</v>
      </c>
    </row>
    <row r="97" spans="1:2" x14ac:dyDescent="0.25">
      <c r="A97" s="104" t="s">
        <v>1</v>
      </c>
      <c r="B97">
        <f>E30/E31</f>
        <v>1.3590128948401636</v>
      </c>
    </row>
    <row r="98" spans="1:2" x14ac:dyDescent="0.25">
      <c r="A98" t="s">
        <v>2</v>
      </c>
      <c r="B98">
        <f>F30/F31</f>
        <v>1.3861931527369671</v>
      </c>
    </row>
    <row r="99" spans="1:2" x14ac:dyDescent="0.25">
      <c r="A99" t="s">
        <v>3</v>
      </c>
      <c r="B99">
        <f>G30/G31</f>
        <v>1.4139170157917065</v>
      </c>
    </row>
    <row r="100" spans="1:2" x14ac:dyDescent="0.25">
      <c r="A100" t="s">
        <v>4</v>
      </c>
      <c r="B100">
        <f>H30/H31</f>
        <v>1.4421953561075402</v>
      </c>
    </row>
    <row r="101" spans="1:2" x14ac:dyDescent="0.25">
      <c r="A101" t="s">
        <v>73</v>
      </c>
      <c r="B101">
        <f>SUM(B97:B100)/4</f>
        <v>1.4003296048690945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68"/>
  <sheetViews>
    <sheetView zoomScale="90" zoomScaleNormal="90" workbookViewId="0">
      <selection activeCell="M68" sqref="M68"/>
    </sheetView>
  </sheetViews>
  <sheetFormatPr defaultRowHeight="15" x14ac:dyDescent="0.25"/>
  <cols>
    <col min="1" max="1" width="0.5703125" customWidth="1"/>
    <col min="2" max="2" width="8.85546875" hidden="1" customWidth="1"/>
    <col min="3" max="3" width="20.28515625" customWidth="1"/>
    <col min="4" max="4" width="23.42578125" customWidth="1"/>
    <col min="5" max="5" width="6.140625" customWidth="1"/>
    <col min="6" max="6" width="4.28515625" customWidth="1"/>
    <col min="7" max="7" width="13.7109375" bestFit="1" customWidth="1"/>
    <col min="8" max="8" width="19.28515625" customWidth="1"/>
    <col min="9" max="9" width="20" customWidth="1"/>
    <col min="10" max="10" width="15.7109375" customWidth="1"/>
    <col min="11" max="11" width="25.28515625" customWidth="1"/>
    <col min="12" max="12" width="24.7109375" customWidth="1"/>
  </cols>
  <sheetData>
    <row r="1" spans="3:12" ht="18" x14ac:dyDescent="0.25">
      <c r="C1" s="14"/>
      <c r="D1" s="14"/>
      <c r="E1" s="14"/>
      <c r="F1" s="14"/>
      <c r="G1" s="14"/>
      <c r="H1" s="15"/>
      <c r="I1" s="15" t="s">
        <v>48</v>
      </c>
      <c r="J1" s="14"/>
      <c r="K1" s="14"/>
      <c r="L1" s="14"/>
    </row>
    <row r="2" spans="3:12" ht="18" x14ac:dyDescent="0.25">
      <c r="C2" s="14"/>
      <c r="D2" s="15" t="s">
        <v>49</v>
      </c>
      <c r="E2" s="14"/>
      <c r="F2" s="14"/>
      <c r="G2" s="14"/>
      <c r="H2" s="14"/>
      <c r="I2" s="14"/>
      <c r="J2" s="14"/>
      <c r="K2" s="14"/>
      <c r="L2" s="14"/>
    </row>
    <row r="3" spans="3:12" ht="18" x14ac:dyDescent="0.25">
      <c r="C3" s="14" t="s">
        <v>56</v>
      </c>
      <c r="D3" s="30">
        <f>'Nov 29'!B6</f>
        <v>9450000</v>
      </c>
      <c r="E3" s="14"/>
      <c r="F3" s="14"/>
      <c r="G3" s="16"/>
      <c r="H3" s="14" t="s">
        <v>67</v>
      </c>
      <c r="I3" s="14"/>
      <c r="J3" s="14"/>
      <c r="K3" s="29" t="s">
        <v>50</v>
      </c>
      <c r="L3" s="29" t="s">
        <v>64</v>
      </c>
    </row>
    <row r="4" spans="3:12" ht="18" x14ac:dyDescent="0.25">
      <c r="C4" s="14" t="s">
        <v>57</v>
      </c>
      <c r="D4" s="17">
        <f>'Nov 29'!D2</f>
        <v>6.7500000000000004E-2</v>
      </c>
      <c r="E4" s="14"/>
      <c r="F4" s="14"/>
      <c r="G4" s="18"/>
      <c r="H4" s="30">
        <f>'Nov 29'!D4/12</f>
        <v>0</v>
      </c>
      <c r="I4" s="14"/>
      <c r="J4" s="14"/>
      <c r="K4" s="31">
        <f>SUM(D6,H4:H5)</f>
        <v>65291.139132595126</v>
      </c>
      <c r="L4" s="31">
        <f>K4*12</f>
        <v>783493.66959114152</v>
      </c>
    </row>
    <row r="5" spans="3:12" ht="18" x14ac:dyDescent="0.25">
      <c r="C5" s="14" t="s">
        <v>58</v>
      </c>
      <c r="D5" s="14">
        <f>'Nov 29'!D3</f>
        <v>300</v>
      </c>
      <c r="E5" s="14"/>
      <c r="F5" s="14"/>
      <c r="G5" s="14"/>
      <c r="H5" s="19"/>
      <c r="I5" s="14"/>
      <c r="J5" s="14"/>
      <c r="K5" s="14"/>
      <c r="L5" s="14"/>
    </row>
    <row r="6" spans="3:12" ht="18" x14ac:dyDescent="0.25">
      <c r="C6" s="14" t="s">
        <v>59</v>
      </c>
      <c r="D6" s="21">
        <f>ABS(PMT(D4/12,D5,D3))</f>
        <v>65291.139132595126</v>
      </c>
      <c r="E6" s="14"/>
      <c r="F6" s="14"/>
      <c r="G6" s="14"/>
      <c r="H6" s="22"/>
      <c r="I6" s="14"/>
      <c r="J6" s="21"/>
      <c r="K6" s="21"/>
      <c r="L6" s="23"/>
    </row>
    <row r="7" spans="3:12" ht="18" x14ac:dyDescent="0.25">
      <c r="C7" s="14"/>
      <c r="D7" s="24">
        <v>44896</v>
      </c>
      <c r="E7" s="14"/>
      <c r="F7" s="14"/>
      <c r="G7" s="14"/>
      <c r="H7" s="25" t="s">
        <v>51</v>
      </c>
      <c r="I7" s="25" t="s">
        <v>52</v>
      </c>
      <c r="J7" s="25" t="s">
        <v>53</v>
      </c>
      <c r="K7" s="25" t="s">
        <v>54</v>
      </c>
      <c r="L7" s="25" t="s">
        <v>55</v>
      </c>
    </row>
    <row r="8" spans="3:12" ht="2.4500000000000002" customHeight="1" x14ac:dyDescent="0.25">
      <c r="C8" s="14"/>
      <c r="D8" s="14"/>
      <c r="E8" s="14"/>
      <c r="F8" s="26">
        <f>(D4)</f>
        <v>6.7500000000000004E-2</v>
      </c>
      <c r="G8" s="21">
        <f>(D6)</f>
        <v>65291.139132595126</v>
      </c>
      <c r="H8" s="21"/>
      <c r="I8" s="14"/>
      <c r="J8" s="14"/>
      <c r="K8" s="14">
        <f>(D3)</f>
        <v>9450000</v>
      </c>
      <c r="L8" s="14"/>
    </row>
    <row r="9" spans="3:12" ht="18" x14ac:dyDescent="0.25">
      <c r="C9" s="27">
        <f t="shared" ref="C9:C72" si="0">YEAR(H9)</f>
        <v>2022</v>
      </c>
      <c r="D9" s="27">
        <f t="shared" ref="D9:D72" si="1">MONTH(H9)</f>
        <v>12</v>
      </c>
      <c r="E9" s="14"/>
      <c r="F9" s="26"/>
      <c r="G9" s="28">
        <v>1</v>
      </c>
      <c r="H9" s="24">
        <f>D7</f>
        <v>44896</v>
      </c>
      <c r="I9" s="21">
        <f>$G$8-J9</f>
        <v>12134.889132595126</v>
      </c>
      <c r="J9" s="20">
        <f t="shared" ref="J9:J72" si="2">(K8*$D$4/12)</f>
        <v>53156.25</v>
      </c>
      <c r="K9" s="21">
        <f>K8-I9</f>
        <v>9437865.1108674053</v>
      </c>
      <c r="L9" s="21">
        <f>I9+L8</f>
        <v>12134.889132595126</v>
      </c>
    </row>
    <row r="10" spans="3:12" ht="18" x14ac:dyDescent="0.25">
      <c r="C10" s="27">
        <f t="shared" si="0"/>
        <v>2023</v>
      </c>
      <c r="D10" s="27">
        <f t="shared" si="1"/>
        <v>1</v>
      </c>
      <c r="E10" s="14"/>
      <c r="F10" s="26"/>
      <c r="G10" s="28">
        <v>2</v>
      </c>
      <c r="H10" s="24">
        <f>IF(D9=12,DATEVALUE(CONCATENATE("1/1/",C9+1)),DATEVALUE(CONCATENATE(D9+1,"/1/",C9)))</f>
        <v>44927</v>
      </c>
      <c r="I10" s="21">
        <f t="shared" ref="I10:I73" si="3">$G$8-J10</f>
        <v>12203.147883965961</v>
      </c>
      <c r="J10" s="20">
        <f t="shared" si="2"/>
        <v>53087.991248629165</v>
      </c>
      <c r="K10" s="21">
        <f t="shared" ref="K10:K73" si="4">K9-I10</f>
        <v>9425661.9629834387</v>
      </c>
      <c r="L10" s="21">
        <f t="shared" ref="L10:L73" si="5">I10+L9</f>
        <v>24338.037016561088</v>
      </c>
    </row>
    <row r="11" spans="3:12" ht="18" x14ac:dyDescent="0.25">
      <c r="C11" s="27">
        <f t="shared" si="0"/>
        <v>2023</v>
      </c>
      <c r="D11" s="27">
        <f t="shared" si="1"/>
        <v>2</v>
      </c>
      <c r="E11" s="14"/>
      <c r="F11" s="26"/>
      <c r="G11" s="28">
        <v>3</v>
      </c>
      <c r="H11" s="24">
        <f>IF(D10=12,DATEVALUE(CONCATENATE("1/1/",C10+1)),DATEVALUE(CONCATENATE(D10+1,"/1/",C10)))</f>
        <v>44958</v>
      </c>
      <c r="I11" s="21">
        <f>$G$8-J11</f>
        <v>12271.790590813274</v>
      </c>
      <c r="J11" s="20">
        <f t="shared" si="2"/>
        <v>53019.348541781852</v>
      </c>
      <c r="K11" s="21">
        <f t="shared" si="4"/>
        <v>9413390.1723926254</v>
      </c>
      <c r="L11" s="21">
        <f t="shared" si="5"/>
        <v>36609.827607374362</v>
      </c>
    </row>
    <row r="12" spans="3:12" ht="18" x14ac:dyDescent="0.25">
      <c r="C12" s="27">
        <f t="shared" si="0"/>
        <v>2023</v>
      </c>
      <c r="D12" s="27">
        <f t="shared" si="1"/>
        <v>3</v>
      </c>
      <c r="E12" s="14"/>
      <c r="F12" s="26"/>
      <c r="G12" s="28">
        <v>4</v>
      </c>
      <c r="H12" s="24">
        <f>IF(D11=12,DATEVALUE(CONCATENATE("1/1/",C11+1)),DATEVALUE(CONCATENATE(D11+1,"/1/",C11)))</f>
        <v>44986</v>
      </c>
      <c r="I12" s="21">
        <f>$G$8-J12</f>
        <v>12340.819412886602</v>
      </c>
      <c r="J12" s="20">
        <f>(K11*$D$4/12)</f>
        <v>52950.319719708525</v>
      </c>
      <c r="K12" s="21">
        <f>K11-I12</f>
        <v>9401049.3529797383</v>
      </c>
      <c r="L12" s="21">
        <f t="shared" si="5"/>
        <v>48950.647020260963</v>
      </c>
    </row>
    <row r="13" spans="3:12" ht="18" x14ac:dyDescent="0.25">
      <c r="C13" s="27">
        <f t="shared" si="0"/>
        <v>2023</v>
      </c>
      <c r="D13" s="27">
        <f t="shared" si="1"/>
        <v>4</v>
      </c>
      <c r="E13" s="14"/>
      <c r="F13" s="26"/>
      <c r="G13" s="28">
        <v>5</v>
      </c>
      <c r="H13" s="24">
        <f>IF(D12=12,DATEVALUE(CONCATENATE("1/1/",C12+1)),DATEVALUE(CONCATENATE(D12+1,"/1/",C12)))</f>
        <v>45017</v>
      </c>
      <c r="I13" s="21">
        <f t="shared" si="3"/>
        <v>12410.236522084095</v>
      </c>
      <c r="J13" s="20">
        <f t="shared" si="2"/>
        <v>52880.902610511032</v>
      </c>
      <c r="K13" s="21">
        <f t="shared" si="4"/>
        <v>9388639.1164576542</v>
      </c>
      <c r="L13" s="21">
        <f t="shared" si="5"/>
        <v>61360.883542345058</v>
      </c>
    </row>
    <row r="14" spans="3:12" ht="18" x14ac:dyDescent="0.25">
      <c r="C14" s="27">
        <f t="shared" si="0"/>
        <v>2023</v>
      </c>
      <c r="D14" s="27">
        <f t="shared" si="1"/>
        <v>5</v>
      </c>
      <c r="E14" s="14"/>
      <c r="F14" s="26"/>
      <c r="G14" s="28">
        <v>6</v>
      </c>
      <c r="H14" s="24">
        <f>IF(D13=12,DATEVALUE(CONCATENATE("1/1/",C13+1)),DATEVALUE(CONCATENATE(D13+1,"/1/",C13)))</f>
        <v>45047</v>
      </c>
      <c r="I14" s="21">
        <f t="shared" si="3"/>
        <v>12480.04410252082</v>
      </c>
      <c r="J14" s="20">
        <f t="shared" si="2"/>
        <v>52811.095030074306</v>
      </c>
      <c r="K14" s="21">
        <f t="shared" si="4"/>
        <v>9376159.0723551326</v>
      </c>
      <c r="L14" s="21">
        <f t="shared" si="5"/>
        <v>73840.927644865878</v>
      </c>
    </row>
    <row r="15" spans="3:12" ht="18" x14ac:dyDescent="0.25">
      <c r="C15" s="27">
        <f t="shared" si="0"/>
        <v>2023</v>
      </c>
      <c r="D15" s="27">
        <f t="shared" si="1"/>
        <v>6</v>
      </c>
      <c r="E15" s="14"/>
      <c r="F15" s="26"/>
      <c r="G15" s="28">
        <v>7</v>
      </c>
      <c r="H15" s="24">
        <f t="shared" ref="H15:H78" si="6">IF(D14=12,DATEVALUE(CONCATENATE("1/1/",C14+1)),DATEVALUE(CONCATENATE(D14+1,"/1/",C14)))</f>
        <v>45078</v>
      </c>
      <c r="I15" s="21">
        <f t="shared" si="3"/>
        <v>12550.244350597502</v>
      </c>
      <c r="J15" s="20">
        <f t="shared" si="2"/>
        <v>52740.894781997624</v>
      </c>
      <c r="K15" s="21">
        <f t="shared" si="4"/>
        <v>9363608.8280045353</v>
      </c>
      <c r="L15" s="21">
        <f t="shared" si="5"/>
        <v>86391.171995463374</v>
      </c>
    </row>
    <row r="16" spans="3:12" ht="18" x14ac:dyDescent="0.25">
      <c r="C16" s="27">
        <f t="shared" si="0"/>
        <v>2023</v>
      </c>
      <c r="D16" s="27">
        <f t="shared" si="1"/>
        <v>7</v>
      </c>
      <c r="E16" s="14"/>
      <c r="F16" s="26"/>
      <c r="G16" s="28">
        <v>8</v>
      </c>
      <c r="H16" s="24">
        <f t="shared" si="6"/>
        <v>45108</v>
      </c>
      <c r="I16" s="21">
        <f t="shared" si="3"/>
        <v>12620.83947506961</v>
      </c>
      <c r="J16" s="20">
        <f t="shared" si="2"/>
        <v>52670.299657525517</v>
      </c>
      <c r="K16" s="21">
        <f t="shared" si="4"/>
        <v>9350987.9885294661</v>
      </c>
      <c r="L16" s="21">
        <f t="shared" si="5"/>
        <v>99012.011470532976</v>
      </c>
    </row>
    <row r="17" spans="3:12" ht="18" x14ac:dyDescent="0.25">
      <c r="C17" s="27">
        <f t="shared" si="0"/>
        <v>2023</v>
      </c>
      <c r="D17" s="27">
        <f t="shared" si="1"/>
        <v>8</v>
      </c>
      <c r="E17" s="14"/>
      <c r="F17" s="26"/>
      <c r="G17" s="28">
        <v>9</v>
      </c>
      <c r="H17" s="24">
        <f t="shared" si="6"/>
        <v>45139</v>
      </c>
      <c r="I17" s="21">
        <f t="shared" si="3"/>
        <v>12691.831697116875</v>
      </c>
      <c r="J17" s="20">
        <f t="shared" si="2"/>
        <v>52599.307435478251</v>
      </c>
      <c r="K17" s="21">
        <f t="shared" si="4"/>
        <v>9338296.1568323486</v>
      </c>
      <c r="L17" s="21">
        <f t="shared" si="5"/>
        <v>111703.84316764984</v>
      </c>
    </row>
    <row r="18" spans="3:12" ht="18" x14ac:dyDescent="0.25">
      <c r="C18" s="27">
        <f t="shared" si="0"/>
        <v>2023</v>
      </c>
      <c r="D18" s="27">
        <f t="shared" si="1"/>
        <v>9</v>
      </c>
      <c r="E18" s="14"/>
      <c r="F18" s="26"/>
      <c r="G18" s="28">
        <v>10</v>
      </c>
      <c r="H18" s="24">
        <f t="shared" si="6"/>
        <v>45170</v>
      </c>
      <c r="I18" s="21">
        <f t="shared" si="3"/>
        <v>12763.223250413161</v>
      </c>
      <c r="J18" s="20">
        <f t="shared" si="2"/>
        <v>52527.915882181966</v>
      </c>
      <c r="K18" s="21">
        <f t="shared" si="4"/>
        <v>9325532.9335819352</v>
      </c>
      <c r="L18" s="21">
        <f t="shared" si="5"/>
        <v>124467.06641806301</v>
      </c>
    </row>
    <row r="19" spans="3:12" ht="18" x14ac:dyDescent="0.25">
      <c r="C19" s="27">
        <f t="shared" si="0"/>
        <v>2023</v>
      </c>
      <c r="D19" s="27">
        <f t="shared" si="1"/>
        <v>10</v>
      </c>
      <c r="E19" s="14"/>
      <c r="F19" s="26"/>
      <c r="G19" s="28">
        <v>11</v>
      </c>
      <c r="H19" s="24">
        <f t="shared" si="6"/>
        <v>45200</v>
      </c>
      <c r="I19" s="21">
        <f t="shared" si="3"/>
        <v>12835.016381196736</v>
      </c>
      <c r="J19" s="20">
        <f t="shared" si="2"/>
        <v>52456.12275139839</v>
      </c>
      <c r="K19" s="21">
        <f t="shared" si="4"/>
        <v>9312697.9172007386</v>
      </c>
      <c r="L19" s="21">
        <f t="shared" si="5"/>
        <v>137302.08279925975</v>
      </c>
    </row>
    <row r="20" spans="3:12" ht="18" x14ac:dyDescent="0.25">
      <c r="C20" s="27">
        <f t="shared" si="0"/>
        <v>2023</v>
      </c>
      <c r="D20" s="27">
        <f t="shared" si="1"/>
        <v>11</v>
      </c>
      <c r="E20" s="14"/>
      <c r="F20" s="26"/>
      <c r="G20" s="28">
        <v>12</v>
      </c>
      <c r="H20" s="24">
        <f t="shared" si="6"/>
        <v>45231</v>
      </c>
      <c r="I20" s="21">
        <f t="shared" si="3"/>
        <v>12907.213348340971</v>
      </c>
      <c r="J20" s="20">
        <f t="shared" si="2"/>
        <v>52383.925784254156</v>
      </c>
      <c r="K20" s="21">
        <f t="shared" si="4"/>
        <v>9299790.7038523983</v>
      </c>
      <c r="L20" s="21">
        <f t="shared" si="5"/>
        <v>150209.29614760072</v>
      </c>
    </row>
    <row r="21" spans="3:12" ht="18" x14ac:dyDescent="0.25">
      <c r="C21" s="27">
        <f t="shared" si="0"/>
        <v>2023</v>
      </c>
      <c r="D21" s="27">
        <f t="shared" si="1"/>
        <v>12</v>
      </c>
      <c r="E21" s="14"/>
      <c r="F21" s="26"/>
      <c r="G21" s="28">
        <v>13</v>
      </c>
      <c r="H21" s="24">
        <f t="shared" si="6"/>
        <v>45261</v>
      </c>
      <c r="I21" s="21">
        <f t="shared" si="3"/>
        <v>12979.816423425385</v>
      </c>
      <c r="J21" s="20">
        <f t="shared" si="2"/>
        <v>52311.322709169741</v>
      </c>
      <c r="K21" s="21">
        <f t="shared" si="4"/>
        <v>9286810.8874289729</v>
      </c>
      <c r="L21" s="21">
        <f t="shared" si="5"/>
        <v>163189.11257102611</v>
      </c>
    </row>
    <row r="22" spans="3:12" ht="18" x14ac:dyDescent="0.25">
      <c r="C22" s="27">
        <f t="shared" si="0"/>
        <v>2024</v>
      </c>
      <c r="D22" s="27">
        <f t="shared" si="1"/>
        <v>1</v>
      </c>
      <c r="E22" s="14"/>
      <c r="F22" s="26"/>
      <c r="G22" s="28">
        <v>14</v>
      </c>
      <c r="H22" s="24">
        <f t="shared" si="6"/>
        <v>45292</v>
      </c>
      <c r="I22" s="21">
        <f t="shared" si="3"/>
        <v>13052.827890807152</v>
      </c>
      <c r="J22" s="20">
        <f t="shared" si="2"/>
        <v>52238.311241787975</v>
      </c>
      <c r="K22" s="21">
        <f t="shared" si="4"/>
        <v>9273758.0595381651</v>
      </c>
      <c r="L22" s="21">
        <f t="shared" si="5"/>
        <v>176241.94046183326</v>
      </c>
    </row>
    <row r="23" spans="3:12" ht="18" x14ac:dyDescent="0.25">
      <c r="C23" s="27">
        <f t="shared" si="0"/>
        <v>2024</v>
      </c>
      <c r="D23" s="27">
        <f t="shared" si="1"/>
        <v>2</v>
      </c>
      <c r="E23" s="14"/>
      <c r="F23" s="26"/>
      <c r="G23" s="28">
        <v>15</v>
      </c>
      <c r="H23" s="24">
        <f t="shared" si="6"/>
        <v>45323</v>
      </c>
      <c r="I23" s="21">
        <f t="shared" si="3"/>
        <v>13126.250047692942</v>
      </c>
      <c r="J23" s="20">
        <f t="shared" si="2"/>
        <v>52164.889084902185</v>
      </c>
      <c r="K23" s="21">
        <f t="shared" si="4"/>
        <v>9260631.8094904721</v>
      </c>
      <c r="L23" s="21">
        <f t="shared" si="5"/>
        <v>189368.1905095262</v>
      </c>
    </row>
    <row r="24" spans="3:12" ht="18" x14ac:dyDescent="0.25">
      <c r="C24" s="27">
        <f t="shared" si="0"/>
        <v>2024</v>
      </c>
      <c r="D24" s="27">
        <f t="shared" si="1"/>
        <v>3</v>
      </c>
      <c r="E24" s="14"/>
      <c r="F24" s="26"/>
      <c r="G24" s="28">
        <v>16</v>
      </c>
      <c r="H24" s="24">
        <f t="shared" si="6"/>
        <v>45352</v>
      </c>
      <c r="I24" s="21">
        <f t="shared" si="3"/>
        <v>13200.085204211216</v>
      </c>
      <c r="J24" s="20">
        <f t="shared" si="2"/>
        <v>52091.05392838391</v>
      </c>
      <c r="K24" s="21">
        <f t="shared" si="4"/>
        <v>9247431.7242862601</v>
      </c>
      <c r="L24" s="21">
        <f t="shared" si="5"/>
        <v>202568.27571373741</v>
      </c>
    </row>
    <row r="25" spans="3:12" ht="18" x14ac:dyDescent="0.25">
      <c r="C25" s="27">
        <f t="shared" si="0"/>
        <v>2024</v>
      </c>
      <c r="D25" s="27">
        <f t="shared" si="1"/>
        <v>4</v>
      </c>
      <c r="E25" s="14"/>
      <c r="F25" s="26"/>
      <c r="G25" s="28">
        <v>17</v>
      </c>
      <c r="H25" s="24">
        <f t="shared" si="6"/>
        <v>45383</v>
      </c>
      <c r="I25" s="21">
        <f t="shared" si="3"/>
        <v>13274.335683484911</v>
      </c>
      <c r="J25" s="20">
        <f t="shared" si="2"/>
        <v>52016.803449110215</v>
      </c>
      <c r="K25" s="21">
        <f t="shared" si="4"/>
        <v>9234157.3886027746</v>
      </c>
      <c r="L25" s="21">
        <f t="shared" si="5"/>
        <v>215842.61139722232</v>
      </c>
    </row>
    <row r="26" spans="3:12" ht="18" x14ac:dyDescent="0.25">
      <c r="C26" s="27">
        <f t="shared" si="0"/>
        <v>2024</v>
      </c>
      <c r="D26" s="27">
        <f t="shared" si="1"/>
        <v>5</v>
      </c>
      <c r="E26" s="14"/>
      <c r="F26" s="26"/>
      <c r="G26" s="28">
        <v>18</v>
      </c>
      <c r="H26" s="24">
        <f t="shared" si="6"/>
        <v>45413</v>
      </c>
      <c r="I26" s="21">
        <f t="shared" si="3"/>
        <v>13349.003821704515</v>
      </c>
      <c r="J26" s="20">
        <f t="shared" si="2"/>
        <v>51942.135310890611</v>
      </c>
      <c r="K26" s="21">
        <f t="shared" si="4"/>
        <v>9220808.3847810701</v>
      </c>
      <c r="L26" s="21">
        <f t="shared" si="5"/>
        <v>229191.61521892683</v>
      </c>
    </row>
    <row r="27" spans="3:12" ht="18" x14ac:dyDescent="0.25">
      <c r="C27" s="27">
        <f t="shared" si="0"/>
        <v>2024</v>
      </c>
      <c r="D27" s="27">
        <f t="shared" si="1"/>
        <v>6</v>
      </c>
      <c r="E27" s="14"/>
      <c r="F27" s="26"/>
      <c r="G27" s="28">
        <v>19</v>
      </c>
      <c r="H27" s="24">
        <f t="shared" si="6"/>
        <v>45444</v>
      </c>
      <c r="I27" s="21">
        <f t="shared" si="3"/>
        <v>13424.091968201603</v>
      </c>
      <c r="J27" s="20">
        <f t="shared" si="2"/>
        <v>51867.047164393523</v>
      </c>
      <c r="K27" s="21">
        <f t="shared" si="4"/>
        <v>9207384.292812869</v>
      </c>
      <c r="L27" s="21">
        <f t="shared" si="5"/>
        <v>242615.70718712843</v>
      </c>
    </row>
    <row r="28" spans="3:12" ht="18" x14ac:dyDescent="0.25">
      <c r="C28" s="27">
        <f t="shared" si="0"/>
        <v>2024</v>
      </c>
      <c r="D28" s="27">
        <f t="shared" si="1"/>
        <v>7</v>
      </c>
      <c r="E28" s="14"/>
      <c r="F28" s="26"/>
      <c r="G28" s="28">
        <v>20</v>
      </c>
      <c r="H28" s="24">
        <f t="shared" si="6"/>
        <v>45474</v>
      </c>
      <c r="I28" s="21">
        <f t="shared" si="3"/>
        <v>13499.602485522737</v>
      </c>
      <c r="J28" s="20">
        <f t="shared" si="2"/>
        <v>51791.536647072389</v>
      </c>
      <c r="K28" s="21">
        <f t="shared" si="4"/>
        <v>9193884.6903273463</v>
      </c>
      <c r="L28" s="21">
        <f t="shared" si="5"/>
        <v>256115.30967265117</v>
      </c>
    </row>
    <row r="29" spans="3:12" ht="18" x14ac:dyDescent="0.25">
      <c r="C29" s="27">
        <f t="shared" si="0"/>
        <v>2024</v>
      </c>
      <c r="D29" s="27">
        <f t="shared" si="1"/>
        <v>8</v>
      </c>
      <c r="E29" s="14"/>
      <c r="F29" s="26"/>
      <c r="G29" s="28">
        <v>21</v>
      </c>
      <c r="H29" s="24">
        <f t="shared" si="6"/>
        <v>45505</v>
      </c>
      <c r="I29" s="21">
        <f t="shared" si="3"/>
        <v>13575.537749503797</v>
      </c>
      <c r="J29" s="20">
        <f t="shared" si="2"/>
        <v>51715.601383091329</v>
      </c>
      <c r="K29" s="21">
        <f t="shared" si="4"/>
        <v>9180309.1525778417</v>
      </c>
      <c r="L29" s="21">
        <f t="shared" si="5"/>
        <v>269690.84742215497</v>
      </c>
    </row>
    <row r="30" spans="3:12" ht="18" x14ac:dyDescent="0.25">
      <c r="C30" s="27">
        <f t="shared" si="0"/>
        <v>2024</v>
      </c>
      <c r="D30" s="27">
        <f t="shared" si="1"/>
        <v>9</v>
      </c>
      <c r="E30" s="14"/>
      <c r="F30" s="26"/>
      <c r="G30" s="28">
        <v>22</v>
      </c>
      <c r="H30" s="24">
        <f t="shared" si="6"/>
        <v>45536</v>
      </c>
      <c r="I30" s="21">
        <f t="shared" si="3"/>
        <v>13651.900149344765</v>
      </c>
      <c r="J30" s="20">
        <f t="shared" si="2"/>
        <v>51639.238983250361</v>
      </c>
      <c r="K30" s="21">
        <f t="shared" si="4"/>
        <v>9166657.2524284963</v>
      </c>
      <c r="L30" s="21">
        <f t="shared" si="5"/>
        <v>283342.74757149973</v>
      </c>
    </row>
    <row r="31" spans="3:12" ht="18" x14ac:dyDescent="0.25">
      <c r="C31" s="27">
        <f t="shared" si="0"/>
        <v>2024</v>
      </c>
      <c r="D31" s="27">
        <f t="shared" si="1"/>
        <v>10</v>
      </c>
      <c r="E31" s="14"/>
      <c r="F31" s="26"/>
      <c r="G31" s="28">
        <v>23</v>
      </c>
      <c r="H31" s="24">
        <f t="shared" si="6"/>
        <v>45566</v>
      </c>
      <c r="I31" s="21">
        <f t="shared" si="3"/>
        <v>13728.692087684838</v>
      </c>
      <c r="J31" s="20">
        <f t="shared" si="2"/>
        <v>51562.447044910288</v>
      </c>
      <c r="K31" s="21">
        <f t="shared" si="4"/>
        <v>9152928.5603408106</v>
      </c>
      <c r="L31" s="21">
        <f t="shared" si="5"/>
        <v>297071.43965918454</v>
      </c>
    </row>
    <row r="32" spans="3:12" ht="18" x14ac:dyDescent="0.25">
      <c r="C32" s="27">
        <f t="shared" si="0"/>
        <v>2024</v>
      </c>
      <c r="D32" s="27">
        <f t="shared" si="1"/>
        <v>11</v>
      </c>
      <c r="E32" s="14"/>
      <c r="F32" s="26"/>
      <c r="G32" s="28">
        <v>24</v>
      </c>
      <c r="H32" s="24">
        <f t="shared" si="6"/>
        <v>45597</v>
      </c>
      <c r="I32" s="21">
        <f t="shared" si="3"/>
        <v>13805.915980678059</v>
      </c>
      <c r="J32" s="20">
        <f t="shared" si="2"/>
        <v>51485.223151917067</v>
      </c>
      <c r="K32" s="21">
        <f t="shared" si="4"/>
        <v>9139122.6443601325</v>
      </c>
      <c r="L32" s="21">
        <f t="shared" si="5"/>
        <v>310877.3556398626</v>
      </c>
    </row>
    <row r="33" spans="3:12" ht="18" x14ac:dyDescent="0.25">
      <c r="C33" s="27">
        <f t="shared" si="0"/>
        <v>2024</v>
      </c>
      <c r="D33" s="27">
        <f t="shared" si="1"/>
        <v>12</v>
      </c>
      <c r="E33" s="14"/>
      <c r="F33" s="26"/>
      <c r="G33" s="28">
        <v>25</v>
      </c>
      <c r="H33" s="24">
        <f t="shared" si="6"/>
        <v>45627</v>
      </c>
      <c r="I33" s="21">
        <f t="shared" si="3"/>
        <v>13883.574258069384</v>
      </c>
      <c r="J33" s="20">
        <f t="shared" si="2"/>
        <v>51407.564874525742</v>
      </c>
      <c r="K33" s="21">
        <f t="shared" si="4"/>
        <v>9125239.0701020639</v>
      </c>
      <c r="L33" s="21">
        <f t="shared" si="5"/>
        <v>324760.92989793199</v>
      </c>
    </row>
    <row r="34" spans="3:12" ht="18" x14ac:dyDescent="0.25">
      <c r="C34" s="27">
        <f t="shared" si="0"/>
        <v>2025</v>
      </c>
      <c r="D34" s="27">
        <f t="shared" si="1"/>
        <v>1</v>
      </c>
      <c r="E34" s="14"/>
      <c r="F34" s="26"/>
      <c r="G34" s="28">
        <v>26</v>
      </c>
      <c r="H34" s="24">
        <f t="shared" si="6"/>
        <v>45658</v>
      </c>
      <c r="I34" s="21">
        <f t="shared" si="3"/>
        <v>13961.669363271008</v>
      </c>
      <c r="J34" s="20">
        <f t="shared" si="2"/>
        <v>51329.469769324118</v>
      </c>
      <c r="K34" s="21">
        <f t="shared" si="4"/>
        <v>9111277.4007387925</v>
      </c>
      <c r="L34" s="21">
        <f t="shared" si="5"/>
        <v>338722.59926120297</v>
      </c>
    </row>
    <row r="35" spans="3:12" ht="18" x14ac:dyDescent="0.25">
      <c r="C35" s="27">
        <f t="shared" si="0"/>
        <v>2025</v>
      </c>
      <c r="D35" s="27">
        <f t="shared" si="1"/>
        <v>2</v>
      </c>
      <c r="E35" s="14"/>
      <c r="F35" s="26"/>
      <c r="G35" s="28">
        <v>27</v>
      </c>
      <c r="H35" s="24">
        <f t="shared" si="6"/>
        <v>45689</v>
      </c>
      <c r="I35" s="21">
        <f t="shared" si="3"/>
        <v>14040.203753439419</v>
      </c>
      <c r="J35" s="20">
        <f t="shared" si="2"/>
        <v>51250.935379155708</v>
      </c>
      <c r="K35" s="21">
        <f t="shared" si="4"/>
        <v>9097237.1969853528</v>
      </c>
      <c r="L35" s="21">
        <f t="shared" si="5"/>
        <v>352762.80301464238</v>
      </c>
    </row>
    <row r="36" spans="3:12" ht="18" x14ac:dyDescent="0.25">
      <c r="C36" s="27">
        <f t="shared" si="0"/>
        <v>2025</v>
      </c>
      <c r="D36" s="27">
        <f t="shared" si="1"/>
        <v>3</v>
      </c>
      <c r="E36" s="14"/>
      <c r="F36" s="26"/>
      <c r="G36" s="28">
        <v>28</v>
      </c>
      <c r="H36" s="24">
        <f t="shared" si="6"/>
        <v>45717</v>
      </c>
      <c r="I36" s="21">
        <f t="shared" si="3"/>
        <v>14119.179899552517</v>
      </c>
      <c r="J36" s="20">
        <f t="shared" si="2"/>
        <v>51171.959233042609</v>
      </c>
      <c r="K36" s="21">
        <f t="shared" si="4"/>
        <v>9083118.0170857999</v>
      </c>
      <c r="L36" s="21">
        <f t="shared" si="5"/>
        <v>366881.98291419493</v>
      </c>
    </row>
    <row r="37" spans="3:12" ht="18" x14ac:dyDescent="0.25">
      <c r="C37" s="27">
        <f t="shared" si="0"/>
        <v>2025</v>
      </c>
      <c r="D37" s="27">
        <f t="shared" si="1"/>
        <v>4</v>
      </c>
      <c r="E37" s="14"/>
      <c r="F37" s="26"/>
      <c r="G37" s="28">
        <v>29</v>
      </c>
      <c r="H37" s="24">
        <f t="shared" si="6"/>
        <v>45748</v>
      </c>
      <c r="I37" s="21">
        <f t="shared" si="3"/>
        <v>14198.600286487497</v>
      </c>
      <c r="J37" s="20">
        <f t="shared" si="2"/>
        <v>51092.538846107629</v>
      </c>
      <c r="K37" s="21">
        <f t="shared" si="4"/>
        <v>9068919.4167993125</v>
      </c>
      <c r="L37" s="21">
        <f t="shared" si="5"/>
        <v>381080.58320068242</v>
      </c>
    </row>
    <row r="38" spans="3:12" ht="18" x14ac:dyDescent="0.25">
      <c r="C38" s="27">
        <f t="shared" si="0"/>
        <v>2025</v>
      </c>
      <c r="D38" s="27">
        <f t="shared" si="1"/>
        <v>5</v>
      </c>
      <c r="E38" s="14"/>
      <c r="F38" s="26"/>
      <c r="G38" s="28">
        <v>30</v>
      </c>
      <c r="H38" s="24">
        <f t="shared" si="6"/>
        <v>45778</v>
      </c>
      <c r="I38" s="21">
        <f t="shared" si="3"/>
        <v>14278.467413098988</v>
      </c>
      <c r="J38" s="20">
        <f t="shared" si="2"/>
        <v>51012.671719496138</v>
      </c>
      <c r="K38" s="21">
        <f t="shared" si="4"/>
        <v>9054640.949386213</v>
      </c>
      <c r="L38" s="21">
        <f t="shared" si="5"/>
        <v>395359.05061378144</v>
      </c>
    </row>
    <row r="39" spans="3:12" ht="18" x14ac:dyDescent="0.25">
      <c r="C39" s="27">
        <f t="shared" si="0"/>
        <v>2025</v>
      </c>
      <c r="D39" s="27">
        <f t="shared" si="1"/>
        <v>6</v>
      </c>
      <c r="E39" s="14"/>
      <c r="F39" s="26"/>
      <c r="G39" s="28">
        <v>31</v>
      </c>
      <c r="H39" s="24">
        <f t="shared" si="6"/>
        <v>45809</v>
      </c>
      <c r="I39" s="21">
        <f t="shared" si="3"/>
        <v>14358.783792297676</v>
      </c>
      <c r="J39" s="20">
        <f t="shared" si="2"/>
        <v>50932.35534029745</v>
      </c>
      <c r="K39" s="21">
        <f t="shared" si="4"/>
        <v>9040282.1655939147</v>
      </c>
      <c r="L39" s="21">
        <f t="shared" si="5"/>
        <v>409717.83440607914</v>
      </c>
    </row>
    <row r="40" spans="3:12" ht="18" x14ac:dyDescent="0.25">
      <c r="C40" s="27">
        <f t="shared" si="0"/>
        <v>2025</v>
      </c>
      <c r="D40" s="27">
        <f t="shared" si="1"/>
        <v>7</v>
      </c>
      <c r="E40" s="14"/>
      <c r="F40" s="26"/>
      <c r="G40" s="28">
        <v>32</v>
      </c>
      <c r="H40" s="24">
        <f t="shared" si="6"/>
        <v>45839</v>
      </c>
      <c r="I40" s="21">
        <f t="shared" si="3"/>
        <v>14439.551951129346</v>
      </c>
      <c r="J40" s="20">
        <f t="shared" si="2"/>
        <v>50851.58718146578</v>
      </c>
      <c r="K40" s="21">
        <f t="shared" si="4"/>
        <v>9025842.6136427857</v>
      </c>
      <c r="L40" s="21">
        <f t="shared" si="5"/>
        <v>424157.38635720848</v>
      </c>
    </row>
    <row r="41" spans="3:12" ht="18" x14ac:dyDescent="0.25">
      <c r="C41" s="27">
        <f t="shared" si="0"/>
        <v>2025</v>
      </c>
      <c r="D41" s="27">
        <f t="shared" si="1"/>
        <v>8</v>
      </c>
      <c r="E41" s="14"/>
      <c r="F41" s="26"/>
      <c r="G41" s="28">
        <v>33</v>
      </c>
      <c r="H41" s="24">
        <f t="shared" si="6"/>
        <v>45870</v>
      </c>
      <c r="I41" s="21">
        <f t="shared" si="3"/>
        <v>14520.77443085445</v>
      </c>
      <c r="J41" s="20">
        <f t="shared" si="2"/>
        <v>50770.364701740677</v>
      </c>
      <c r="K41" s="21">
        <f t="shared" si="4"/>
        <v>9011321.8392119315</v>
      </c>
      <c r="L41" s="21">
        <f t="shared" si="5"/>
        <v>438678.16078806296</v>
      </c>
    </row>
    <row r="42" spans="3:12" ht="18" x14ac:dyDescent="0.25">
      <c r="C42" s="27">
        <f t="shared" si="0"/>
        <v>2025</v>
      </c>
      <c r="D42" s="27">
        <f t="shared" si="1"/>
        <v>9</v>
      </c>
      <c r="E42" s="14"/>
      <c r="F42" s="26"/>
      <c r="G42" s="28">
        <v>34</v>
      </c>
      <c r="H42" s="24">
        <f t="shared" si="6"/>
        <v>45901</v>
      </c>
      <c r="I42" s="21">
        <f t="shared" si="3"/>
        <v>14602.453787028004</v>
      </c>
      <c r="J42" s="20">
        <f t="shared" si="2"/>
        <v>50688.685345567123</v>
      </c>
      <c r="K42" s="21">
        <f t="shared" si="4"/>
        <v>8996719.3854249027</v>
      </c>
      <c r="L42" s="21">
        <f t="shared" si="5"/>
        <v>453280.61457509093</v>
      </c>
    </row>
    <row r="43" spans="3:12" ht="18" x14ac:dyDescent="0.25">
      <c r="C43" s="27">
        <f t="shared" si="0"/>
        <v>2025</v>
      </c>
      <c r="D43" s="27">
        <f t="shared" si="1"/>
        <v>10</v>
      </c>
      <c r="E43" s="14"/>
      <c r="F43" s="26"/>
      <c r="G43" s="28">
        <v>35</v>
      </c>
      <c r="H43" s="24">
        <f t="shared" si="6"/>
        <v>45931</v>
      </c>
      <c r="I43" s="21">
        <f t="shared" si="3"/>
        <v>14684.592589580046</v>
      </c>
      <c r="J43" s="20">
        <f t="shared" si="2"/>
        <v>50606.54654301508</v>
      </c>
      <c r="K43" s="21">
        <f t="shared" si="4"/>
        <v>8982034.7928353231</v>
      </c>
      <c r="L43" s="21">
        <f t="shared" si="5"/>
        <v>467965.20716467098</v>
      </c>
    </row>
    <row r="44" spans="3:12" ht="18" x14ac:dyDescent="0.25">
      <c r="C44" s="27">
        <f t="shared" si="0"/>
        <v>2025</v>
      </c>
      <c r="D44" s="27">
        <f t="shared" si="1"/>
        <v>11</v>
      </c>
      <c r="E44" s="14"/>
      <c r="F44" s="26"/>
      <c r="G44" s="28">
        <v>36</v>
      </c>
      <c r="H44" s="24">
        <f t="shared" si="6"/>
        <v>45962</v>
      </c>
      <c r="I44" s="21">
        <f t="shared" si="3"/>
        <v>14767.193422896431</v>
      </c>
      <c r="J44" s="20">
        <f t="shared" si="2"/>
        <v>50523.945709698695</v>
      </c>
      <c r="K44" s="21">
        <f t="shared" si="4"/>
        <v>8967267.5994124264</v>
      </c>
      <c r="L44" s="21">
        <f t="shared" si="5"/>
        <v>482732.40058756742</v>
      </c>
    </row>
    <row r="45" spans="3:12" ht="18" x14ac:dyDescent="0.25">
      <c r="C45" s="27">
        <f t="shared" si="0"/>
        <v>2025</v>
      </c>
      <c r="D45" s="27">
        <f t="shared" si="1"/>
        <v>12</v>
      </c>
      <c r="E45" s="14"/>
      <c r="F45" s="26"/>
      <c r="G45" s="28">
        <v>37</v>
      </c>
      <c r="H45" s="24">
        <f t="shared" si="6"/>
        <v>45992</v>
      </c>
      <c r="I45" s="21">
        <f t="shared" si="3"/>
        <v>14850.258885900228</v>
      </c>
      <c r="J45" s="20">
        <f t="shared" si="2"/>
        <v>50440.880246694898</v>
      </c>
      <c r="K45" s="21">
        <f t="shared" si="4"/>
        <v>8952417.3405265268</v>
      </c>
      <c r="L45" s="21">
        <f t="shared" si="5"/>
        <v>497582.65947346762</v>
      </c>
    </row>
    <row r="46" spans="3:12" ht="18" x14ac:dyDescent="0.25">
      <c r="C46" s="27">
        <f t="shared" si="0"/>
        <v>2026</v>
      </c>
      <c r="D46" s="27">
        <f t="shared" si="1"/>
        <v>1</v>
      </c>
      <c r="E46" s="14"/>
      <c r="F46" s="26"/>
      <c r="G46" s="28">
        <v>38</v>
      </c>
      <c r="H46" s="24">
        <f t="shared" si="6"/>
        <v>46023</v>
      </c>
      <c r="I46" s="21">
        <f t="shared" si="3"/>
        <v>14933.791592133406</v>
      </c>
      <c r="J46" s="20">
        <f t="shared" si="2"/>
        <v>50357.34754046172</v>
      </c>
      <c r="K46" s="21">
        <f t="shared" si="4"/>
        <v>8937483.5489343926</v>
      </c>
      <c r="L46" s="21">
        <f t="shared" si="5"/>
        <v>512516.45106560102</v>
      </c>
    </row>
    <row r="47" spans="3:12" ht="18" x14ac:dyDescent="0.25">
      <c r="C47" s="27">
        <f t="shared" si="0"/>
        <v>2026</v>
      </c>
      <c r="D47" s="27">
        <f t="shared" si="1"/>
        <v>2</v>
      </c>
      <c r="E47" s="14"/>
      <c r="F47" s="26"/>
      <c r="G47" s="28">
        <v>39</v>
      </c>
      <c r="H47" s="24">
        <f t="shared" si="6"/>
        <v>46054</v>
      </c>
      <c r="I47" s="21">
        <f t="shared" si="3"/>
        <v>15017.794169839159</v>
      </c>
      <c r="J47" s="20">
        <f t="shared" si="2"/>
        <v>50273.344962755968</v>
      </c>
      <c r="K47" s="21">
        <f t="shared" si="4"/>
        <v>8922465.7547645532</v>
      </c>
      <c r="L47" s="21">
        <f t="shared" si="5"/>
        <v>527534.2452354402</v>
      </c>
    </row>
    <row r="48" spans="3:12" ht="18" x14ac:dyDescent="0.25">
      <c r="C48" s="27">
        <f t="shared" si="0"/>
        <v>2026</v>
      </c>
      <c r="D48" s="27">
        <f t="shared" si="1"/>
        <v>3</v>
      </c>
      <c r="E48" s="14"/>
      <c r="F48" s="26"/>
      <c r="G48" s="28">
        <v>40</v>
      </c>
      <c r="H48" s="24">
        <f t="shared" si="6"/>
        <v>46082</v>
      </c>
      <c r="I48" s="21">
        <f t="shared" si="3"/>
        <v>15102.269262044516</v>
      </c>
      <c r="J48" s="20">
        <f t="shared" si="2"/>
        <v>50188.86987055061</v>
      </c>
      <c r="K48" s="21">
        <f t="shared" si="4"/>
        <v>8907363.4855025094</v>
      </c>
      <c r="L48" s="21">
        <f t="shared" si="5"/>
        <v>542636.51449748478</v>
      </c>
    </row>
    <row r="49" spans="3:12" ht="18" x14ac:dyDescent="0.25">
      <c r="C49" s="27">
        <f t="shared" si="0"/>
        <v>2026</v>
      </c>
      <c r="D49" s="27">
        <f t="shared" si="1"/>
        <v>4</v>
      </c>
      <c r="E49" s="14"/>
      <c r="F49" s="26"/>
      <c r="G49" s="28">
        <v>41</v>
      </c>
      <c r="H49" s="24">
        <f t="shared" si="6"/>
        <v>46113</v>
      </c>
      <c r="I49" s="21">
        <f t="shared" si="3"/>
        <v>15187.219526643508</v>
      </c>
      <c r="J49" s="20">
        <f t="shared" si="2"/>
        <v>50103.919605951618</v>
      </c>
      <c r="K49" s="21">
        <f t="shared" si="4"/>
        <v>8892176.2659758665</v>
      </c>
      <c r="L49" s="21">
        <f t="shared" si="5"/>
        <v>557823.73402412829</v>
      </c>
    </row>
    <row r="50" spans="3:12" ht="18" x14ac:dyDescent="0.25">
      <c r="C50" s="27">
        <f t="shared" si="0"/>
        <v>2026</v>
      </c>
      <c r="D50" s="27">
        <f t="shared" si="1"/>
        <v>5</v>
      </c>
      <c r="E50" s="14"/>
      <c r="F50" s="26"/>
      <c r="G50" s="28">
        <v>42</v>
      </c>
      <c r="H50" s="24">
        <f t="shared" si="6"/>
        <v>46143</v>
      </c>
      <c r="I50" s="21">
        <f t="shared" si="3"/>
        <v>15272.64763648087</v>
      </c>
      <c r="J50" s="20">
        <f t="shared" si="2"/>
        <v>50018.491496114257</v>
      </c>
      <c r="K50" s="21">
        <f t="shared" si="4"/>
        <v>8876903.6183393858</v>
      </c>
      <c r="L50" s="21">
        <f t="shared" si="5"/>
        <v>573096.38166060916</v>
      </c>
    </row>
    <row r="51" spans="3:12" ht="18" x14ac:dyDescent="0.25">
      <c r="C51" s="27">
        <f t="shared" si="0"/>
        <v>2026</v>
      </c>
      <c r="D51" s="27">
        <f t="shared" si="1"/>
        <v>6</v>
      </c>
      <c r="E51" s="14"/>
      <c r="F51" s="26"/>
      <c r="G51" s="28">
        <v>43</v>
      </c>
      <c r="H51" s="24">
        <f t="shared" si="6"/>
        <v>46174</v>
      </c>
      <c r="I51" s="21">
        <f t="shared" si="3"/>
        <v>15358.556279436074</v>
      </c>
      <c r="J51" s="20">
        <f t="shared" si="2"/>
        <v>49932.582853159052</v>
      </c>
      <c r="K51" s="21">
        <f t="shared" si="4"/>
        <v>8861545.0620599501</v>
      </c>
      <c r="L51" s="21">
        <f t="shared" si="5"/>
        <v>588454.93794004526</v>
      </c>
    </row>
    <row r="52" spans="3:12" ht="18" x14ac:dyDescent="0.25">
      <c r="C52" s="27">
        <f t="shared" si="0"/>
        <v>2026</v>
      </c>
      <c r="D52" s="27">
        <f t="shared" si="1"/>
        <v>7</v>
      </c>
      <c r="E52" s="14"/>
      <c r="F52" s="26"/>
      <c r="G52" s="28">
        <v>44</v>
      </c>
      <c r="H52" s="24">
        <f t="shared" si="6"/>
        <v>46204</v>
      </c>
      <c r="I52" s="21">
        <f t="shared" si="3"/>
        <v>15444.948158507905</v>
      </c>
      <c r="J52" s="20">
        <f t="shared" si="2"/>
        <v>49846.190974087222</v>
      </c>
      <c r="K52" s="21">
        <f t="shared" si="4"/>
        <v>8846100.1139014419</v>
      </c>
      <c r="L52" s="21">
        <f t="shared" si="5"/>
        <v>603899.88609855319</v>
      </c>
    </row>
    <row r="53" spans="3:12" ht="18" x14ac:dyDescent="0.25">
      <c r="C53" s="27">
        <f t="shared" si="0"/>
        <v>2026</v>
      </c>
      <c r="D53" s="27">
        <f t="shared" si="1"/>
        <v>8</v>
      </c>
      <c r="E53" s="14"/>
      <c r="F53" s="26"/>
      <c r="G53" s="28">
        <v>45</v>
      </c>
      <c r="H53" s="24">
        <f t="shared" si="6"/>
        <v>46235</v>
      </c>
      <c r="I53" s="21">
        <f t="shared" si="3"/>
        <v>15531.82599189951</v>
      </c>
      <c r="J53" s="20">
        <f t="shared" si="2"/>
        <v>49759.313140695616</v>
      </c>
      <c r="K53" s="21">
        <f t="shared" si="4"/>
        <v>8830568.2879095431</v>
      </c>
      <c r="L53" s="21">
        <f t="shared" si="5"/>
        <v>619431.71209045267</v>
      </c>
    </row>
    <row r="54" spans="3:12" ht="18" x14ac:dyDescent="0.25">
      <c r="C54" s="27">
        <f t="shared" si="0"/>
        <v>2026</v>
      </c>
      <c r="D54" s="27">
        <f t="shared" si="1"/>
        <v>9</v>
      </c>
      <c r="E54" s="14"/>
      <c r="F54" s="26"/>
      <c r="G54" s="28">
        <v>46</v>
      </c>
      <c r="H54" s="24">
        <f t="shared" si="6"/>
        <v>46266</v>
      </c>
      <c r="I54" s="21">
        <f t="shared" si="3"/>
        <v>15619.192513103946</v>
      </c>
      <c r="J54" s="20">
        <f t="shared" si="2"/>
        <v>49671.94661949118</v>
      </c>
      <c r="K54" s="21">
        <f t="shared" si="4"/>
        <v>8814949.0953964386</v>
      </c>
      <c r="L54" s="21">
        <f t="shared" si="5"/>
        <v>635050.90460355661</v>
      </c>
    </row>
    <row r="55" spans="3:12" ht="18" x14ac:dyDescent="0.25">
      <c r="C55" s="27">
        <f t="shared" si="0"/>
        <v>2026</v>
      </c>
      <c r="D55" s="27">
        <f t="shared" si="1"/>
        <v>10</v>
      </c>
      <c r="E55" s="14"/>
      <c r="F55" s="26"/>
      <c r="G55" s="28">
        <v>47</v>
      </c>
      <c r="H55" s="24">
        <f t="shared" si="6"/>
        <v>46296</v>
      </c>
      <c r="I55" s="21">
        <f t="shared" si="3"/>
        <v>15707.050470990158</v>
      </c>
      <c r="J55" s="20">
        <f t="shared" si="2"/>
        <v>49584.088661604968</v>
      </c>
      <c r="K55" s="21">
        <f t="shared" si="4"/>
        <v>8799242.0449254476</v>
      </c>
      <c r="L55" s="21">
        <f t="shared" si="5"/>
        <v>650757.95507454674</v>
      </c>
    </row>
    <row r="56" spans="3:12" ht="18" x14ac:dyDescent="0.25">
      <c r="C56" s="27">
        <f t="shared" si="0"/>
        <v>2026</v>
      </c>
      <c r="D56" s="27">
        <f t="shared" si="1"/>
        <v>11</v>
      </c>
      <c r="E56" s="14"/>
      <c r="F56" s="26"/>
      <c r="G56" s="28">
        <v>48</v>
      </c>
      <c r="H56" s="24">
        <f t="shared" si="6"/>
        <v>46327</v>
      </c>
      <c r="I56" s="21">
        <f t="shared" si="3"/>
        <v>15795.402629889482</v>
      </c>
      <c r="J56" s="20">
        <f t="shared" si="2"/>
        <v>49495.736502705644</v>
      </c>
      <c r="K56" s="21">
        <f t="shared" si="4"/>
        <v>8783446.642295558</v>
      </c>
      <c r="L56" s="21">
        <f t="shared" si="5"/>
        <v>666553.35770443617</v>
      </c>
    </row>
    <row r="57" spans="3:12" ht="18" x14ac:dyDescent="0.25">
      <c r="C57" s="27">
        <f t="shared" si="0"/>
        <v>2026</v>
      </c>
      <c r="D57" s="27">
        <f t="shared" si="1"/>
        <v>12</v>
      </c>
      <c r="E57" s="14"/>
      <c r="F57" s="26"/>
      <c r="G57" s="28">
        <v>49</v>
      </c>
      <c r="H57" s="24">
        <f t="shared" si="6"/>
        <v>46357</v>
      </c>
      <c r="I57" s="21">
        <f t="shared" si="3"/>
        <v>15884.251769682603</v>
      </c>
      <c r="J57" s="20">
        <f t="shared" si="2"/>
        <v>49406.887362912523</v>
      </c>
      <c r="K57" s="21">
        <f t="shared" si="4"/>
        <v>8767562.3905258756</v>
      </c>
      <c r="L57" s="21">
        <f t="shared" si="5"/>
        <v>682437.6094741188</v>
      </c>
    </row>
    <row r="58" spans="3:12" ht="18" x14ac:dyDescent="0.25">
      <c r="C58" s="27">
        <f t="shared" si="0"/>
        <v>2027</v>
      </c>
      <c r="D58" s="27">
        <f t="shared" si="1"/>
        <v>1</v>
      </c>
      <c r="E58" s="14"/>
      <c r="F58" s="26"/>
      <c r="G58" s="28">
        <v>50</v>
      </c>
      <c r="H58" s="24">
        <f t="shared" si="6"/>
        <v>46388</v>
      </c>
      <c r="I58" s="21">
        <f t="shared" si="3"/>
        <v>15973.600685887075</v>
      </c>
      <c r="J58" s="20">
        <f t="shared" si="2"/>
        <v>49317.538446708051</v>
      </c>
      <c r="K58" s="21">
        <f t="shared" si="4"/>
        <v>8751588.7898399886</v>
      </c>
      <c r="L58" s="21">
        <f t="shared" si="5"/>
        <v>698411.21016000584</v>
      </c>
    </row>
    <row r="59" spans="3:12" ht="18" x14ac:dyDescent="0.25">
      <c r="C59" s="27">
        <f t="shared" si="0"/>
        <v>2027</v>
      </c>
      <c r="D59" s="27">
        <f t="shared" si="1"/>
        <v>2</v>
      </c>
      <c r="E59" s="14"/>
      <c r="F59" s="26"/>
      <c r="G59" s="28">
        <v>51</v>
      </c>
      <c r="H59" s="24">
        <f t="shared" si="6"/>
        <v>46419</v>
      </c>
      <c r="I59" s="21">
        <f t="shared" si="3"/>
        <v>16063.452189745185</v>
      </c>
      <c r="J59" s="20">
        <f t="shared" si="2"/>
        <v>49227.686942849941</v>
      </c>
      <c r="K59" s="21">
        <f t="shared" si="4"/>
        <v>8735525.3376502432</v>
      </c>
      <c r="L59" s="21">
        <f t="shared" si="5"/>
        <v>714474.66234975099</v>
      </c>
    </row>
    <row r="60" spans="3:12" ht="18" x14ac:dyDescent="0.25">
      <c r="C60" s="27">
        <f t="shared" si="0"/>
        <v>2027</v>
      </c>
      <c r="D60" s="27">
        <f t="shared" si="1"/>
        <v>3</v>
      </c>
      <c r="E60" s="14"/>
      <c r="F60" s="26"/>
      <c r="G60" s="28">
        <v>52</v>
      </c>
      <c r="H60" s="24">
        <f t="shared" si="6"/>
        <v>46447</v>
      </c>
      <c r="I60" s="21">
        <f t="shared" si="3"/>
        <v>16153.809108312504</v>
      </c>
      <c r="J60" s="20">
        <f t="shared" si="2"/>
        <v>49137.330024282623</v>
      </c>
      <c r="K60" s="21">
        <f t="shared" si="4"/>
        <v>8719371.52854193</v>
      </c>
      <c r="L60" s="21">
        <f t="shared" si="5"/>
        <v>730628.47145806346</v>
      </c>
    </row>
    <row r="61" spans="3:12" ht="18" x14ac:dyDescent="0.25">
      <c r="C61" s="27">
        <f t="shared" si="0"/>
        <v>2027</v>
      </c>
      <c r="D61" s="27">
        <f t="shared" si="1"/>
        <v>4</v>
      </c>
      <c r="E61" s="14"/>
      <c r="F61" s="26"/>
      <c r="G61" s="28">
        <v>53</v>
      </c>
      <c r="H61" s="24">
        <f t="shared" si="6"/>
        <v>46478</v>
      </c>
      <c r="I61" s="21">
        <f t="shared" si="3"/>
        <v>16244.67428454676</v>
      </c>
      <c r="J61" s="20">
        <f t="shared" si="2"/>
        <v>49046.464848048367</v>
      </c>
      <c r="K61" s="21">
        <f t="shared" si="4"/>
        <v>8703126.8542573825</v>
      </c>
      <c r="L61" s="21">
        <f t="shared" si="5"/>
        <v>746873.14574261021</v>
      </c>
    </row>
    <row r="62" spans="3:12" ht="18" x14ac:dyDescent="0.25">
      <c r="C62" s="27">
        <f t="shared" si="0"/>
        <v>2027</v>
      </c>
      <c r="D62" s="27">
        <f t="shared" si="1"/>
        <v>5</v>
      </c>
      <c r="E62" s="14"/>
      <c r="F62" s="26"/>
      <c r="G62" s="28">
        <v>54</v>
      </c>
      <c r="H62" s="24">
        <f t="shared" si="6"/>
        <v>46508</v>
      </c>
      <c r="I62" s="21">
        <f t="shared" si="3"/>
        <v>16336.050577397349</v>
      </c>
      <c r="J62" s="20">
        <f t="shared" si="2"/>
        <v>48955.088555197777</v>
      </c>
      <c r="K62" s="21">
        <f t="shared" si="4"/>
        <v>8686790.8036799859</v>
      </c>
      <c r="L62" s="21">
        <f t="shared" si="5"/>
        <v>763209.19632000756</v>
      </c>
    </row>
    <row r="63" spans="3:12" ht="18" x14ac:dyDescent="0.25">
      <c r="C63" s="27">
        <f t="shared" si="0"/>
        <v>2027</v>
      </c>
      <c r="D63" s="27">
        <f t="shared" si="1"/>
        <v>6</v>
      </c>
      <c r="E63" s="14"/>
      <c r="F63" s="26"/>
      <c r="G63" s="28">
        <v>55</v>
      </c>
      <c r="H63" s="24">
        <f t="shared" si="6"/>
        <v>46539</v>
      </c>
      <c r="I63" s="21">
        <f t="shared" si="3"/>
        <v>16427.940861895207</v>
      </c>
      <c r="J63" s="20">
        <f t="shared" si="2"/>
        <v>48863.198270699919</v>
      </c>
      <c r="K63" s="21">
        <f t="shared" si="4"/>
        <v>8670362.8628180902</v>
      </c>
      <c r="L63" s="21">
        <f t="shared" si="5"/>
        <v>779637.13718190277</v>
      </c>
    </row>
    <row r="64" spans="3:12" ht="18" x14ac:dyDescent="0.25">
      <c r="C64" s="27">
        <f t="shared" si="0"/>
        <v>2027</v>
      </c>
      <c r="D64" s="27">
        <f t="shared" si="1"/>
        <v>7</v>
      </c>
      <c r="E64" s="14"/>
      <c r="F64" s="26"/>
      <c r="G64" s="28">
        <v>56</v>
      </c>
      <c r="H64" s="24">
        <f t="shared" si="6"/>
        <v>46569</v>
      </c>
      <c r="I64" s="21">
        <f t="shared" si="3"/>
        <v>16520.34802924336</v>
      </c>
      <c r="J64" s="20">
        <f t="shared" si="2"/>
        <v>48770.791103351767</v>
      </c>
      <c r="K64" s="21">
        <f t="shared" si="4"/>
        <v>8653842.5147888474</v>
      </c>
      <c r="L64" s="21">
        <f t="shared" si="5"/>
        <v>796157.48521114618</v>
      </c>
    </row>
    <row r="65" spans="3:12" ht="18" x14ac:dyDescent="0.25">
      <c r="C65" s="27">
        <f t="shared" si="0"/>
        <v>2027</v>
      </c>
      <c r="D65" s="27">
        <f t="shared" si="1"/>
        <v>8</v>
      </c>
      <c r="E65" s="14"/>
      <c r="F65" s="26"/>
      <c r="G65" s="28">
        <v>57</v>
      </c>
      <c r="H65" s="24">
        <f t="shared" si="6"/>
        <v>46600</v>
      </c>
      <c r="I65" s="21">
        <f t="shared" si="3"/>
        <v>16613.274986907862</v>
      </c>
      <c r="J65" s="20">
        <f t="shared" si="2"/>
        <v>48677.864145687265</v>
      </c>
      <c r="K65" s="21">
        <f t="shared" si="4"/>
        <v>8637229.2398019396</v>
      </c>
      <c r="L65" s="21">
        <f t="shared" si="5"/>
        <v>812770.76019805402</v>
      </c>
    </row>
    <row r="66" spans="3:12" ht="18" x14ac:dyDescent="0.25">
      <c r="C66" s="27">
        <f t="shared" si="0"/>
        <v>2027</v>
      </c>
      <c r="D66" s="27">
        <f t="shared" si="1"/>
        <v>9</v>
      </c>
      <c r="E66" s="14"/>
      <c r="F66" s="26"/>
      <c r="G66" s="28">
        <v>58</v>
      </c>
      <c r="H66" s="24">
        <f t="shared" si="6"/>
        <v>46631</v>
      </c>
      <c r="I66" s="21">
        <f t="shared" si="3"/>
        <v>16706.724658709216</v>
      </c>
      <c r="J66" s="20">
        <f t="shared" si="2"/>
        <v>48584.41447388591</v>
      </c>
      <c r="K66" s="21">
        <f t="shared" si="4"/>
        <v>8620522.5151432306</v>
      </c>
      <c r="L66" s="21">
        <f t="shared" si="5"/>
        <v>829477.48485676327</v>
      </c>
    </row>
    <row r="67" spans="3:12" ht="18" x14ac:dyDescent="0.25">
      <c r="C67" s="27">
        <f t="shared" si="0"/>
        <v>2027</v>
      </c>
      <c r="D67" s="27">
        <f t="shared" si="1"/>
        <v>10</v>
      </c>
      <c r="E67" s="14"/>
      <c r="F67" s="26"/>
      <c r="G67" s="28">
        <v>59</v>
      </c>
      <c r="H67" s="24">
        <f t="shared" si="6"/>
        <v>46661</v>
      </c>
      <c r="I67" s="21">
        <f t="shared" si="3"/>
        <v>16800.699984914449</v>
      </c>
      <c r="J67" s="20">
        <f t="shared" si="2"/>
        <v>48490.439147680678</v>
      </c>
      <c r="K67" s="21">
        <f t="shared" si="4"/>
        <v>8603721.8151583169</v>
      </c>
      <c r="L67" s="21">
        <f t="shared" si="5"/>
        <v>846278.18484167778</v>
      </c>
    </row>
    <row r="68" spans="3:12" ht="18" x14ac:dyDescent="0.25">
      <c r="C68" s="27">
        <f t="shared" si="0"/>
        <v>2027</v>
      </c>
      <c r="D68" s="27">
        <f t="shared" si="1"/>
        <v>11</v>
      </c>
      <c r="E68" s="14"/>
      <c r="F68" s="26"/>
      <c r="G68" s="28">
        <v>60</v>
      </c>
      <c r="H68" s="24">
        <f t="shared" si="6"/>
        <v>46692</v>
      </c>
      <c r="I68" s="21">
        <f t="shared" si="3"/>
        <v>16895.203922329587</v>
      </c>
      <c r="J68" s="20">
        <f t="shared" si="2"/>
        <v>48395.935210265539</v>
      </c>
      <c r="K68" s="21">
        <f t="shared" si="4"/>
        <v>8586826.6112359874</v>
      </c>
      <c r="L68" s="21">
        <f t="shared" si="5"/>
        <v>863173.38876400737</v>
      </c>
    </row>
    <row r="69" spans="3:12" ht="18" x14ac:dyDescent="0.25">
      <c r="C69" s="27">
        <f t="shared" si="0"/>
        <v>2027</v>
      </c>
      <c r="D69" s="27">
        <f t="shared" si="1"/>
        <v>12</v>
      </c>
      <c r="E69" s="14"/>
      <c r="F69" s="26"/>
      <c r="G69" s="28">
        <v>61</v>
      </c>
      <c r="H69" s="24">
        <f t="shared" si="6"/>
        <v>46722</v>
      </c>
      <c r="I69" s="21">
        <f t="shared" si="3"/>
        <v>16990.239444392697</v>
      </c>
      <c r="J69" s="20">
        <f t="shared" si="2"/>
        <v>48300.899688202429</v>
      </c>
      <c r="K69" s="21">
        <f t="shared" si="4"/>
        <v>8569836.3717915956</v>
      </c>
      <c r="L69" s="21">
        <f t="shared" si="5"/>
        <v>880163.6282084001</v>
      </c>
    </row>
    <row r="70" spans="3:12" ht="18" x14ac:dyDescent="0.25">
      <c r="C70" s="27">
        <f t="shared" si="0"/>
        <v>2028</v>
      </c>
      <c r="D70" s="27">
        <f t="shared" si="1"/>
        <v>1</v>
      </c>
      <c r="E70" s="14"/>
      <c r="F70" s="26"/>
      <c r="G70" s="28">
        <v>62</v>
      </c>
      <c r="H70" s="24">
        <f t="shared" si="6"/>
        <v>46753</v>
      </c>
      <c r="I70" s="21">
        <f t="shared" si="3"/>
        <v>17085.809541267401</v>
      </c>
      <c r="J70" s="20">
        <f t="shared" si="2"/>
        <v>48205.329591327725</v>
      </c>
      <c r="K70" s="21">
        <f t="shared" si="4"/>
        <v>8552750.5622503273</v>
      </c>
      <c r="L70" s="21">
        <f t="shared" si="5"/>
        <v>897249.43774966756</v>
      </c>
    </row>
    <row r="71" spans="3:12" ht="18" x14ac:dyDescent="0.25">
      <c r="C71" s="27">
        <f t="shared" si="0"/>
        <v>2028</v>
      </c>
      <c r="D71" s="27">
        <f t="shared" si="1"/>
        <v>2</v>
      </c>
      <c r="E71" s="14"/>
      <c r="F71" s="26"/>
      <c r="G71" s="28">
        <v>63</v>
      </c>
      <c r="H71" s="24">
        <f t="shared" si="6"/>
        <v>46784</v>
      </c>
      <c r="I71" s="21">
        <f t="shared" si="3"/>
        <v>17181.91721993703</v>
      </c>
      <c r="J71" s="20">
        <f t="shared" si="2"/>
        <v>48109.221912658097</v>
      </c>
      <c r="K71" s="21">
        <f t="shared" si="4"/>
        <v>8535568.6450303905</v>
      </c>
      <c r="L71" s="21">
        <f t="shared" si="5"/>
        <v>914431.35496960464</v>
      </c>
    </row>
    <row r="72" spans="3:12" ht="18" x14ac:dyDescent="0.25">
      <c r="C72" s="27">
        <f t="shared" si="0"/>
        <v>2028</v>
      </c>
      <c r="D72" s="27">
        <f t="shared" si="1"/>
        <v>3</v>
      </c>
      <c r="E72" s="14"/>
      <c r="F72" s="26"/>
      <c r="G72" s="28">
        <v>64</v>
      </c>
      <c r="H72" s="24">
        <f t="shared" si="6"/>
        <v>46813</v>
      </c>
      <c r="I72" s="21">
        <f t="shared" si="3"/>
        <v>17278.565504299178</v>
      </c>
      <c r="J72" s="20">
        <f t="shared" si="2"/>
        <v>48012.573628295948</v>
      </c>
      <c r="K72" s="21">
        <f t="shared" si="4"/>
        <v>8518290.079526091</v>
      </c>
      <c r="L72" s="21">
        <f t="shared" si="5"/>
        <v>931709.92047390377</v>
      </c>
    </row>
    <row r="73" spans="3:12" ht="18" x14ac:dyDescent="0.25">
      <c r="C73" s="27">
        <f t="shared" ref="C73:C136" si="7">YEAR(H73)</f>
        <v>2028</v>
      </c>
      <c r="D73" s="27">
        <f t="shared" ref="D73:D136" si="8">MONTH(H73)</f>
        <v>4</v>
      </c>
      <c r="E73" s="14"/>
      <c r="F73" s="26"/>
      <c r="G73" s="28">
        <v>65</v>
      </c>
      <c r="H73" s="24">
        <f t="shared" si="6"/>
        <v>46844</v>
      </c>
      <c r="I73" s="21">
        <f t="shared" si="3"/>
        <v>17375.757435260864</v>
      </c>
      <c r="J73" s="20">
        <f t="shared" ref="J73:J136" si="9">(K72*$D$4/12)</f>
        <v>47915.381697334262</v>
      </c>
      <c r="K73" s="21">
        <f t="shared" si="4"/>
        <v>8500914.3220908307</v>
      </c>
      <c r="L73" s="21">
        <f t="shared" si="5"/>
        <v>949085.67790916469</v>
      </c>
    </row>
    <row r="74" spans="3:12" ht="18" x14ac:dyDescent="0.25">
      <c r="C74" s="27">
        <f t="shared" si="7"/>
        <v>2028</v>
      </c>
      <c r="D74" s="27">
        <f t="shared" si="8"/>
        <v>5</v>
      </c>
      <c r="E74" s="14"/>
      <c r="F74" s="26"/>
      <c r="G74" s="28">
        <v>66</v>
      </c>
      <c r="H74" s="24">
        <f t="shared" si="6"/>
        <v>46874</v>
      </c>
      <c r="I74" s="21">
        <f t="shared" ref="I74:I137" si="10">$G$8-J74</f>
        <v>17473.496070834197</v>
      </c>
      <c r="J74" s="20">
        <f t="shared" si="9"/>
        <v>47817.643061760929</v>
      </c>
      <c r="K74" s="21">
        <f t="shared" ref="K74:K137" si="11">K73-I74</f>
        <v>8483440.8260199968</v>
      </c>
      <c r="L74" s="21">
        <f t="shared" ref="L74:L137" si="12">I74+L73</f>
        <v>966559.17397999892</v>
      </c>
    </row>
    <row r="75" spans="3:12" ht="18" x14ac:dyDescent="0.25">
      <c r="C75" s="27">
        <f t="shared" si="7"/>
        <v>2028</v>
      </c>
      <c r="D75" s="27">
        <f t="shared" si="8"/>
        <v>6</v>
      </c>
      <c r="E75" s="14"/>
      <c r="F75" s="26"/>
      <c r="G75" s="28">
        <v>67</v>
      </c>
      <c r="H75" s="24">
        <f t="shared" si="6"/>
        <v>46905</v>
      </c>
      <c r="I75" s="21">
        <f t="shared" si="10"/>
        <v>17571.784486232646</v>
      </c>
      <c r="J75" s="20">
        <f t="shared" si="9"/>
        <v>47719.354646362481</v>
      </c>
      <c r="K75" s="21">
        <f t="shared" si="11"/>
        <v>8465869.0415337645</v>
      </c>
      <c r="L75" s="21">
        <f t="shared" si="12"/>
        <v>984130.95846623159</v>
      </c>
    </row>
    <row r="76" spans="3:12" ht="18" x14ac:dyDescent="0.25">
      <c r="C76" s="27">
        <f t="shared" si="7"/>
        <v>2028</v>
      </c>
      <c r="D76" s="27">
        <f t="shared" si="8"/>
        <v>7</v>
      </c>
      <c r="E76" s="14"/>
      <c r="F76" s="26"/>
      <c r="G76" s="28">
        <v>68</v>
      </c>
      <c r="H76" s="24">
        <f t="shared" si="6"/>
        <v>46935</v>
      </c>
      <c r="I76" s="21">
        <f t="shared" si="10"/>
        <v>17670.625773967702</v>
      </c>
      <c r="J76" s="20">
        <f t="shared" si="9"/>
        <v>47620.513358627424</v>
      </c>
      <c r="K76" s="21">
        <f t="shared" si="11"/>
        <v>8448198.4157597963</v>
      </c>
      <c r="L76" s="21">
        <f t="shared" si="12"/>
        <v>1001801.5842401993</v>
      </c>
    </row>
    <row r="77" spans="3:12" ht="18" x14ac:dyDescent="0.25">
      <c r="C77" s="27">
        <f t="shared" si="7"/>
        <v>2028</v>
      </c>
      <c r="D77" s="27">
        <f t="shared" si="8"/>
        <v>8</v>
      </c>
      <c r="E77" s="14"/>
      <c r="F77" s="26"/>
      <c r="G77" s="28">
        <v>69</v>
      </c>
      <c r="H77" s="24">
        <f t="shared" si="6"/>
        <v>46966</v>
      </c>
      <c r="I77" s="21">
        <f t="shared" si="10"/>
        <v>17770.023043946268</v>
      </c>
      <c r="J77" s="20">
        <f t="shared" si="9"/>
        <v>47521.116088648858</v>
      </c>
      <c r="K77" s="21">
        <f t="shared" si="11"/>
        <v>8430428.3927158508</v>
      </c>
      <c r="L77" s="21">
        <f t="shared" si="12"/>
        <v>1019571.6072841455</v>
      </c>
    </row>
    <row r="78" spans="3:12" ht="18" x14ac:dyDescent="0.25">
      <c r="C78" s="27">
        <f t="shared" si="7"/>
        <v>2028</v>
      </c>
      <c r="D78" s="27">
        <f t="shared" si="8"/>
        <v>9</v>
      </c>
      <c r="E78" s="14"/>
      <c r="F78" s="26"/>
      <c r="G78" s="28">
        <v>70</v>
      </c>
      <c r="H78" s="24">
        <f t="shared" si="6"/>
        <v>46997</v>
      </c>
      <c r="I78" s="21">
        <f t="shared" si="10"/>
        <v>17869.97942356846</v>
      </c>
      <c r="J78" s="20">
        <f t="shared" si="9"/>
        <v>47421.159709026666</v>
      </c>
      <c r="K78" s="21">
        <f t="shared" si="11"/>
        <v>8412558.4132922832</v>
      </c>
      <c r="L78" s="21">
        <f t="shared" si="12"/>
        <v>1037441.586707714</v>
      </c>
    </row>
    <row r="79" spans="3:12" ht="18" x14ac:dyDescent="0.25">
      <c r="C79" s="27">
        <f t="shared" si="7"/>
        <v>2028</v>
      </c>
      <c r="D79" s="27">
        <f t="shared" si="8"/>
        <v>10</v>
      </c>
      <c r="E79" s="14"/>
      <c r="F79" s="26"/>
      <c r="G79" s="28">
        <v>71</v>
      </c>
      <c r="H79" s="24">
        <f t="shared" ref="H79:H142" si="13">IF(D78=12,DATEVALUE(CONCATENATE("1/1/",C78+1)),DATEVALUE(CONCATENATE(D78+1,"/1/",C78)))</f>
        <v>47027</v>
      </c>
      <c r="I79" s="21">
        <f t="shared" si="10"/>
        <v>17970.498057826037</v>
      </c>
      <c r="J79" s="20">
        <f t="shared" si="9"/>
        <v>47320.64107476909</v>
      </c>
      <c r="K79" s="21">
        <f t="shared" si="11"/>
        <v>8394587.9152344577</v>
      </c>
      <c r="L79" s="21">
        <f t="shared" si="12"/>
        <v>1055412.08476554</v>
      </c>
    </row>
    <row r="80" spans="3:12" ht="18" x14ac:dyDescent="0.25">
      <c r="C80" s="27">
        <f t="shared" si="7"/>
        <v>2028</v>
      </c>
      <c r="D80" s="27">
        <f t="shared" si="8"/>
        <v>11</v>
      </c>
      <c r="E80" s="14"/>
      <c r="F80" s="26"/>
      <c r="G80" s="28">
        <v>72</v>
      </c>
      <c r="H80" s="24">
        <f t="shared" si="13"/>
        <v>47058</v>
      </c>
      <c r="I80" s="21">
        <f t="shared" si="10"/>
        <v>18071.582109401301</v>
      </c>
      <c r="J80" s="20">
        <f t="shared" si="9"/>
        <v>47219.557023193825</v>
      </c>
      <c r="K80" s="21">
        <f t="shared" si="11"/>
        <v>8376516.3331250567</v>
      </c>
      <c r="L80" s="21">
        <f t="shared" si="12"/>
        <v>1073483.6668749412</v>
      </c>
    </row>
    <row r="81" spans="3:12" ht="18" x14ac:dyDescent="0.25">
      <c r="C81" s="27">
        <f t="shared" si="7"/>
        <v>2028</v>
      </c>
      <c r="D81" s="27">
        <f t="shared" si="8"/>
        <v>12</v>
      </c>
      <c r="E81" s="14"/>
      <c r="F81" s="26"/>
      <c r="G81" s="28">
        <v>73</v>
      </c>
      <c r="H81" s="24">
        <f t="shared" si="13"/>
        <v>47088</v>
      </c>
      <c r="I81" s="21">
        <f t="shared" si="10"/>
        <v>18173.234758766681</v>
      </c>
      <c r="J81" s="20">
        <f t="shared" si="9"/>
        <v>47117.904373828445</v>
      </c>
      <c r="K81" s="21">
        <f t="shared" si="11"/>
        <v>8358343.0983662903</v>
      </c>
      <c r="L81" s="21">
        <f t="shared" si="12"/>
        <v>1091656.9016337078</v>
      </c>
    </row>
    <row r="82" spans="3:12" ht="18" x14ac:dyDescent="0.25">
      <c r="C82" s="27">
        <f t="shared" si="7"/>
        <v>2029</v>
      </c>
      <c r="D82" s="27">
        <f t="shared" si="8"/>
        <v>1</v>
      </c>
      <c r="E82" s="14"/>
      <c r="F82" s="26"/>
      <c r="G82" s="28">
        <v>74</v>
      </c>
      <c r="H82" s="24">
        <f t="shared" si="13"/>
        <v>47119</v>
      </c>
      <c r="I82" s="21">
        <f t="shared" si="10"/>
        <v>18275.459204284736</v>
      </c>
      <c r="J82" s="20">
        <f t="shared" si="9"/>
        <v>47015.67992831039</v>
      </c>
      <c r="K82" s="21">
        <f t="shared" si="11"/>
        <v>8340067.6391620059</v>
      </c>
      <c r="L82" s="21">
        <f t="shared" si="12"/>
        <v>1109932.3608379925</v>
      </c>
    </row>
    <row r="83" spans="3:12" ht="18" x14ac:dyDescent="0.25">
      <c r="C83" s="27">
        <f t="shared" si="7"/>
        <v>2029</v>
      </c>
      <c r="D83" s="27">
        <f t="shared" si="8"/>
        <v>2</v>
      </c>
      <c r="E83" s="14"/>
      <c r="F83" s="26"/>
      <c r="G83" s="28">
        <v>75</v>
      </c>
      <c r="H83" s="24">
        <f t="shared" si="13"/>
        <v>47150</v>
      </c>
      <c r="I83" s="21">
        <f t="shared" si="10"/>
        <v>18378.258662308835</v>
      </c>
      <c r="J83" s="20">
        <f t="shared" si="9"/>
        <v>46912.880470286291</v>
      </c>
      <c r="K83" s="21">
        <f t="shared" si="11"/>
        <v>8321689.3804996973</v>
      </c>
      <c r="L83" s="21">
        <f t="shared" si="12"/>
        <v>1128310.6195003013</v>
      </c>
    </row>
    <row r="84" spans="3:12" ht="18" x14ac:dyDescent="0.25">
      <c r="C84" s="27">
        <f t="shared" si="7"/>
        <v>2029</v>
      </c>
      <c r="D84" s="27">
        <f t="shared" si="8"/>
        <v>3</v>
      </c>
      <c r="E84" s="14"/>
      <c r="F84" s="26"/>
      <c r="G84" s="28">
        <v>76</v>
      </c>
      <c r="H84" s="24">
        <f t="shared" si="13"/>
        <v>47178</v>
      </c>
      <c r="I84" s="21">
        <f t="shared" si="10"/>
        <v>18481.636367284322</v>
      </c>
      <c r="J84" s="20">
        <f t="shared" si="9"/>
        <v>46809.502765310805</v>
      </c>
      <c r="K84" s="21">
        <f t="shared" si="11"/>
        <v>8303207.7441324126</v>
      </c>
      <c r="L84" s="21">
        <f t="shared" si="12"/>
        <v>1146792.2558675855</v>
      </c>
    </row>
    <row r="85" spans="3:12" ht="18" x14ac:dyDescent="0.25">
      <c r="C85" s="27">
        <f t="shared" si="7"/>
        <v>2029</v>
      </c>
      <c r="D85" s="27">
        <f t="shared" si="8"/>
        <v>4</v>
      </c>
      <c r="E85" s="14"/>
      <c r="F85" s="26"/>
      <c r="G85" s="28">
        <v>77</v>
      </c>
      <c r="H85" s="24">
        <f t="shared" si="13"/>
        <v>47209</v>
      </c>
      <c r="I85" s="21">
        <f t="shared" si="10"/>
        <v>18585.595571850303</v>
      </c>
      <c r="J85" s="20">
        <f t="shared" si="9"/>
        <v>46705.543560744823</v>
      </c>
      <c r="K85" s="21">
        <f t="shared" si="11"/>
        <v>8284622.1485605622</v>
      </c>
      <c r="L85" s="21">
        <f t="shared" si="12"/>
        <v>1165377.8514394357</v>
      </c>
    </row>
    <row r="86" spans="3:12" ht="18" x14ac:dyDescent="0.25">
      <c r="C86" s="27">
        <f t="shared" si="7"/>
        <v>2029</v>
      </c>
      <c r="D86" s="27">
        <f t="shared" si="8"/>
        <v>5</v>
      </c>
      <c r="E86" s="14"/>
      <c r="F86" s="26"/>
      <c r="G86" s="28">
        <v>78</v>
      </c>
      <c r="H86" s="24">
        <f t="shared" si="13"/>
        <v>47239</v>
      </c>
      <c r="I86" s="21">
        <f t="shared" si="10"/>
        <v>18690.139546941966</v>
      </c>
      <c r="J86" s="20">
        <f t="shared" si="9"/>
        <v>46600.99958565316</v>
      </c>
      <c r="K86" s="21">
        <f t="shared" si="11"/>
        <v>8265932.0090136202</v>
      </c>
      <c r="L86" s="21">
        <f t="shared" si="12"/>
        <v>1184067.9909863777</v>
      </c>
    </row>
    <row r="87" spans="3:12" ht="18" x14ac:dyDescent="0.25">
      <c r="C87" s="27">
        <f t="shared" si="7"/>
        <v>2029</v>
      </c>
      <c r="D87" s="27">
        <f t="shared" si="8"/>
        <v>6</v>
      </c>
      <c r="E87" s="14"/>
      <c r="F87" s="26"/>
      <c r="G87" s="28">
        <v>79</v>
      </c>
      <c r="H87" s="24">
        <f t="shared" si="13"/>
        <v>47270</v>
      </c>
      <c r="I87" s="21">
        <f t="shared" si="10"/>
        <v>18795.271581893503</v>
      </c>
      <c r="J87" s="20">
        <f t="shared" si="9"/>
        <v>46495.867550701623</v>
      </c>
      <c r="K87" s="21">
        <f t="shared" si="11"/>
        <v>8247136.7374317264</v>
      </c>
      <c r="L87" s="21">
        <f t="shared" si="12"/>
        <v>1202863.2625682713</v>
      </c>
    </row>
    <row r="88" spans="3:12" ht="18" x14ac:dyDescent="0.25">
      <c r="C88" s="27">
        <f t="shared" si="7"/>
        <v>2029</v>
      </c>
      <c r="D88" s="27">
        <f t="shared" si="8"/>
        <v>7</v>
      </c>
      <c r="E88" s="14"/>
      <c r="F88" s="26"/>
      <c r="G88" s="28">
        <v>80</v>
      </c>
      <c r="H88" s="24">
        <f t="shared" si="13"/>
        <v>47300</v>
      </c>
      <c r="I88" s="21">
        <f t="shared" si="10"/>
        <v>18900.994984541663</v>
      </c>
      <c r="J88" s="20">
        <f t="shared" si="9"/>
        <v>46390.144148053463</v>
      </c>
      <c r="K88" s="21">
        <f t="shared" si="11"/>
        <v>8228235.7424471844</v>
      </c>
      <c r="L88" s="21">
        <f t="shared" si="12"/>
        <v>1221764.2575528128</v>
      </c>
    </row>
    <row r="89" spans="3:12" ht="18" x14ac:dyDescent="0.25">
      <c r="C89" s="27">
        <f t="shared" si="7"/>
        <v>2029</v>
      </c>
      <c r="D89" s="27">
        <f t="shared" si="8"/>
        <v>8</v>
      </c>
      <c r="E89" s="14"/>
      <c r="F89" s="26"/>
      <c r="G89" s="28">
        <v>81</v>
      </c>
      <c r="H89" s="24">
        <f t="shared" si="13"/>
        <v>47331</v>
      </c>
      <c r="I89" s="21">
        <f t="shared" si="10"/>
        <v>19007.31308132971</v>
      </c>
      <c r="J89" s="20">
        <f t="shared" si="9"/>
        <v>46283.826051265416</v>
      </c>
      <c r="K89" s="21">
        <f t="shared" si="11"/>
        <v>8209228.4293658547</v>
      </c>
      <c r="L89" s="21">
        <f t="shared" si="12"/>
        <v>1240771.5706341425</v>
      </c>
    </row>
    <row r="90" spans="3:12" ht="18" x14ac:dyDescent="0.25">
      <c r="C90" s="27">
        <f t="shared" si="7"/>
        <v>2029</v>
      </c>
      <c r="D90" s="27">
        <f t="shared" si="8"/>
        <v>9</v>
      </c>
      <c r="E90" s="14"/>
      <c r="F90" s="26"/>
      <c r="G90" s="28">
        <v>82</v>
      </c>
      <c r="H90" s="24">
        <f t="shared" si="13"/>
        <v>47362</v>
      </c>
      <c r="I90" s="21">
        <f t="shared" si="10"/>
        <v>19114.22921741219</v>
      </c>
      <c r="J90" s="20">
        <f t="shared" si="9"/>
        <v>46176.909915182936</v>
      </c>
      <c r="K90" s="21">
        <f t="shared" si="11"/>
        <v>8190114.2001484428</v>
      </c>
      <c r="L90" s="21">
        <f t="shared" si="12"/>
        <v>1259885.7998515547</v>
      </c>
    </row>
    <row r="91" spans="3:12" ht="18" x14ac:dyDescent="0.25">
      <c r="C91" s="27">
        <f t="shared" si="7"/>
        <v>2029</v>
      </c>
      <c r="D91" s="27">
        <f t="shared" si="8"/>
        <v>10</v>
      </c>
      <c r="E91" s="14"/>
      <c r="F91" s="26"/>
      <c r="G91" s="28">
        <v>83</v>
      </c>
      <c r="H91" s="24">
        <f t="shared" si="13"/>
        <v>47392</v>
      </c>
      <c r="I91" s="21">
        <f t="shared" si="10"/>
        <v>19221.746756760134</v>
      </c>
      <c r="J91" s="20">
        <f t="shared" si="9"/>
        <v>46069.392375834992</v>
      </c>
      <c r="K91" s="21">
        <f t="shared" si="11"/>
        <v>8170892.4533916824</v>
      </c>
      <c r="L91" s="21">
        <f t="shared" si="12"/>
        <v>1279107.5466083148</v>
      </c>
    </row>
    <row r="92" spans="3:12" ht="18" x14ac:dyDescent="0.25">
      <c r="C92" s="27">
        <f t="shared" si="7"/>
        <v>2029</v>
      </c>
      <c r="D92" s="27">
        <f t="shared" si="8"/>
        <v>11</v>
      </c>
      <c r="E92" s="14"/>
      <c r="F92" s="26"/>
      <c r="G92" s="28">
        <v>84</v>
      </c>
      <c r="H92" s="24">
        <f t="shared" si="13"/>
        <v>47423</v>
      </c>
      <c r="I92" s="21">
        <f t="shared" si="10"/>
        <v>19329.869082266909</v>
      </c>
      <c r="J92" s="20">
        <f t="shared" si="9"/>
        <v>45961.270050328218</v>
      </c>
      <c r="K92" s="21">
        <f t="shared" si="11"/>
        <v>8151562.5843094159</v>
      </c>
      <c r="L92" s="21">
        <f t="shared" si="12"/>
        <v>1298437.4156905818</v>
      </c>
    </row>
    <row r="93" spans="3:12" ht="18" x14ac:dyDescent="0.25">
      <c r="C93" s="27">
        <f t="shared" si="7"/>
        <v>2029</v>
      </c>
      <c r="D93" s="27">
        <f t="shared" si="8"/>
        <v>12</v>
      </c>
      <c r="E93" s="14"/>
      <c r="F93" s="26"/>
      <c r="G93" s="28">
        <v>85</v>
      </c>
      <c r="H93" s="24">
        <f t="shared" si="13"/>
        <v>47453</v>
      </c>
      <c r="I93" s="21">
        <f t="shared" si="10"/>
        <v>19438.599595854663</v>
      </c>
      <c r="J93" s="20">
        <f t="shared" si="9"/>
        <v>45852.539536740464</v>
      </c>
      <c r="K93" s="21">
        <f t="shared" si="11"/>
        <v>8132123.9847135609</v>
      </c>
      <c r="L93" s="21">
        <f t="shared" si="12"/>
        <v>1317876.0152864365</v>
      </c>
    </row>
    <row r="94" spans="3:12" ht="18" x14ac:dyDescent="0.25">
      <c r="C94" s="27">
        <f t="shared" si="7"/>
        <v>2030</v>
      </c>
      <c r="D94" s="27">
        <f t="shared" si="8"/>
        <v>1</v>
      </c>
      <c r="E94" s="14"/>
      <c r="F94" s="26"/>
      <c r="G94" s="28">
        <v>86</v>
      </c>
      <c r="H94" s="24">
        <f t="shared" si="13"/>
        <v>47484</v>
      </c>
      <c r="I94" s="21">
        <f t="shared" si="10"/>
        <v>19547.941718581344</v>
      </c>
      <c r="J94" s="20">
        <f t="shared" si="9"/>
        <v>45743.197414013783</v>
      </c>
      <c r="K94" s="21">
        <f t="shared" si="11"/>
        <v>8112576.0429949798</v>
      </c>
      <c r="L94" s="21">
        <f t="shared" si="12"/>
        <v>1337423.9570050179</v>
      </c>
    </row>
    <row r="95" spans="3:12" ht="18" x14ac:dyDescent="0.25">
      <c r="C95" s="27">
        <f t="shared" si="7"/>
        <v>2030</v>
      </c>
      <c r="D95" s="27">
        <f t="shared" si="8"/>
        <v>2</v>
      </c>
      <c r="E95" s="14"/>
      <c r="F95" s="26"/>
      <c r="G95" s="28">
        <v>87</v>
      </c>
      <c r="H95" s="24">
        <f t="shared" si="13"/>
        <v>47515</v>
      </c>
      <c r="I95" s="21">
        <f t="shared" si="10"/>
        <v>19657.898890748358</v>
      </c>
      <c r="J95" s="20">
        <f t="shared" si="9"/>
        <v>45633.240241846768</v>
      </c>
      <c r="K95" s="21">
        <f t="shared" si="11"/>
        <v>8092918.1441042311</v>
      </c>
      <c r="L95" s="21">
        <f t="shared" si="12"/>
        <v>1357081.8558957663</v>
      </c>
    </row>
    <row r="96" spans="3:12" ht="18" x14ac:dyDescent="0.25">
      <c r="C96" s="27">
        <f t="shared" si="7"/>
        <v>2030</v>
      </c>
      <c r="D96" s="27">
        <f t="shared" si="8"/>
        <v>3</v>
      </c>
      <c r="E96" s="14"/>
      <c r="F96" s="26"/>
      <c r="G96" s="28">
        <v>88</v>
      </c>
      <c r="H96" s="24">
        <f t="shared" si="13"/>
        <v>47543</v>
      </c>
      <c r="I96" s="21">
        <f t="shared" si="10"/>
        <v>19768.474572008825</v>
      </c>
      <c r="J96" s="20">
        <f t="shared" si="9"/>
        <v>45522.664560586301</v>
      </c>
      <c r="K96" s="21">
        <f t="shared" si="11"/>
        <v>8073149.6695322227</v>
      </c>
      <c r="L96" s="21">
        <f t="shared" si="12"/>
        <v>1376850.330467775</v>
      </c>
    </row>
    <row r="97" spans="3:12" ht="18" x14ac:dyDescent="0.25">
      <c r="C97" s="27">
        <f t="shared" si="7"/>
        <v>2030</v>
      </c>
      <c r="D97" s="27">
        <f t="shared" si="8"/>
        <v>4</v>
      </c>
      <c r="E97" s="14"/>
      <c r="F97" s="26"/>
      <c r="G97" s="28">
        <v>89</v>
      </c>
      <c r="H97" s="24">
        <f t="shared" si="13"/>
        <v>47574</v>
      </c>
      <c r="I97" s="21">
        <f t="shared" si="10"/>
        <v>19879.672241476372</v>
      </c>
      <c r="J97" s="20">
        <f t="shared" si="9"/>
        <v>45411.466891118755</v>
      </c>
      <c r="K97" s="21">
        <f t="shared" si="11"/>
        <v>8053269.9972907463</v>
      </c>
      <c r="L97" s="21">
        <f t="shared" si="12"/>
        <v>1396730.0027092514</v>
      </c>
    </row>
    <row r="98" spans="3:12" ht="18" x14ac:dyDescent="0.25">
      <c r="C98" s="27">
        <f t="shared" si="7"/>
        <v>2030</v>
      </c>
      <c r="D98" s="27">
        <f t="shared" si="8"/>
        <v>5</v>
      </c>
      <c r="E98" s="14"/>
      <c r="F98" s="26"/>
      <c r="G98" s="28">
        <v>90</v>
      </c>
      <c r="H98" s="24">
        <f t="shared" si="13"/>
        <v>47604</v>
      </c>
      <c r="I98" s="21">
        <f t="shared" si="10"/>
        <v>19991.495397834682</v>
      </c>
      <c r="J98" s="20">
        <f t="shared" si="9"/>
        <v>45299.643734760444</v>
      </c>
      <c r="K98" s="21">
        <f t="shared" si="11"/>
        <v>8033278.5018929113</v>
      </c>
      <c r="L98" s="21">
        <f t="shared" si="12"/>
        <v>1416721.4981070859</v>
      </c>
    </row>
    <row r="99" spans="3:12" ht="18" x14ac:dyDescent="0.25">
      <c r="C99" s="27">
        <f t="shared" si="7"/>
        <v>2030</v>
      </c>
      <c r="D99" s="27">
        <f t="shared" si="8"/>
        <v>6</v>
      </c>
      <c r="E99" s="14"/>
      <c r="F99" s="26"/>
      <c r="G99" s="28">
        <v>91</v>
      </c>
      <c r="H99" s="24">
        <f t="shared" si="13"/>
        <v>47635</v>
      </c>
      <c r="I99" s="21">
        <f t="shared" si="10"/>
        <v>20103.947559447493</v>
      </c>
      <c r="J99" s="20">
        <f t="shared" si="9"/>
        <v>45187.191573147633</v>
      </c>
      <c r="K99" s="21">
        <f t="shared" si="11"/>
        <v>8013174.5543334633</v>
      </c>
      <c r="L99" s="21">
        <f t="shared" si="12"/>
        <v>1436825.4456665334</v>
      </c>
    </row>
    <row r="100" spans="3:12" ht="18" x14ac:dyDescent="0.25">
      <c r="C100" s="27">
        <f t="shared" si="7"/>
        <v>2030</v>
      </c>
      <c r="D100" s="27">
        <f t="shared" si="8"/>
        <v>7</v>
      </c>
      <c r="E100" s="14"/>
      <c r="F100" s="26"/>
      <c r="G100" s="28">
        <v>92</v>
      </c>
      <c r="H100" s="24">
        <f t="shared" si="13"/>
        <v>47665</v>
      </c>
      <c r="I100" s="21">
        <f t="shared" si="10"/>
        <v>20217.032264469395</v>
      </c>
      <c r="J100" s="20">
        <f t="shared" si="9"/>
        <v>45074.106868125731</v>
      </c>
      <c r="K100" s="21">
        <f t="shared" si="11"/>
        <v>7992957.5220689941</v>
      </c>
      <c r="L100" s="21">
        <f t="shared" si="12"/>
        <v>1457042.4779310029</v>
      </c>
    </row>
    <row r="101" spans="3:12" ht="18" x14ac:dyDescent="0.25">
      <c r="C101" s="27">
        <f t="shared" si="7"/>
        <v>2030</v>
      </c>
      <c r="D101" s="27">
        <f t="shared" si="8"/>
        <v>8</v>
      </c>
      <c r="E101" s="14"/>
      <c r="F101" s="26"/>
      <c r="G101" s="28">
        <v>93</v>
      </c>
      <c r="H101" s="24">
        <f t="shared" si="13"/>
        <v>47696</v>
      </c>
      <c r="I101" s="21">
        <f t="shared" si="10"/>
        <v>20330.753070957027</v>
      </c>
      <c r="J101" s="20">
        <f t="shared" si="9"/>
        <v>44960.386061638099</v>
      </c>
      <c r="K101" s="21">
        <f t="shared" si="11"/>
        <v>7972626.7689980371</v>
      </c>
      <c r="L101" s="21">
        <f t="shared" si="12"/>
        <v>1477373.2310019599</v>
      </c>
    </row>
    <row r="102" spans="3:12" ht="18" x14ac:dyDescent="0.25">
      <c r="C102" s="27">
        <f t="shared" si="7"/>
        <v>2030</v>
      </c>
      <c r="D102" s="27">
        <f t="shared" si="8"/>
        <v>9</v>
      </c>
      <c r="E102" s="14"/>
      <c r="F102" s="26"/>
      <c r="G102" s="28">
        <v>94</v>
      </c>
      <c r="H102" s="24">
        <f t="shared" si="13"/>
        <v>47727</v>
      </c>
      <c r="I102" s="21">
        <f t="shared" si="10"/>
        <v>20445.113556981167</v>
      </c>
      <c r="J102" s="20">
        <f t="shared" si="9"/>
        <v>44846.02557561396</v>
      </c>
      <c r="K102" s="21">
        <f t="shared" si="11"/>
        <v>7952181.655441056</v>
      </c>
      <c r="L102" s="21">
        <f t="shared" si="12"/>
        <v>1497818.344558941</v>
      </c>
    </row>
    <row r="103" spans="3:12" ht="18" x14ac:dyDescent="0.25">
      <c r="C103" s="27">
        <f t="shared" si="7"/>
        <v>2030</v>
      </c>
      <c r="D103" s="27">
        <f t="shared" si="8"/>
        <v>10</v>
      </c>
      <c r="E103" s="14"/>
      <c r="F103" s="26"/>
      <c r="G103" s="28">
        <v>95</v>
      </c>
      <c r="H103" s="24">
        <f t="shared" si="13"/>
        <v>47757</v>
      </c>
      <c r="I103" s="21">
        <f t="shared" si="10"/>
        <v>20560.117320739177</v>
      </c>
      <c r="J103" s="20">
        <f t="shared" si="9"/>
        <v>44731.02181185595</v>
      </c>
      <c r="K103" s="21">
        <f t="shared" si="11"/>
        <v>7931621.5381203173</v>
      </c>
      <c r="L103" s="21">
        <f t="shared" si="12"/>
        <v>1518378.4618796802</v>
      </c>
    </row>
    <row r="104" spans="3:12" ht="18" x14ac:dyDescent="0.25">
      <c r="C104" s="27">
        <f t="shared" si="7"/>
        <v>2030</v>
      </c>
      <c r="D104" s="27">
        <f t="shared" si="8"/>
        <v>11</v>
      </c>
      <c r="E104" s="14"/>
      <c r="F104" s="26"/>
      <c r="G104" s="28">
        <v>96</v>
      </c>
      <c r="H104" s="24">
        <f t="shared" si="13"/>
        <v>47788</v>
      </c>
      <c r="I104" s="21">
        <f t="shared" si="10"/>
        <v>20675.767980668337</v>
      </c>
      <c r="J104" s="20">
        <f t="shared" si="9"/>
        <v>44615.371151926789</v>
      </c>
      <c r="K104" s="21">
        <f t="shared" si="11"/>
        <v>7910945.7701396486</v>
      </c>
      <c r="L104" s="21">
        <f t="shared" si="12"/>
        <v>1539054.2298603484</v>
      </c>
    </row>
    <row r="105" spans="3:12" ht="18" x14ac:dyDescent="0.25">
      <c r="C105" s="27">
        <f t="shared" si="7"/>
        <v>2030</v>
      </c>
      <c r="D105" s="27">
        <f t="shared" si="8"/>
        <v>12</v>
      </c>
      <c r="E105" s="14"/>
      <c r="F105" s="26"/>
      <c r="G105" s="28">
        <v>97</v>
      </c>
      <c r="H105" s="24">
        <f t="shared" si="13"/>
        <v>47818</v>
      </c>
      <c r="I105" s="21">
        <f t="shared" si="10"/>
        <v>20792.069175559598</v>
      </c>
      <c r="J105" s="20">
        <f t="shared" si="9"/>
        <v>44499.069957035528</v>
      </c>
      <c r="K105" s="21">
        <f t="shared" si="11"/>
        <v>7890153.7009640886</v>
      </c>
      <c r="L105" s="21">
        <f t="shared" si="12"/>
        <v>1559846.299035908</v>
      </c>
    </row>
    <row r="106" spans="3:12" ht="18" x14ac:dyDescent="0.25">
      <c r="C106" s="27">
        <f t="shared" si="7"/>
        <v>2031</v>
      </c>
      <c r="D106" s="27">
        <f t="shared" si="8"/>
        <v>1</v>
      </c>
      <c r="E106" s="14"/>
      <c r="F106" s="26"/>
      <c r="G106" s="28">
        <v>98</v>
      </c>
      <c r="H106" s="24">
        <f t="shared" si="13"/>
        <v>47849</v>
      </c>
      <c r="I106" s="21">
        <f t="shared" si="10"/>
        <v>20909.024564672123</v>
      </c>
      <c r="J106" s="20">
        <f t="shared" si="9"/>
        <v>44382.114567923003</v>
      </c>
      <c r="K106" s="21">
        <f t="shared" si="11"/>
        <v>7869244.6763994163</v>
      </c>
      <c r="L106" s="21">
        <f t="shared" si="12"/>
        <v>1580755.32360058</v>
      </c>
    </row>
    <row r="107" spans="3:12" ht="18" x14ac:dyDescent="0.25">
      <c r="C107" s="27">
        <f t="shared" si="7"/>
        <v>2031</v>
      </c>
      <c r="D107" s="27">
        <f t="shared" si="8"/>
        <v>2</v>
      </c>
      <c r="E107" s="14"/>
      <c r="F107" s="26"/>
      <c r="G107" s="28">
        <v>99</v>
      </c>
      <c r="H107" s="24">
        <f t="shared" si="13"/>
        <v>47880</v>
      </c>
      <c r="I107" s="21">
        <f t="shared" si="10"/>
        <v>21026.637827848404</v>
      </c>
      <c r="J107" s="20">
        <f t="shared" si="9"/>
        <v>44264.501304746722</v>
      </c>
      <c r="K107" s="21">
        <f t="shared" si="11"/>
        <v>7848218.0385715682</v>
      </c>
      <c r="L107" s="21">
        <f t="shared" si="12"/>
        <v>1601781.9614284283</v>
      </c>
    </row>
    <row r="108" spans="3:12" ht="18" x14ac:dyDescent="0.25">
      <c r="C108" s="27">
        <f t="shared" si="7"/>
        <v>2031</v>
      </c>
      <c r="D108" s="27">
        <f t="shared" si="8"/>
        <v>3</v>
      </c>
      <c r="E108" s="14"/>
      <c r="F108" s="26"/>
      <c r="G108" s="28">
        <v>100</v>
      </c>
      <c r="H108" s="24">
        <f t="shared" si="13"/>
        <v>47908</v>
      </c>
      <c r="I108" s="21">
        <f t="shared" si="10"/>
        <v>21144.91266563005</v>
      </c>
      <c r="J108" s="20">
        <f t="shared" si="9"/>
        <v>44146.226466965076</v>
      </c>
      <c r="K108" s="21">
        <f t="shared" si="11"/>
        <v>7827073.1259059384</v>
      </c>
      <c r="L108" s="21">
        <f t="shared" si="12"/>
        <v>1622926.8740940583</v>
      </c>
    </row>
    <row r="109" spans="3:12" ht="18" x14ac:dyDescent="0.25">
      <c r="C109" s="27">
        <f t="shared" si="7"/>
        <v>2031</v>
      </c>
      <c r="D109" s="27">
        <f t="shared" si="8"/>
        <v>4</v>
      </c>
      <c r="E109" s="14"/>
      <c r="F109" s="26"/>
      <c r="G109" s="28">
        <v>101</v>
      </c>
      <c r="H109" s="24">
        <f t="shared" si="13"/>
        <v>47939</v>
      </c>
      <c r="I109" s="21">
        <f t="shared" si="10"/>
        <v>21263.852799374225</v>
      </c>
      <c r="J109" s="20">
        <f t="shared" si="9"/>
        <v>44027.286333220902</v>
      </c>
      <c r="K109" s="21">
        <f t="shared" si="11"/>
        <v>7805809.2731065638</v>
      </c>
      <c r="L109" s="21">
        <f t="shared" si="12"/>
        <v>1644190.7268934324</v>
      </c>
    </row>
    <row r="110" spans="3:12" ht="18" x14ac:dyDescent="0.25">
      <c r="C110" s="27">
        <f t="shared" si="7"/>
        <v>2031</v>
      </c>
      <c r="D110" s="27">
        <f t="shared" si="8"/>
        <v>5</v>
      </c>
      <c r="E110" s="14"/>
      <c r="F110" s="26"/>
      <c r="G110" s="28">
        <v>102</v>
      </c>
      <c r="H110" s="24">
        <f t="shared" si="13"/>
        <v>47969</v>
      </c>
      <c r="I110" s="21">
        <f t="shared" si="10"/>
        <v>21383.4619713707</v>
      </c>
      <c r="J110" s="20">
        <f t="shared" si="9"/>
        <v>43907.677161224427</v>
      </c>
      <c r="K110" s="21">
        <f t="shared" si="11"/>
        <v>7784425.8111351933</v>
      </c>
      <c r="L110" s="21">
        <f t="shared" si="12"/>
        <v>1665574.1888648032</v>
      </c>
    </row>
    <row r="111" spans="3:12" ht="18" x14ac:dyDescent="0.25">
      <c r="C111" s="27">
        <f t="shared" si="7"/>
        <v>2031</v>
      </c>
      <c r="D111" s="27">
        <f t="shared" si="8"/>
        <v>6</v>
      </c>
      <c r="E111" s="14"/>
      <c r="F111" s="26"/>
      <c r="G111" s="28">
        <v>103</v>
      </c>
      <c r="H111" s="24">
        <f t="shared" si="13"/>
        <v>48000</v>
      </c>
      <c r="I111" s="21">
        <f t="shared" si="10"/>
        <v>21503.743944959657</v>
      </c>
      <c r="J111" s="20">
        <f t="shared" si="9"/>
        <v>43787.395187635469</v>
      </c>
      <c r="K111" s="21">
        <f t="shared" si="11"/>
        <v>7762922.0671902336</v>
      </c>
      <c r="L111" s="21">
        <f t="shared" si="12"/>
        <v>1687077.9328097629</v>
      </c>
    </row>
    <row r="112" spans="3:12" ht="18" x14ac:dyDescent="0.25">
      <c r="C112" s="27">
        <f t="shared" si="7"/>
        <v>2031</v>
      </c>
      <c r="D112" s="27">
        <f t="shared" si="8"/>
        <v>7</v>
      </c>
      <c r="E112" s="14"/>
      <c r="F112" s="26"/>
      <c r="G112" s="28">
        <v>104</v>
      </c>
      <c r="H112" s="24">
        <f t="shared" si="13"/>
        <v>48030</v>
      </c>
      <c r="I112" s="21">
        <f t="shared" si="10"/>
        <v>21624.702504650057</v>
      </c>
      <c r="J112" s="20">
        <f t="shared" si="9"/>
        <v>43666.43662794507</v>
      </c>
      <c r="K112" s="21">
        <f t="shared" si="11"/>
        <v>7741297.3646855839</v>
      </c>
      <c r="L112" s="21">
        <f t="shared" si="12"/>
        <v>1708702.6353144129</v>
      </c>
    </row>
    <row r="113" spans="3:12" ht="18" x14ac:dyDescent="0.25">
      <c r="C113" s="27">
        <f t="shared" si="7"/>
        <v>2031</v>
      </c>
      <c r="D113" s="27">
        <f t="shared" si="8"/>
        <v>8</v>
      </c>
      <c r="E113" s="14"/>
      <c r="F113" s="26"/>
      <c r="G113" s="28">
        <v>105</v>
      </c>
      <c r="H113" s="24">
        <f t="shared" si="13"/>
        <v>48061</v>
      </c>
      <c r="I113" s="21">
        <f t="shared" si="10"/>
        <v>21746.341456238712</v>
      </c>
      <c r="J113" s="20">
        <f t="shared" si="9"/>
        <v>43544.797676356415</v>
      </c>
      <c r="K113" s="21">
        <f t="shared" si="11"/>
        <v>7719551.0232293447</v>
      </c>
      <c r="L113" s="21">
        <f t="shared" si="12"/>
        <v>1730448.9767706515</v>
      </c>
    </row>
    <row r="114" spans="3:12" ht="18" x14ac:dyDescent="0.25">
      <c r="C114" s="27">
        <f t="shared" si="7"/>
        <v>2031</v>
      </c>
      <c r="D114" s="27">
        <f t="shared" si="8"/>
        <v>9</v>
      </c>
      <c r="E114" s="14"/>
      <c r="F114" s="26"/>
      <c r="G114" s="28">
        <v>106</v>
      </c>
      <c r="H114" s="24">
        <f t="shared" si="13"/>
        <v>48092</v>
      </c>
      <c r="I114" s="21">
        <f t="shared" si="10"/>
        <v>21868.664626930062</v>
      </c>
      <c r="J114" s="20">
        <f t="shared" si="9"/>
        <v>43422.474505665064</v>
      </c>
      <c r="K114" s="21">
        <f t="shared" si="11"/>
        <v>7697682.3586024148</v>
      </c>
      <c r="L114" s="21">
        <f t="shared" si="12"/>
        <v>1752317.6413975817</v>
      </c>
    </row>
    <row r="115" spans="3:12" ht="18" x14ac:dyDescent="0.25">
      <c r="C115" s="27">
        <f t="shared" si="7"/>
        <v>2031</v>
      </c>
      <c r="D115" s="27">
        <f t="shared" si="8"/>
        <v>10</v>
      </c>
      <c r="E115" s="14"/>
      <c r="F115" s="26"/>
      <c r="G115" s="28">
        <v>107</v>
      </c>
      <c r="H115" s="24">
        <f t="shared" si="13"/>
        <v>48122</v>
      </c>
      <c r="I115" s="21">
        <f t="shared" si="10"/>
        <v>21991.675865456542</v>
      </c>
      <c r="J115" s="20">
        <f t="shared" si="9"/>
        <v>43299.463267138584</v>
      </c>
      <c r="K115" s="21">
        <f t="shared" si="11"/>
        <v>7675690.6827369584</v>
      </c>
      <c r="L115" s="21">
        <f t="shared" si="12"/>
        <v>1774309.3172630381</v>
      </c>
    </row>
    <row r="116" spans="3:12" ht="18" x14ac:dyDescent="0.25">
      <c r="C116" s="27">
        <f t="shared" si="7"/>
        <v>2031</v>
      </c>
      <c r="D116" s="27">
        <f t="shared" si="8"/>
        <v>11</v>
      </c>
      <c r="E116" s="14"/>
      <c r="F116" s="26"/>
      <c r="G116" s="28">
        <v>108</v>
      </c>
      <c r="H116" s="24">
        <f t="shared" si="13"/>
        <v>48153</v>
      </c>
      <c r="I116" s="21">
        <f t="shared" si="10"/>
        <v>22115.379042199733</v>
      </c>
      <c r="J116" s="20">
        <f t="shared" si="9"/>
        <v>43175.760090395393</v>
      </c>
      <c r="K116" s="21">
        <f t="shared" si="11"/>
        <v>7653575.3036947586</v>
      </c>
      <c r="L116" s="21">
        <f t="shared" si="12"/>
        <v>1796424.6963052379</v>
      </c>
    </row>
    <row r="117" spans="3:12" ht="18" x14ac:dyDescent="0.25">
      <c r="C117" s="27">
        <f t="shared" si="7"/>
        <v>2031</v>
      </c>
      <c r="D117" s="27">
        <f t="shared" si="8"/>
        <v>12</v>
      </c>
      <c r="E117" s="14"/>
      <c r="F117" s="26"/>
      <c r="G117" s="28">
        <v>109</v>
      </c>
      <c r="H117" s="24">
        <f t="shared" si="13"/>
        <v>48183</v>
      </c>
      <c r="I117" s="21">
        <f t="shared" si="10"/>
        <v>22239.778049312103</v>
      </c>
      <c r="J117" s="20">
        <f t="shared" si="9"/>
        <v>43051.361083283024</v>
      </c>
      <c r="K117" s="21">
        <f t="shared" si="11"/>
        <v>7631335.525645446</v>
      </c>
      <c r="L117" s="21">
        <f t="shared" si="12"/>
        <v>1818664.47435455</v>
      </c>
    </row>
    <row r="118" spans="3:12" ht="18" x14ac:dyDescent="0.25">
      <c r="C118" s="27">
        <f t="shared" si="7"/>
        <v>2032</v>
      </c>
      <c r="D118" s="27">
        <f t="shared" si="8"/>
        <v>1</v>
      </c>
      <c r="E118" s="14"/>
      <c r="F118" s="26"/>
      <c r="G118" s="28">
        <v>110</v>
      </c>
      <c r="H118" s="24">
        <f t="shared" si="13"/>
        <v>48214</v>
      </c>
      <c r="I118" s="21">
        <f t="shared" si="10"/>
        <v>22364.876800839491</v>
      </c>
      <c r="J118" s="20">
        <f t="shared" si="9"/>
        <v>42926.262331755635</v>
      </c>
      <c r="K118" s="21">
        <f t="shared" si="11"/>
        <v>7608970.6488446062</v>
      </c>
      <c r="L118" s="21">
        <f t="shared" si="12"/>
        <v>1841029.3511553896</v>
      </c>
    </row>
    <row r="119" spans="3:12" ht="18" x14ac:dyDescent="0.25">
      <c r="C119" s="27">
        <f t="shared" si="7"/>
        <v>2032</v>
      </c>
      <c r="D119" s="27">
        <f t="shared" si="8"/>
        <v>2</v>
      </c>
      <c r="E119" s="14"/>
      <c r="F119" s="26"/>
      <c r="G119" s="28">
        <v>111</v>
      </c>
      <c r="H119" s="24">
        <f t="shared" si="13"/>
        <v>48245</v>
      </c>
      <c r="I119" s="21">
        <f t="shared" si="10"/>
        <v>22490.679232844217</v>
      </c>
      <c r="J119" s="20">
        <f t="shared" si="9"/>
        <v>42800.459899750909</v>
      </c>
      <c r="K119" s="21">
        <f t="shared" si="11"/>
        <v>7586479.9696117621</v>
      </c>
      <c r="L119" s="21">
        <f t="shared" si="12"/>
        <v>1863520.0303882337</v>
      </c>
    </row>
    <row r="120" spans="3:12" ht="18" x14ac:dyDescent="0.25">
      <c r="C120" s="27">
        <f t="shared" si="7"/>
        <v>2032</v>
      </c>
      <c r="D120" s="27">
        <f t="shared" si="8"/>
        <v>3</v>
      </c>
      <c r="E120" s="14"/>
      <c r="F120" s="26"/>
      <c r="G120" s="28">
        <v>112</v>
      </c>
      <c r="H120" s="24">
        <f t="shared" si="13"/>
        <v>48274</v>
      </c>
      <c r="I120" s="21">
        <f t="shared" si="10"/>
        <v>22617.189303528961</v>
      </c>
      <c r="J120" s="20">
        <f t="shared" si="9"/>
        <v>42673.949829066165</v>
      </c>
      <c r="K120" s="21">
        <f t="shared" si="11"/>
        <v>7563862.7803082336</v>
      </c>
      <c r="L120" s="21">
        <f t="shared" si="12"/>
        <v>1886137.2196917627</v>
      </c>
    </row>
    <row r="121" spans="3:12" ht="18" x14ac:dyDescent="0.25">
      <c r="C121" s="27">
        <f t="shared" si="7"/>
        <v>2032</v>
      </c>
      <c r="D121" s="27">
        <f t="shared" si="8"/>
        <v>4</v>
      </c>
      <c r="E121" s="14"/>
      <c r="F121" s="26"/>
      <c r="G121" s="28">
        <v>113</v>
      </c>
      <c r="H121" s="24">
        <f t="shared" si="13"/>
        <v>48305</v>
      </c>
      <c r="I121" s="21">
        <f t="shared" si="10"/>
        <v>22744.410993361314</v>
      </c>
      <c r="J121" s="20">
        <f t="shared" si="9"/>
        <v>42546.728139233812</v>
      </c>
      <c r="K121" s="21">
        <f t="shared" si="11"/>
        <v>7541118.3693148727</v>
      </c>
      <c r="L121" s="21">
        <f t="shared" si="12"/>
        <v>1908881.6306851241</v>
      </c>
    </row>
    <row r="122" spans="3:12" ht="18" x14ac:dyDescent="0.25">
      <c r="C122" s="27">
        <f t="shared" si="7"/>
        <v>2032</v>
      </c>
      <c r="D122" s="27">
        <f t="shared" si="8"/>
        <v>5</v>
      </c>
      <c r="E122" s="14"/>
      <c r="F122" s="26"/>
      <c r="G122" s="28">
        <v>114</v>
      </c>
      <c r="H122" s="24">
        <f t="shared" si="13"/>
        <v>48335</v>
      </c>
      <c r="I122" s="21">
        <f t="shared" si="10"/>
        <v>22872.348305198968</v>
      </c>
      <c r="J122" s="20">
        <f t="shared" si="9"/>
        <v>42418.790827396158</v>
      </c>
      <c r="K122" s="21">
        <f t="shared" si="11"/>
        <v>7518246.0210096734</v>
      </c>
      <c r="L122" s="21">
        <f t="shared" si="12"/>
        <v>1931753.9789903231</v>
      </c>
    </row>
    <row r="123" spans="3:12" ht="18" x14ac:dyDescent="0.25">
      <c r="C123" s="27">
        <f t="shared" si="7"/>
        <v>2032</v>
      </c>
      <c r="D123" s="27">
        <f t="shared" si="8"/>
        <v>6</v>
      </c>
      <c r="E123" s="14"/>
      <c r="F123" s="26"/>
      <c r="G123" s="28">
        <v>115</v>
      </c>
      <c r="H123" s="24">
        <f t="shared" si="13"/>
        <v>48366</v>
      </c>
      <c r="I123" s="21">
        <f t="shared" si="10"/>
        <v>23001.005264415711</v>
      </c>
      <c r="J123" s="20">
        <f t="shared" si="9"/>
        <v>42290.133868179415</v>
      </c>
      <c r="K123" s="21">
        <f t="shared" si="11"/>
        <v>7495245.015745258</v>
      </c>
      <c r="L123" s="21">
        <f t="shared" si="12"/>
        <v>1954754.9842547388</v>
      </c>
    </row>
    <row r="124" spans="3:12" ht="18" x14ac:dyDescent="0.25">
      <c r="C124" s="27">
        <f t="shared" si="7"/>
        <v>2032</v>
      </c>
      <c r="D124" s="27">
        <f t="shared" si="8"/>
        <v>7</v>
      </c>
      <c r="E124" s="14"/>
      <c r="F124" s="26"/>
      <c r="G124" s="28">
        <v>116</v>
      </c>
      <c r="H124" s="24">
        <f t="shared" si="13"/>
        <v>48396</v>
      </c>
      <c r="I124" s="21">
        <f t="shared" si="10"/>
        <v>23130.385919028049</v>
      </c>
      <c r="J124" s="20">
        <f t="shared" si="9"/>
        <v>42160.753213567077</v>
      </c>
      <c r="K124" s="21">
        <f t="shared" si="11"/>
        <v>7472114.62982623</v>
      </c>
      <c r="L124" s="21">
        <f t="shared" si="12"/>
        <v>1977885.3701737667</v>
      </c>
    </row>
    <row r="125" spans="3:12" ht="18" x14ac:dyDescent="0.25">
      <c r="C125" s="27">
        <f t="shared" si="7"/>
        <v>2032</v>
      </c>
      <c r="D125" s="27">
        <f t="shared" si="8"/>
        <v>8</v>
      </c>
      <c r="E125" s="14"/>
      <c r="F125" s="26"/>
      <c r="G125" s="28">
        <v>117</v>
      </c>
      <c r="H125" s="24">
        <f t="shared" si="13"/>
        <v>48427</v>
      </c>
      <c r="I125" s="21">
        <f t="shared" si="10"/>
        <v>23260.494339822581</v>
      </c>
      <c r="J125" s="20">
        <f t="shared" si="9"/>
        <v>42030.644792772546</v>
      </c>
      <c r="K125" s="21">
        <f t="shared" si="11"/>
        <v>7448854.1354864072</v>
      </c>
      <c r="L125" s="21">
        <f t="shared" si="12"/>
        <v>2001145.8645135893</v>
      </c>
    </row>
    <row r="126" spans="3:12" ht="18" x14ac:dyDescent="0.25">
      <c r="C126" s="27">
        <f t="shared" si="7"/>
        <v>2032</v>
      </c>
      <c r="D126" s="27">
        <f t="shared" si="8"/>
        <v>9</v>
      </c>
      <c r="E126" s="14"/>
      <c r="F126" s="26"/>
      <c r="G126" s="28">
        <v>118</v>
      </c>
      <c r="H126" s="24">
        <f t="shared" si="13"/>
        <v>48458</v>
      </c>
      <c r="I126" s="21">
        <f t="shared" si="10"/>
        <v>23391.334620484085</v>
      </c>
      <c r="J126" s="20">
        <f t="shared" si="9"/>
        <v>41899.804512111041</v>
      </c>
      <c r="K126" s="21">
        <f t="shared" si="11"/>
        <v>7425462.8008659231</v>
      </c>
      <c r="L126" s="21">
        <f t="shared" si="12"/>
        <v>2024537.1991340735</v>
      </c>
    </row>
    <row r="127" spans="3:12" ht="18" x14ac:dyDescent="0.25">
      <c r="C127" s="27">
        <f t="shared" si="7"/>
        <v>2032</v>
      </c>
      <c r="D127" s="27">
        <f t="shared" si="8"/>
        <v>10</v>
      </c>
      <c r="E127" s="14"/>
      <c r="F127" s="26"/>
      <c r="G127" s="28">
        <v>119</v>
      </c>
      <c r="H127" s="24">
        <f t="shared" si="13"/>
        <v>48488</v>
      </c>
      <c r="I127" s="21">
        <f t="shared" si="10"/>
        <v>23522.910877724302</v>
      </c>
      <c r="J127" s="20">
        <f t="shared" si="9"/>
        <v>41768.228254870824</v>
      </c>
      <c r="K127" s="21">
        <f t="shared" si="11"/>
        <v>7401939.8899881989</v>
      </c>
      <c r="L127" s="21">
        <f t="shared" si="12"/>
        <v>2048060.1100117979</v>
      </c>
    </row>
    <row r="128" spans="3:12" ht="18" x14ac:dyDescent="0.25">
      <c r="C128" s="27">
        <f t="shared" si="7"/>
        <v>2032</v>
      </c>
      <c r="D128" s="27">
        <f t="shared" si="8"/>
        <v>11</v>
      </c>
      <c r="E128" s="14"/>
      <c r="F128" s="26"/>
      <c r="G128" s="28">
        <v>120</v>
      </c>
      <c r="H128" s="24">
        <f t="shared" si="13"/>
        <v>48519</v>
      </c>
      <c r="I128" s="21">
        <f t="shared" si="10"/>
        <v>23655.227251411503</v>
      </c>
      <c r="J128" s="20">
        <f t="shared" si="9"/>
        <v>41635.911881183623</v>
      </c>
      <c r="K128" s="21">
        <f t="shared" si="11"/>
        <v>7378284.6627367875</v>
      </c>
      <c r="L128" s="21">
        <f t="shared" si="12"/>
        <v>2071715.3372632093</v>
      </c>
    </row>
    <row r="129" spans="3:12" ht="18" x14ac:dyDescent="0.25">
      <c r="C129" s="27">
        <f t="shared" si="7"/>
        <v>2032</v>
      </c>
      <c r="D129" s="27">
        <f t="shared" si="8"/>
        <v>12</v>
      </c>
      <c r="E129" s="14"/>
      <c r="F129" s="26"/>
      <c r="G129" s="28">
        <v>121</v>
      </c>
      <c r="H129" s="24">
        <f t="shared" si="13"/>
        <v>48549</v>
      </c>
      <c r="I129" s="21">
        <f t="shared" si="10"/>
        <v>23788.287904700694</v>
      </c>
      <c r="J129" s="20">
        <f t="shared" si="9"/>
        <v>41502.851227894433</v>
      </c>
      <c r="K129" s="21">
        <f t="shared" si="11"/>
        <v>7354496.3748320872</v>
      </c>
      <c r="L129" s="21">
        <f t="shared" si="12"/>
        <v>2095503.62516791</v>
      </c>
    </row>
    <row r="130" spans="3:12" ht="18" x14ac:dyDescent="0.25">
      <c r="C130" s="27">
        <f t="shared" si="7"/>
        <v>2033</v>
      </c>
      <c r="D130" s="27">
        <f t="shared" si="8"/>
        <v>1</v>
      </c>
      <c r="E130" s="14"/>
      <c r="F130" s="26"/>
      <c r="G130" s="28">
        <v>122</v>
      </c>
      <c r="H130" s="24">
        <f t="shared" si="13"/>
        <v>48580</v>
      </c>
      <c r="I130" s="21">
        <f t="shared" si="10"/>
        <v>23922.097024164636</v>
      </c>
      <c r="J130" s="20">
        <f t="shared" si="9"/>
        <v>41369.042108430491</v>
      </c>
      <c r="K130" s="21">
        <f t="shared" si="11"/>
        <v>7330574.2778079221</v>
      </c>
      <c r="L130" s="21">
        <f t="shared" si="12"/>
        <v>2119425.7221920746</v>
      </c>
    </row>
    <row r="131" spans="3:12" ht="18" x14ac:dyDescent="0.25">
      <c r="C131" s="27">
        <f t="shared" si="7"/>
        <v>2033</v>
      </c>
      <c r="D131" s="27">
        <f t="shared" si="8"/>
        <v>2</v>
      </c>
      <c r="E131" s="14"/>
      <c r="F131" s="26"/>
      <c r="G131" s="28">
        <v>123</v>
      </c>
      <c r="H131" s="24">
        <f t="shared" si="13"/>
        <v>48611</v>
      </c>
      <c r="I131" s="21">
        <f t="shared" si="10"/>
        <v>24056.658819925564</v>
      </c>
      <c r="J131" s="20">
        <f t="shared" si="9"/>
        <v>41234.480312669562</v>
      </c>
      <c r="K131" s="21">
        <f t="shared" si="11"/>
        <v>7306517.6189879961</v>
      </c>
      <c r="L131" s="21">
        <f t="shared" si="12"/>
        <v>2143482.3810120001</v>
      </c>
    </row>
    <row r="132" spans="3:12" ht="18" x14ac:dyDescent="0.25">
      <c r="C132" s="27">
        <f t="shared" si="7"/>
        <v>2033</v>
      </c>
      <c r="D132" s="27">
        <f t="shared" si="8"/>
        <v>3</v>
      </c>
      <c r="E132" s="14"/>
      <c r="F132" s="26"/>
      <c r="G132" s="28">
        <v>124</v>
      </c>
      <c r="H132" s="24">
        <f t="shared" si="13"/>
        <v>48639</v>
      </c>
      <c r="I132" s="21">
        <f t="shared" si="10"/>
        <v>24191.977525787646</v>
      </c>
      <c r="J132" s="20">
        <f t="shared" si="9"/>
        <v>41099.16160680748</v>
      </c>
      <c r="K132" s="21">
        <f t="shared" si="11"/>
        <v>7282325.6414622087</v>
      </c>
      <c r="L132" s="21">
        <f t="shared" si="12"/>
        <v>2167674.3585377876</v>
      </c>
    </row>
    <row r="133" spans="3:12" ht="18" x14ac:dyDescent="0.25">
      <c r="C133" s="27">
        <f t="shared" si="7"/>
        <v>2033</v>
      </c>
      <c r="D133" s="27">
        <f t="shared" si="8"/>
        <v>4</v>
      </c>
      <c r="E133" s="14"/>
      <c r="F133" s="26"/>
      <c r="G133" s="28">
        <v>125</v>
      </c>
      <c r="H133" s="24">
        <f t="shared" si="13"/>
        <v>48670</v>
      </c>
      <c r="I133" s="21">
        <f t="shared" si="10"/>
        <v>24328.057399370198</v>
      </c>
      <c r="J133" s="20">
        <f t="shared" si="9"/>
        <v>40963.081733224928</v>
      </c>
      <c r="K133" s="21">
        <f t="shared" si="11"/>
        <v>7257997.5840628389</v>
      </c>
      <c r="L133" s="21">
        <f t="shared" si="12"/>
        <v>2192002.4159371578</v>
      </c>
    </row>
    <row r="134" spans="3:12" ht="18" x14ac:dyDescent="0.25">
      <c r="C134" s="27">
        <f t="shared" si="7"/>
        <v>2033</v>
      </c>
      <c r="D134" s="27">
        <f t="shared" si="8"/>
        <v>5</v>
      </c>
      <c r="E134" s="14"/>
      <c r="F134" s="26"/>
      <c r="G134" s="28">
        <v>126</v>
      </c>
      <c r="H134" s="24">
        <f t="shared" si="13"/>
        <v>48700</v>
      </c>
      <c r="I134" s="21">
        <f t="shared" si="10"/>
        <v>24464.902722241655</v>
      </c>
      <c r="J134" s="20">
        <f t="shared" si="9"/>
        <v>40826.236410353471</v>
      </c>
      <c r="K134" s="21">
        <f t="shared" si="11"/>
        <v>7233532.6813405976</v>
      </c>
      <c r="L134" s="21">
        <f t="shared" si="12"/>
        <v>2216467.3186593996</v>
      </c>
    </row>
    <row r="135" spans="3:12" ht="18" x14ac:dyDescent="0.25">
      <c r="C135" s="27">
        <f t="shared" si="7"/>
        <v>2033</v>
      </c>
      <c r="D135" s="27">
        <f t="shared" si="8"/>
        <v>6</v>
      </c>
      <c r="E135" s="14"/>
      <c r="F135" s="26"/>
      <c r="G135" s="28">
        <v>127</v>
      </c>
      <c r="H135" s="24">
        <f t="shared" si="13"/>
        <v>48731</v>
      </c>
      <c r="I135" s="21">
        <f t="shared" si="10"/>
        <v>24602.517800054258</v>
      </c>
      <c r="J135" s="20">
        <f t="shared" si="9"/>
        <v>40688.621332540868</v>
      </c>
      <c r="K135" s="21">
        <f t="shared" si="11"/>
        <v>7208930.1635405431</v>
      </c>
      <c r="L135" s="21">
        <f t="shared" si="12"/>
        <v>2241069.8364594537</v>
      </c>
    </row>
    <row r="136" spans="3:12" ht="18" x14ac:dyDescent="0.25">
      <c r="C136" s="27">
        <f t="shared" si="7"/>
        <v>2033</v>
      </c>
      <c r="D136" s="27">
        <f t="shared" si="8"/>
        <v>7</v>
      </c>
      <c r="E136" s="14"/>
      <c r="F136" s="26"/>
      <c r="G136" s="28">
        <v>128</v>
      </c>
      <c r="H136" s="24">
        <f t="shared" si="13"/>
        <v>48761</v>
      </c>
      <c r="I136" s="21">
        <f t="shared" si="10"/>
        <v>24740.906962679568</v>
      </c>
      <c r="J136" s="20">
        <f t="shared" si="9"/>
        <v>40550.232169915558</v>
      </c>
      <c r="K136" s="21">
        <f t="shared" si="11"/>
        <v>7184189.2565778634</v>
      </c>
      <c r="L136" s="21">
        <f t="shared" si="12"/>
        <v>2265810.7434221334</v>
      </c>
    </row>
    <row r="137" spans="3:12" ht="18" x14ac:dyDescent="0.25">
      <c r="C137" s="27">
        <f t="shared" ref="C137:C200" si="14">YEAR(H137)</f>
        <v>2033</v>
      </c>
      <c r="D137" s="27">
        <f t="shared" ref="D137:D200" si="15">MONTH(H137)</f>
        <v>8</v>
      </c>
      <c r="E137" s="14"/>
      <c r="F137" s="26"/>
      <c r="G137" s="28">
        <v>129</v>
      </c>
      <c r="H137" s="24">
        <f t="shared" si="13"/>
        <v>48792</v>
      </c>
      <c r="I137" s="21">
        <f t="shared" si="10"/>
        <v>24880.074564344643</v>
      </c>
      <c r="J137" s="20">
        <f t="shared" ref="J137:J200" si="16">(K136*$D$4/12)</f>
        <v>40411.064568250484</v>
      </c>
      <c r="K137" s="21">
        <f t="shared" si="11"/>
        <v>7159309.1820135191</v>
      </c>
      <c r="L137" s="21">
        <f t="shared" si="12"/>
        <v>2290690.8179864781</v>
      </c>
    </row>
    <row r="138" spans="3:12" ht="18" x14ac:dyDescent="0.25">
      <c r="C138" s="27">
        <f t="shared" si="14"/>
        <v>2033</v>
      </c>
      <c r="D138" s="27">
        <f t="shared" si="15"/>
        <v>9</v>
      </c>
      <c r="E138" s="14"/>
      <c r="F138" s="26"/>
      <c r="G138" s="28">
        <v>130</v>
      </c>
      <c r="H138" s="24">
        <f t="shared" si="13"/>
        <v>48823</v>
      </c>
      <c r="I138" s="21">
        <f t="shared" ref="I138:I201" si="17">$G$8-J138</f>
        <v>25020.024983769079</v>
      </c>
      <c r="J138" s="20">
        <f t="shared" si="16"/>
        <v>40271.114148826047</v>
      </c>
      <c r="K138" s="21">
        <f t="shared" ref="K138:K201" si="18">K137-I138</f>
        <v>7134289.1570297498</v>
      </c>
      <c r="L138" s="21">
        <f t="shared" ref="L138:L201" si="19">I138+L137</f>
        <v>2315710.8429702474</v>
      </c>
    </row>
    <row r="139" spans="3:12" ht="18" x14ac:dyDescent="0.25">
      <c r="C139" s="27">
        <f t="shared" si="14"/>
        <v>2033</v>
      </c>
      <c r="D139" s="27">
        <f t="shared" si="15"/>
        <v>10</v>
      </c>
      <c r="E139" s="14"/>
      <c r="F139" s="26"/>
      <c r="G139" s="28">
        <v>131</v>
      </c>
      <c r="H139" s="24">
        <f t="shared" si="13"/>
        <v>48853</v>
      </c>
      <c r="I139" s="21">
        <f t="shared" si="17"/>
        <v>25160.762624302784</v>
      </c>
      <c r="J139" s="20">
        <f t="shared" si="16"/>
        <v>40130.376508292342</v>
      </c>
      <c r="K139" s="21">
        <f t="shared" si="18"/>
        <v>7109128.3944054469</v>
      </c>
      <c r="L139" s="21">
        <f t="shared" si="19"/>
        <v>2340871.6055945503</v>
      </c>
    </row>
    <row r="140" spans="3:12" ht="18" x14ac:dyDescent="0.25">
      <c r="C140" s="27">
        <f t="shared" si="14"/>
        <v>2033</v>
      </c>
      <c r="D140" s="27">
        <f t="shared" si="15"/>
        <v>11</v>
      </c>
      <c r="E140" s="14"/>
      <c r="F140" s="26"/>
      <c r="G140" s="28">
        <v>132</v>
      </c>
      <c r="H140" s="24">
        <f t="shared" si="13"/>
        <v>48884</v>
      </c>
      <c r="I140" s="21">
        <f t="shared" si="17"/>
        <v>25302.291914064488</v>
      </c>
      <c r="J140" s="20">
        <f t="shared" si="16"/>
        <v>39988.847218530638</v>
      </c>
      <c r="K140" s="21">
        <f t="shared" si="18"/>
        <v>7083826.1024913825</v>
      </c>
      <c r="L140" s="21">
        <f t="shared" si="19"/>
        <v>2366173.8975086147</v>
      </c>
    </row>
    <row r="141" spans="3:12" ht="18" x14ac:dyDescent="0.25">
      <c r="C141" s="27">
        <f t="shared" si="14"/>
        <v>2033</v>
      </c>
      <c r="D141" s="27">
        <f t="shared" si="15"/>
        <v>12</v>
      </c>
      <c r="E141" s="14"/>
      <c r="F141" s="26"/>
      <c r="G141" s="28">
        <v>133</v>
      </c>
      <c r="H141" s="24">
        <f t="shared" si="13"/>
        <v>48914</v>
      </c>
      <c r="I141" s="21">
        <f t="shared" si="17"/>
        <v>25444.617306081098</v>
      </c>
      <c r="J141" s="20">
        <f t="shared" si="16"/>
        <v>39846.521826514028</v>
      </c>
      <c r="K141" s="21">
        <f t="shared" si="18"/>
        <v>7058381.4851853019</v>
      </c>
      <c r="L141" s="21">
        <f t="shared" si="19"/>
        <v>2391618.5148146958</v>
      </c>
    </row>
    <row r="142" spans="3:12" ht="18" x14ac:dyDescent="0.25">
      <c r="C142" s="27">
        <f t="shared" si="14"/>
        <v>2034</v>
      </c>
      <c r="D142" s="27">
        <f t="shared" si="15"/>
        <v>1</v>
      </c>
      <c r="E142" s="14"/>
      <c r="F142" s="26"/>
      <c r="G142" s="28">
        <v>134</v>
      </c>
      <c r="H142" s="24">
        <f t="shared" si="13"/>
        <v>48945</v>
      </c>
      <c r="I142" s="21">
        <f t="shared" si="17"/>
        <v>25587.743278427799</v>
      </c>
      <c r="J142" s="20">
        <f t="shared" si="16"/>
        <v>39703.395854167327</v>
      </c>
      <c r="K142" s="21">
        <f t="shared" si="18"/>
        <v>7032793.7419068739</v>
      </c>
      <c r="L142" s="21">
        <f t="shared" si="19"/>
        <v>2417206.2580931238</v>
      </c>
    </row>
    <row r="143" spans="3:12" ht="18" x14ac:dyDescent="0.25">
      <c r="C143" s="27">
        <f t="shared" si="14"/>
        <v>2034</v>
      </c>
      <c r="D143" s="27">
        <f t="shared" si="15"/>
        <v>2</v>
      </c>
      <c r="E143" s="14"/>
      <c r="F143" s="26"/>
      <c r="G143" s="28">
        <v>135</v>
      </c>
      <c r="H143" s="24">
        <f t="shared" ref="H143:H206" si="20">IF(D142=12,DATEVALUE(CONCATENATE("1/1/",C142+1)),DATEVALUE(CONCATENATE(D142+1,"/1/",C142)))</f>
        <v>48976</v>
      </c>
      <c r="I143" s="21">
        <f t="shared" si="17"/>
        <v>25731.67433436896</v>
      </c>
      <c r="J143" s="20">
        <f t="shared" si="16"/>
        <v>39559.464798226167</v>
      </c>
      <c r="K143" s="21">
        <f t="shared" si="18"/>
        <v>7007062.0675725052</v>
      </c>
      <c r="L143" s="21">
        <f t="shared" si="19"/>
        <v>2442937.9324274929</v>
      </c>
    </row>
    <row r="144" spans="3:12" ht="18" x14ac:dyDescent="0.25">
      <c r="C144" s="27">
        <f t="shared" si="14"/>
        <v>2034</v>
      </c>
      <c r="D144" s="27">
        <f t="shared" si="15"/>
        <v>3</v>
      </c>
      <c r="E144" s="14"/>
      <c r="F144" s="26"/>
      <c r="G144" s="28">
        <v>136</v>
      </c>
      <c r="H144" s="24">
        <f t="shared" si="20"/>
        <v>49004</v>
      </c>
      <c r="I144" s="21">
        <f t="shared" si="17"/>
        <v>25876.41500249978</v>
      </c>
      <c r="J144" s="20">
        <f t="shared" si="16"/>
        <v>39414.724130095346</v>
      </c>
      <c r="K144" s="21">
        <f t="shared" si="18"/>
        <v>6981185.6525700055</v>
      </c>
      <c r="L144" s="21">
        <f t="shared" si="19"/>
        <v>2468814.3474299926</v>
      </c>
    </row>
    <row r="145" spans="3:12" ht="18" x14ac:dyDescent="0.25">
      <c r="C145" s="27">
        <f t="shared" si="14"/>
        <v>2034</v>
      </c>
      <c r="D145" s="27">
        <f t="shared" si="15"/>
        <v>4</v>
      </c>
      <c r="E145" s="14"/>
      <c r="F145" s="26"/>
      <c r="G145" s="28">
        <v>137</v>
      </c>
      <c r="H145" s="24">
        <f t="shared" si="20"/>
        <v>49035</v>
      </c>
      <c r="I145" s="21">
        <f t="shared" si="17"/>
        <v>26021.969836888842</v>
      </c>
      <c r="J145" s="20">
        <f t="shared" si="16"/>
        <v>39269.169295706284</v>
      </c>
      <c r="K145" s="21">
        <f t="shared" si="18"/>
        <v>6955163.6827331167</v>
      </c>
      <c r="L145" s="21">
        <f t="shared" si="19"/>
        <v>2494836.3172668815</v>
      </c>
    </row>
    <row r="146" spans="3:12" ht="18" x14ac:dyDescent="0.25">
      <c r="C146" s="27">
        <f t="shared" si="14"/>
        <v>2034</v>
      </c>
      <c r="D146" s="27">
        <f t="shared" si="15"/>
        <v>5</v>
      </c>
      <c r="E146" s="14"/>
      <c r="F146" s="26"/>
      <c r="G146" s="28">
        <v>138</v>
      </c>
      <c r="H146" s="24">
        <f t="shared" si="20"/>
        <v>49065</v>
      </c>
      <c r="I146" s="21">
        <f t="shared" si="17"/>
        <v>26168.343417221338</v>
      </c>
      <c r="J146" s="20">
        <f t="shared" si="16"/>
        <v>39122.795715373788</v>
      </c>
      <c r="K146" s="21">
        <f t="shared" si="18"/>
        <v>6928995.339315895</v>
      </c>
      <c r="L146" s="21">
        <f t="shared" si="19"/>
        <v>2521004.6606841027</v>
      </c>
    </row>
    <row r="147" spans="3:12" ht="18" x14ac:dyDescent="0.25">
      <c r="C147" s="27">
        <f t="shared" si="14"/>
        <v>2034</v>
      </c>
      <c r="D147" s="27">
        <f t="shared" si="15"/>
        <v>6</v>
      </c>
      <c r="E147" s="14"/>
      <c r="F147" s="26"/>
      <c r="G147" s="28">
        <v>139</v>
      </c>
      <c r="H147" s="24">
        <f t="shared" si="20"/>
        <v>49096</v>
      </c>
      <c r="I147" s="21">
        <f t="shared" si="17"/>
        <v>26315.540348943214</v>
      </c>
      <c r="J147" s="20">
        <f t="shared" si="16"/>
        <v>38975.598783651913</v>
      </c>
      <c r="K147" s="21">
        <f t="shared" si="18"/>
        <v>6902679.7989669517</v>
      </c>
      <c r="L147" s="21">
        <f t="shared" si="19"/>
        <v>2547320.201033046</v>
      </c>
    </row>
    <row r="148" spans="3:12" ht="18" x14ac:dyDescent="0.25">
      <c r="C148" s="27">
        <f t="shared" si="14"/>
        <v>2034</v>
      </c>
      <c r="D148" s="27">
        <f t="shared" si="15"/>
        <v>7</v>
      </c>
      <c r="E148" s="14"/>
      <c r="F148" s="26"/>
      <c r="G148" s="28">
        <v>140</v>
      </c>
      <c r="H148" s="24">
        <f t="shared" si="20"/>
        <v>49126</v>
      </c>
      <c r="I148" s="21">
        <f t="shared" si="17"/>
        <v>26463.565263406017</v>
      </c>
      <c r="J148" s="20">
        <f t="shared" si="16"/>
        <v>38827.573869189109</v>
      </c>
      <c r="K148" s="21">
        <f t="shared" si="18"/>
        <v>6876216.2337035453</v>
      </c>
      <c r="L148" s="21">
        <f t="shared" si="19"/>
        <v>2573783.7662964519</v>
      </c>
    </row>
    <row r="149" spans="3:12" ht="18" x14ac:dyDescent="0.25">
      <c r="C149" s="27">
        <f t="shared" si="14"/>
        <v>2034</v>
      </c>
      <c r="D149" s="27">
        <f t="shared" si="15"/>
        <v>8</v>
      </c>
      <c r="E149" s="14"/>
      <c r="F149" s="26"/>
      <c r="G149" s="28">
        <v>141</v>
      </c>
      <c r="H149" s="24">
        <f t="shared" si="20"/>
        <v>49157</v>
      </c>
      <c r="I149" s="21">
        <f t="shared" si="17"/>
        <v>26612.422818012681</v>
      </c>
      <c r="J149" s="20">
        <f t="shared" si="16"/>
        <v>38678.716314582445</v>
      </c>
      <c r="K149" s="21">
        <f t="shared" si="18"/>
        <v>6849603.8108855328</v>
      </c>
      <c r="L149" s="21">
        <f t="shared" si="19"/>
        <v>2600396.1891144644</v>
      </c>
    </row>
    <row r="150" spans="3:12" ht="18" x14ac:dyDescent="0.25">
      <c r="C150" s="27">
        <f t="shared" si="14"/>
        <v>2034</v>
      </c>
      <c r="D150" s="27">
        <f t="shared" si="15"/>
        <v>9</v>
      </c>
      <c r="E150" s="14"/>
      <c r="F150" s="26"/>
      <c r="G150" s="28">
        <v>142</v>
      </c>
      <c r="H150" s="24">
        <f t="shared" si="20"/>
        <v>49188</v>
      </c>
      <c r="I150" s="21">
        <f t="shared" si="17"/>
        <v>26762.117696364003</v>
      </c>
      <c r="J150" s="20">
        <f t="shared" si="16"/>
        <v>38529.021436231124</v>
      </c>
      <c r="K150" s="21">
        <f t="shared" si="18"/>
        <v>6822841.6931891683</v>
      </c>
      <c r="L150" s="21">
        <f t="shared" si="19"/>
        <v>2627158.3068108284</v>
      </c>
    </row>
    <row r="151" spans="3:12" ht="18" x14ac:dyDescent="0.25">
      <c r="C151" s="27">
        <f t="shared" si="14"/>
        <v>2034</v>
      </c>
      <c r="D151" s="27">
        <f t="shared" si="15"/>
        <v>10</v>
      </c>
      <c r="E151" s="14"/>
      <c r="F151" s="26"/>
      <c r="G151" s="28">
        <v>143</v>
      </c>
      <c r="H151" s="24">
        <f t="shared" si="20"/>
        <v>49218</v>
      </c>
      <c r="I151" s="21">
        <f t="shared" si="17"/>
        <v>26912.654608406054</v>
      </c>
      <c r="J151" s="20">
        <f t="shared" si="16"/>
        <v>38378.484524189073</v>
      </c>
      <c r="K151" s="21">
        <f t="shared" si="18"/>
        <v>6795929.0385807622</v>
      </c>
      <c r="L151" s="21">
        <f t="shared" si="19"/>
        <v>2654070.9614192345</v>
      </c>
    </row>
    <row r="152" spans="3:12" ht="18" x14ac:dyDescent="0.25">
      <c r="C152" s="27">
        <f t="shared" si="14"/>
        <v>2034</v>
      </c>
      <c r="D152" s="27">
        <f t="shared" si="15"/>
        <v>11</v>
      </c>
      <c r="E152" s="14"/>
      <c r="F152" s="26"/>
      <c r="G152" s="28">
        <v>144</v>
      </c>
      <c r="H152" s="24">
        <f t="shared" si="20"/>
        <v>49249</v>
      </c>
      <c r="I152" s="21">
        <f t="shared" si="17"/>
        <v>27064.038290578341</v>
      </c>
      <c r="J152" s="20">
        <f t="shared" si="16"/>
        <v>38227.100842016785</v>
      </c>
      <c r="K152" s="21">
        <f t="shared" si="18"/>
        <v>6768865.0002901843</v>
      </c>
      <c r="L152" s="21">
        <f t="shared" si="19"/>
        <v>2681134.9997098129</v>
      </c>
    </row>
    <row r="153" spans="3:12" ht="18" x14ac:dyDescent="0.25">
      <c r="C153" s="27">
        <f t="shared" si="14"/>
        <v>2034</v>
      </c>
      <c r="D153" s="27">
        <f t="shared" si="15"/>
        <v>12</v>
      </c>
      <c r="E153" s="14"/>
      <c r="F153" s="26"/>
      <c r="G153" s="28">
        <v>145</v>
      </c>
      <c r="H153" s="24">
        <f t="shared" si="20"/>
        <v>49279</v>
      </c>
      <c r="I153" s="21">
        <f t="shared" si="17"/>
        <v>27216.273505962839</v>
      </c>
      <c r="J153" s="20">
        <f t="shared" si="16"/>
        <v>38074.865626632287</v>
      </c>
      <c r="K153" s="21">
        <f t="shared" si="18"/>
        <v>6741648.7267842218</v>
      </c>
      <c r="L153" s="21">
        <f t="shared" si="19"/>
        <v>2708351.2732157758</v>
      </c>
    </row>
    <row r="154" spans="3:12" ht="18" x14ac:dyDescent="0.25">
      <c r="C154" s="27">
        <f t="shared" si="14"/>
        <v>2035</v>
      </c>
      <c r="D154" s="27">
        <f t="shared" si="15"/>
        <v>1</v>
      </c>
      <c r="E154" s="14"/>
      <c r="F154" s="26"/>
      <c r="G154" s="28">
        <v>146</v>
      </c>
      <c r="H154" s="24">
        <f t="shared" si="20"/>
        <v>49310</v>
      </c>
      <c r="I154" s="21">
        <f t="shared" si="17"/>
        <v>27369.365044433878</v>
      </c>
      <c r="J154" s="20">
        <f t="shared" si="16"/>
        <v>37921.774088161248</v>
      </c>
      <c r="K154" s="21">
        <f t="shared" si="18"/>
        <v>6714279.3617397882</v>
      </c>
      <c r="L154" s="21">
        <f t="shared" si="19"/>
        <v>2735720.6382602099</v>
      </c>
    </row>
    <row r="155" spans="3:12" ht="18" x14ac:dyDescent="0.25">
      <c r="C155" s="27">
        <f t="shared" si="14"/>
        <v>2035</v>
      </c>
      <c r="D155" s="27">
        <f t="shared" si="15"/>
        <v>2</v>
      </c>
      <c r="E155" s="14"/>
      <c r="F155" s="26"/>
      <c r="G155" s="28">
        <v>147</v>
      </c>
      <c r="H155" s="24">
        <f t="shared" si="20"/>
        <v>49341</v>
      </c>
      <c r="I155" s="21">
        <f t="shared" si="17"/>
        <v>27523.317722808817</v>
      </c>
      <c r="J155" s="20">
        <f t="shared" si="16"/>
        <v>37767.821409786309</v>
      </c>
      <c r="K155" s="21">
        <f t="shared" si="18"/>
        <v>6686756.0440169796</v>
      </c>
      <c r="L155" s="21">
        <f t="shared" si="19"/>
        <v>2763243.955983019</v>
      </c>
    </row>
    <row r="156" spans="3:12" ht="18" x14ac:dyDescent="0.25">
      <c r="C156" s="27">
        <f t="shared" si="14"/>
        <v>2035</v>
      </c>
      <c r="D156" s="27">
        <f t="shared" si="15"/>
        <v>3</v>
      </c>
      <c r="E156" s="14"/>
      <c r="F156" s="26"/>
      <c r="G156" s="28">
        <v>148</v>
      </c>
      <c r="H156" s="24">
        <f t="shared" si="20"/>
        <v>49369</v>
      </c>
      <c r="I156" s="21">
        <f t="shared" si="17"/>
        <v>27678.136384999612</v>
      </c>
      <c r="J156" s="20">
        <f t="shared" si="16"/>
        <v>37613.002747595514</v>
      </c>
      <c r="K156" s="21">
        <f t="shared" si="18"/>
        <v>6659077.9076319803</v>
      </c>
      <c r="L156" s="21">
        <f t="shared" si="19"/>
        <v>2790922.0923680188</v>
      </c>
    </row>
    <row r="157" spans="3:12" ht="18" x14ac:dyDescent="0.25">
      <c r="C157" s="27">
        <f t="shared" si="14"/>
        <v>2035</v>
      </c>
      <c r="D157" s="27">
        <f t="shared" si="15"/>
        <v>4</v>
      </c>
      <c r="E157" s="14"/>
      <c r="F157" s="26"/>
      <c r="G157" s="28">
        <v>149</v>
      </c>
      <c r="H157" s="24">
        <f t="shared" si="20"/>
        <v>49400</v>
      </c>
      <c r="I157" s="21">
        <f t="shared" si="17"/>
        <v>27833.825902165234</v>
      </c>
      <c r="J157" s="20">
        <f t="shared" si="16"/>
        <v>37457.313230429892</v>
      </c>
      <c r="K157" s="21">
        <f t="shared" si="18"/>
        <v>6631244.0817298153</v>
      </c>
      <c r="L157" s="21">
        <f t="shared" si="19"/>
        <v>2818755.9182701842</v>
      </c>
    </row>
    <row r="158" spans="3:12" ht="18" x14ac:dyDescent="0.25">
      <c r="C158" s="27">
        <f t="shared" si="14"/>
        <v>2035</v>
      </c>
      <c r="D158" s="27">
        <f t="shared" si="15"/>
        <v>5</v>
      </c>
      <c r="E158" s="14"/>
      <c r="F158" s="26"/>
      <c r="G158" s="28">
        <v>150</v>
      </c>
      <c r="H158" s="24">
        <f t="shared" si="20"/>
        <v>49430</v>
      </c>
      <c r="I158" s="21">
        <f t="shared" si="17"/>
        <v>27990.391172864911</v>
      </c>
      <c r="J158" s="20">
        <f t="shared" si="16"/>
        <v>37300.747959730215</v>
      </c>
      <c r="K158" s="21">
        <f t="shared" si="18"/>
        <v>6603253.6905569509</v>
      </c>
      <c r="L158" s="21">
        <f t="shared" si="19"/>
        <v>2846746.3094430491</v>
      </c>
    </row>
    <row r="159" spans="3:12" ht="18" x14ac:dyDescent="0.25">
      <c r="C159" s="27">
        <f t="shared" si="14"/>
        <v>2035</v>
      </c>
      <c r="D159" s="27">
        <f t="shared" si="15"/>
        <v>6</v>
      </c>
      <c r="E159" s="14"/>
      <c r="F159" s="26"/>
      <c r="G159" s="28">
        <v>151</v>
      </c>
      <c r="H159" s="24">
        <f t="shared" si="20"/>
        <v>49461</v>
      </c>
      <c r="I159" s="21">
        <f t="shared" si="17"/>
        <v>28147.837123212274</v>
      </c>
      <c r="J159" s="20">
        <f t="shared" si="16"/>
        <v>37143.302009382853</v>
      </c>
      <c r="K159" s="21">
        <f t="shared" si="18"/>
        <v>6575105.8534337385</v>
      </c>
      <c r="L159" s="21">
        <f t="shared" si="19"/>
        <v>2874894.1465662615</v>
      </c>
    </row>
    <row r="160" spans="3:12" ht="18" x14ac:dyDescent="0.25">
      <c r="C160" s="27">
        <f t="shared" si="14"/>
        <v>2035</v>
      </c>
      <c r="D160" s="27">
        <f t="shared" si="15"/>
        <v>7</v>
      </c>
      <c r="E160" s="14"/>
      <c r="F160" s="26"/>
      <c r="G160" s="28">
        <v>152</v>
      </c>
      <c r="H160" s="24">
        <f t="shared" si="20"/>
        <v>49491</v>
      </c>
      <c r="I160" s="21">
        <f t="shared" si="17"/>
        <v>28306.168707030345</v>
      </c>
      <c r="J160" s="20">
        <f t="shared" si="16"/>
        <v>36984.970425564781</v>
      </c>
      <c r="K160" s="21">
        <f t="shared" si="18"/>
        <v>6546799.6847267086</v>
      </c>
      <c r="L160" s="21">
        <f t="shared" si="19"/>
        <v>2903200.3152732919</v>
      </c>
    </row>
    <row r="161" spans="3:12" ht="18" x14ac:dyDescent="0.25">
      <c r="C161" s="27">
        <f t="shared" si="14"/>
        <v>2035</v>
      </c>
      <c r="D161" s="27">
        <f t="shared" si="15"/>
        <v>8</v>
      </c>
      <c r="E161" s="14"/>
      <c r="F161" s="26"/>
      <c r="G161" s="28">
        <v>153</v>
      </c>
      <c r="H161" s="24">
        <f t="shared" si="20"/>
        <v>49522</v>
      </c>
      <c r="I161" s="21">
        <f t="shared" si="17"/>
        <v>28465.390906007386</v>
      </c>
      <c r="J161" s="20">
        <f t="shared" si="16"/>
        <v>36825.748226587741</v>
      </c>
      <c r="K161" s="21">
        <f t="shared" si="18"/>
        <v>6518334.2938207015</v>
      </c>
      <c r="L161" s="21">
        <f t="shared" si="19"/>
        <v>2931665.7061792994</v>
      </c>
    </row>
    <row r="162" spans="3:12" ht="18" x14ac:dyDescent="0.25">
      <c r="C162" s="27">
        <f t="shared" si="14"/>
        <v>2035</v>
      </c>
      <c r="D162" s="27">
        <f t="shared" si="15"/>
        <v>9</v>
      </c>
      <c r="E162" s="14"/>
      <c r="F162" s="26"/>
      <c r="G162" s="28">
        <v>154</v>
      </c>
      <c r="H162" s="24">
        <f t="shared" si="20"/>
        <v>49553</v>
      </c>
      <c r="I162" s="21">
        <f t="shared" si="17"/>
        <v>28625.508729853675</v>
      </c>
      <c r="J162" s="20">
        <f t="shared" si="16"/>
        <v>36665.630402741452</v>
      </c>
      <c r="K162" s="21">
        <f t="shared" si="18"/>
        <v>6489708.7850908479</v>
      </c>
      <c r="L162" s="21">
        <f t="shared" si="19"/>
        <v>2960291.2149091531</v>
      </c>
    </row>
    <row r="163" spans="3:12" ht="18" x14ac:dyDescent="0.25">
      <c r="C163" s="27">
        <f t="shared" si="14"/>
        <v>2035</v>
      </c>
      <c r="D163" s="27">
        <f t="shared" si="15"/>
        <v>10</v>
      </c>
      <c r="E163" s="14"/>
      <c r="F163" s="26"/>
      <c r="G163" s="28">
        <v>155</v>
      </c>
      <c r="H163" s="24">
        <f t="shared" si="20"/>
        <v>49583</v>
      </c>
      <c r="I163" s="21">
        <f t="shared" si="17"/>
        <v>28786.527216459108</v>
      </c>
      <c r="J163" s="20">
        <f t="shared" si="16"/>
        <v>36504.611916136018</v>
      </c>
      <c r="K163" s="21">
        <f t="shared" si="18"/>
        <v>6460922.2578743892</v>
      </c>
      <c r="L163" s="21">
        <f t="shared" si="19"/>
        <v>2989077.7421256122</v>
      </c>
    </row>
    <row r="164" spans="3:12" ht="18" x14ac:dyDescent="0.25">
      <c r="C164" s="27">
        <f t="shared" si="14"/>
        <v>2035</v>
      </c>
      <c r="D164" s="27">
        <f t="shared" si="15"/>
        <v>11</v>
      </c>
      <c r="E164" s="14"/>
      <c r="F164" s="26"/>
      <c r="G164" s="28">
        <v>156</v>
      </c>
      <c r="H164" s="24">
        <f t="shared" si="20"/>
        <v>49614</v>
      </c>
      <c r="I164" s="21">
        <f t="shared" si="17"/>
        <v>28948.451432051683</v>
      </c>
      <c r="J164" s="20">
        <f t="shared" si="16"/>
        <v>36342.687700543443</v>
      </c>
      <c r="K164" s="21">
        <f t="shared" si="18"/>
        <v>6431973.8064423371</v>
      </c>
      <c r="L164" s="21">
        <f t="shared" si="19"/>
        <v>3018026.1935576638</v>
      </c>
    </row>
    <row r="165" spans="3:12" ht="18" x14ac:dyDescent="0.25">
      <c r="C165" s="27">
        <f t="shared" si="14"/>
        <v>2035</v>
      </c>
      <c r="D165" s="27">
        <f t="shared" si="15"/>
        <v>12</v>
      </c>
      <c r="E165" s="14"/>
      <c r="F165" s="26"/>
      <c r="G165" s="28">
        <v>157</v>
      </c>
      <c r="H165" s="24">
        <f t="shared" si="20"/>
        <v>49644</v>
      </c>
      <c r="I165" s="21">
        <f t="shared" si="17"/>
        <v>29111.28647135698</v>
      </c>
      <c r="J165" s="20">
        <f t="shared" si="16"/>
        <v>36179.852661238147</v>
      </c>
      <c r="K165" s="21">
        <f t="shared" si="18"/>
        <v>6402862.5199709805</v>
      </c>
      <c r="L165" s="21">
        <f t="shared" si="19"/>
        <v>3047137.4800290209</v>
      </c>
    </row>
    <row r="166" spans="3:12" ht="18" x14ac:dyDescent="0.25">
      <c r="C166" s="27">
        <f t="shared" si="14"/>
        <v>2036</v>
      </c>
      <c r="D166" s="27">
        <f t="shared" si="15"/>
        <v>1</v>
      </c>
      <c r="E166" s="14"/>
      <c r="F166" s="26"/>
      <c r="G166" s="28">
        <v>158</v>
      </c>
      <c r="H166" s="24">
        <f t="shared" si="20"/>
        <v>49675</v>
      </c>
      <c r="I166" s="21">
        <f t="shared" si="17"/>
        <v>29275.037457758357</v>
      </c>
      <c r="J166" s="20">
        <f t="shared" si="16"/>
        <v>36016.101674836769</v>
      </c>
      <c r="K166" s="21">
        <f t="shared" si="18"/>
        <v>6373587.4825132219</v>
      </c>
      <c r="L166" s="21">
        <f t="shared" si="19"/>
        <v>3076412.5174867795</v>
      </c>
    </row>
    <row r="167" spans="3:12" ht="18" x14ac:dyDescent="0.25">
      <c r="C167" s="27">
        <f t="shared" si="14"/>
        <v>2036</v>
      </c>
      <c r="D167" s="27">
        <f t="shared" si="15"/>
        <v>2</v>
      </c>
      <c r="E167" s="14"/>
      <c r="F167" s="26"/>
      <c r="G167" s="28">
        <v>159</v>
      </c>
      <c r="H167" s="24">
        <f t="shared" si="20"/>
        <v>49706</v>
      </c>
      <c r="I167" s="21">
        <f t="shared" si="17"/>
        <v>29439.709543458252</v>
      </c>
      <c r="J167" s="20">
        <f t="shared" si="16"/>
        <v>35851.429589136875</v>
      </c>
      <c r="K167" s="21">
        <f t="shared" si="18"/>
        <v>6344147.7729697637</v>
      </c>
      <c r="L167" s="21">
        <f t="shared" si="19"/>
        <v>3105852.2270302377</v>
      </c>
    </row>
    <row r="168" spans="3:12" ht="18" x14ac:dyDescent="0.25">
      <c r="C168" s="27">
        <f t="shared" si="14"/>
        <v>2036</v>
      </c>
      <c r="D168" s="27">
        <f t="shared" si="15"/>
        <v>3</v>
      </c>
      <c r="E168" s="14"/>
      <c r="F168" s="26"/>
      <c r="G168" s="28">
        <v>160</v>
      </c>
      <c r="H168" s="24">
        <f t="shared" si="20"/>
        <v>49735</v>
      </c>
      <c r="I168" s="21">
        <f t="shared" si="17"/>
        <v>29605.3079096402</v>
      </c>
      <c r="J168" s="20">
        <f t="shared" si="16"/>
        <v>35685.831222954926</v>
      </c>
      <c r="K168" s="21">
        <f t="shared" si="18"/>
        <v>6314542.4650601232</v>
      </c>
      <c r="L168" s="21">
        <f t="shared" si="19"/>
        <v>3135457.5349398777</v>
      </c>
    </row>
    <row r="169" spans="3:12" ht="18" x14ac:dyDescent="0.25">
      <c r="C169" s="27">
        <f t="shared" si="14"/>
        <v>2036</v>
      </c>
      <c r="D169" s="27">
        <f t="shared" si="15"/>
        <v>4</v>
      </c>
      <c r="E169" s="14"/>
      <c r="F169" s="26"/>
      <c r="G169" s="28">
        <v>161</v>
      </c>
      <c r="H169" s="24">
        <f t="shared" si="20"/>
        <v>49766</v>
      </c>
      <c r="I169" s="21">
        <f t="shared" si="17"/>
        <v>29771.837766631928</v>
      </c>
      <c r="J169" s="20">
        <f t="shared" si="16"/>
        <v>35519.301365963198</v>
      </c>
      <c r="K169" s="21">
        <f t="shared" si="18"/>
        <v>6284770.6272934917</v>
      </c>
      <c r="L169" s="21">
        <f t="shared" si="19"/>
        <v>3165229.3727065097</v>
      </c>
    </row>
    <row r="170" spans="3:12" ht="18" x14ac:dyDescent="0.25">
      <c r="C170" s="27">
        <f t="shared" si="14"/>
        <v>2036</v>
      </c>
      <c r="D170" s="27">
        <f t="shared" si="15"/>
        <v>5</v>
      </c>
      <c r="E170" s="14"/>
      <c r="F170" s="26"/>
      <c r="G170" s="28">
        <v>162</v>
      </c>
      <c r="H170" s="24">
        <f t="shared" si="20"/>
        <v>49796</v>
      </c>
      <c r="I170" s="21">
        <f t="shared" si="17"/>
        <v>29939.304354069231</v>
      </c>
      <c r="J170" s="20">
        <f t="shared" si="16"/>
        <v>35351.834778525896</v>
      </c>
      <c r="K170" s="21">
        <f t="shared" si="18"/>
        <v>6254831.3229394229</v>
      </c>
      <c r="L170" s="21">
        <f t="shared" si="19"/>
        <v>3195168.6770605789</v>
      </c>
    </row>
    <row r="171" spans="3:12" ht="18" x14ac:dyDescent="0.25">
      <c r="C171" s="27">
        <f t="shared" si="14"/>
        <v>2036</v>
      </c>
      <c r="D171" s="27">
        <f t="shared" si="15"/>
        <v>6</v>
      </c>
      <c r="E171" s="14"/>
      <c r="F171" s="26"/>
      <c r="G171" s="28">
        <v>163</v>
      </c>
      <c r="H171" s="24">
        <f t="shared" si="20"/>
        <v>49827</v>
      </c>
      <c r="I171" s="21">
        <f t="shared" si="17"/>
        <v>30107.712941060869</v>
      </c>
      <c r="J171" s="20">
        <f t="shared" si="16"/>
        <v>35183.426191534258</v>
      </c>
      <c r="K171" s="21">
        <f t="shared" si="18"/>
        <v>6224723.6099983621</v>
      </c>
      <c r="L171" s="21">
        <f t="shared" si="19"/>
        <v>3225276.3900016397</v>
      </c>
    </row>
    <row r="172" spans="3:12" ht="18" x14ac:dyDescent="0.25">
      <c r="C172" s="27">
        <f t="shared" si="14"/>
        <v>2036</v>
      </c>
      <c r="D172" s="27">
        <f t="shared" si="15"/>
        <v>7</v>
      </c>
      <c r="E172" s="14"/>
      <c r="F172" s="26"/>
      <c r="G172" s="28">
        <v>164</v>
      </c>
      <c r="H172" s="24">
        <f t="shared" si="20"/>
        <v>49857</v>
      </c>
      <c r="I172" s="21">
        <f t="shared" si="17"/>
        <v>30277.068826354334</v>
      </c>
      <c r="J172" s="20">
        <f t="shared" si="16"/>
        <v>35014.070306240792</v>
      </c>
      <c r="K172" s="21">
        <f t="shared" si="18"/>
        <v>6194446.541172008</v>
      </c>
      <c r="L172" s="21">
        <f t="shared" si="19"/>
        <v>3255553.4588279938</v>
      </c>
    </row>
    <row r="173" spans="3:12" ht="18" x14ac:dyDescent="0.25">
      <c r="C173" s="27">
        <f t="shared" si="14"/>
        <v>2036</v>
      </c>
      <c r="D173" s="27">
        <f t="shared" si="15"/>
        <v>8</v>
      </c>
      <c r="E173" s="14"/>
      <c r="F173" s="26"/>
      <c r="G173" s="28">
        <v>165</v>
      </c>
      <c r="H173" s="24">
        <f t="shared" si="20"/>
        <v>49888</v>
      </c>
      <c r="I173" s="21">
        <f t="shared" si="17"/>
        <v>30447.377338502578</v>
      </c>
      <c r="J173" s="20">
        <f t="shared" si="16"/>
        <v>34843.761794092548</v>
      </c>
      <c r="K173" s="21">
        <f t="shared" si="18"/>
        <v>6163999.1638335055</v>
      </c>
      <c r="L173" s="21">
        <f t="shared" si="19"/>
        <v>3286000.8361664964</v>
      </c>
    </row>
    <row r="174" spans="3:12" ht="18" x14ac:dyDescent="0.25">
      <c r="C174" s="27">
        <f t="shared" si="14"/>
        <v>2036</v>
      </c>
      <c r="D174" s="27">
        <f t="shared" si="15"/>
        <v>9</v>
      </c>
      <c r="E174" s="14"/>
      <c r="F174" s="26"/>
      <c r="G174" s="28">
        <v>166</v>
      </c>
      <c r="H174" s="24">
        <f t="shared" si="20"/>
        <v>49919</v>
      </c>
      <c r="I174" s="21">
        <f t="shared" si="17"/>
        <v>30618.643836031653</v>
      </c>
      <c r="J174" s="20">
        <f t="shared" si="16"/>
        <v>34672.495296563473</v>
      </c>
      <c r="K174" s="21">
        <f t="shared" si="18"/>
        <v>6133380.5199974738</v>
      </c>
      <c r="L174" s="21">
        <f t="shared" si="19"/>
        <v>3316619.4800025281</v>
      </c>
    </row>
    <row r="175" spans="3:12" ht="18" x14ac:dyDescent="0.25">
      <c r="C175" s="27">
        <f t="shared" si="14"/>
        <v>2036</v>
      </c>
      <c r="D175" s="27">
        <f t="shared" si="15"/>
        <v>10</v>
      </c>
      <c r="E175" s="14"/>
      <c r="F175" s="26"/>
      <c r="G175" s="28">
        <v>167</v>
      </c>
      <c r="H175" s="24">
        <f t="shared" si="20"/>
        <v>49949</v>
      </c>
      <c r="I175" s="21">
        <f t="shared" si="17"/>
        <v>30790.873707609331</v>
      </c>
      <c r="J175" s="20">
        <f t="shared" si="16"/>
        <v>34500.265424985795</v>
      </c>
      <c r="K175" s="21">
        <f t="shared" si="18"/>
        <v>6102589.6462898646</v>
      </c>
      <c r="L175" s="21">
        <f t="shared" si="19"/>
        <v>3347410.3537101373</v>
      </c>
    </row>
    <row r="176" spans="3:12" ht="18" x14ac:dyDescent="0.25">
      <c r="C176" s="27">
        <f t="shared" si="14"/>
        <v>2036</v>
      </c>
      <c r="D176" s="27">
        <f t="shared" si="15"/>
        <v>11</v>
      </c>
      <c r="E176" s="14"/>
      <c r="F176" s="26"/>
      <c r="G176" s="28">
        <v>168</v>
      </c>
      <c r="H176" s="24">
        <f t="shared" si="20"/>
        <v>49980</v>
      </c>
      <c r="I176" s="21">
        <f t="shared" si="17"/>
        <v>30964.072372214636</v>
      </c>
      <c r="J176" s="20">
        <f t="shared" si="16"/>
        <v>34327.06676038049</v>
      </c>
      <c r="K176" s="21">
        <f t="shared" si="18"/>
        <v>6071625.5739176497</v>
      </c>
      <c r="L176" s="21">
        <f t="shared" si="19"/>
        <v>3378374.4260823522</v>
      </c>
    </row>
    <row r="177" spans="3:12" ht="18" x14ac:dyDescent="0.25">
      <c r="C177" s="27">
        <f t="shared" si="14"/>
        <v>2036</v>
      </c>
      <c r="D177" s="27">
        <f t="shared" si="15"/>
        <v>12</v>
      </c>
      <c r="E177" s="14"/>
      <c r="F177" s="26"/>
      <c r="G177" s="28">
        <v>169</v>
      </c>
      <c r="H177" s="24">
        <f t="shared" si="20"/>
        <v>50010</v>
      </c>
      <c r="I177" s="21">
        <f t="shared" si="17"/>
        <v>31138.245279308343</v>
      </c>
      <c r="J177" s="20">
        <f t="shared" si="16"/>
        <v>34152.893853286783</v>
      </c>
      <c r="K177" s="21">
        <f t="shared" si="18"/>
        <v>6040487.3286383413</v>
      </c>
      <c r="L177" s="21">
        <f t="shared" si="19"/>
        <v>3409512.6713616606</v>
      </c>
    </row>
    <row r="178" spans="3:12" ht="18" x14ac:dyDescent="0.25">
      <c r="C178" s="27">
        <f t="shared" si="14"/>
        <v>2037</v>
      </c>
      <c r="D178" s="27">
        <f t="shared" si="15"/>
        <v>1</v>
      </c>
      <c r="E178" s="14"/>
      <c r="F178" s="26"/>
      <c r="G178" s="28">
        <v>170</v>
      </c>
      <c r="H178" s="24">
        <f t="shared" si="20"/>
        <v>50041</v>
      </c>
      <c r="I178" s="21">
        <f t="shared" si="17"/>
        <v>31313.397909004452</v>
      </c>
      <c r="J178" s="20">
        <f t="shared" si="16"/>
        <v>33977.741223590674</v>
      </c>
      <c r="K178" s="21">
        <f t="shared" si="18"/>
        <v>6009173.930729337</v>
      </c>
      <c r="L178" s="21">
        <f t="shared" si="19"/>
        <v>3440826.0692706648</v>
      </c>
    </row>
    <row r="179" spans="3:12" ht="18" x14ac:dyDescent="0.25">
      <c r="C179" s="27">
        <f t="shared" si="14"/>
        <v>2037</v>
      </c>
      <c r="D179" s="27">
        <f t="shared" si="15"/>
        <v>2</v>
      </c>
      <c r="E179" s="14"/>
      <c r="F179" s="26"/>
      <c r="G179" s="28">
        <v>171</v>
      </c>
      <c r="H179" s="24">
        <f t="shared" si="20"/>
        <v>50072</v>
      </c>
      <c r="I179" s="21">
        <f t="shared" si="17"/>
        <v>31489.535772242605</v>
      </c>
      <c r="J179" s="20">
        <f t="shared" si="16"/>
        <v>33801.603360352521</v>
      </c>
      <c r="K179" s="21">
        <f t="shared" si="18"/>
        <v>5977684.3949570945</v>
      </c>
      <c r="L179" s="21">
        <f t="shared" si="19"/>
        <v>3472315.6050429074</v>
      </c>
    </row>
    <row r="180" spans="3:12" ht="18" x14ac:dyDescent="0.25">
      <c r="C180" s="27">
        <f t="shared" si="14"/>
        <v>2037</v>
      </c>
      <c r="D180" s="27">
        <f t="shared" si="15"/>
        <v>3</v>
      </c>
      <c r="E180" s="14"/>
      <c r="F180" s="26"/>
      <c r="G180" s="28">
        <v>172</v>
      </c>
      <c r="H180" s="24">
        <f t="shared" si="20"/>
        <v>50100</v>
      </c>
      <c r="I180" s="21">
        <f t="shared" si="17"/>
        <v>31666.664410961464</v>
      </c>
      <c r="J180" s="20">
        <f t="shared" si="16"/>
        <v>33624.474721633662</v>
      </c>
      <c r="K180" s="21">
        <f t="shared" si="18"/>
        <v>5946017.7305461327</v>
      </c>
      <c r="L180" s="21">
        <f t="shared" si="19"/>
        <v>3503982.2694538687</v>
      </c>
    </row>
    <row r="181" spans="3:12" ht="18" x14ac:dyDescent="0.25">
      <c r="C181" s="27">
        <f t="shared" si="14"/>
        <v>2037</v>
      </c>
      <c r="D181" s="27">
        <f t="shared" si="15"/>
        <v>4</v>
      </c>
      <c r="E181" s="14"/>
      <c r="F181" s="26"/>
      <c r="G181" s="28">
        <v>173</v>
      </c>
      <c r="H181" s="24">
        <f t="shared" si="20"/>
        <v>50131</v>
      </c>
      <c r="I181" s="21">
        <f t="shared" si="17"/>
        <v>31844.789398273126</v>
      </c>
      <c r="J181" s="20">
        <f t="shared" si="16"/>
        <v>33446.349734322001</v>
      </c>
      <c r="K181" s="21">
        <f t="shared" si="18"/>
        <v>5914172.9411478592</v>
      </c>
      <c r="L181" s="21">
        <f t="shared" si="19"/>
        <v>3535827.0588521417</v>
      </c>
    </row>
    <row r="182" spans="3:12" ht="18" x14ac:dyDescent="0.25">
      <c r="C182" s="27">
        <f t="shared" si="14"/>
        <v>2037</v>
      </c>
      <c r="D182" s="27">
        <f t="shared" si="15"/>
        <v>5</v>
      </c>
      <c r="E182" s="14"/>
      <c r="F182" s="26"/>
      <c r="G182" s="28">
        <v>174</v>
      </c>
      <c r="H182" s="24">
        <f t="shared" si="20"/>
        <v>50161</v>
      </c>
      <c r="I182" s="21">
        <f t="shared" si="17"/>
        <v>32023.916338638417</v>
      </c>
      <c r="J182" s="20">
        <f t="shared" si="16"/>
        <v>33267.222793956709</v>
      </c>
      <c r="K182" s="21">
        <f t="shared" si="18"/>
        <v>5882149.0248092208</v>
      </c>
      <c r="L182" s="21">
        <f t="shared" si="19"/>
        <v>3567850.9751907801</v>
      </c>
    </row>
    <row r="183" spans="3:12" ht="18" x14ac:dyDescent="0.25">
      <c r="C183" s="27">
        <f t="shared" si="14"/>
        <v>2037</v>
      </c>
      <c r="D183" s="27">
        <f t="shared" si="15"/>
        <v>6</v>
      </c>
      <c r="E183" s="14"/>
      <c r="F183" s="26"/>
      <c r="G183" s="28">
        <v>175</v>
      </c>
      <c r="H183" s="24">
        <f t="shared" si="20"/>
        <v>50192</v>
      </c>
      <c r="I183" s="21">
        <f t="shared" si="17"/>
        <v>32204.050868043261</v>
      </c>
      <c r="J183" s="20">
        <f t="shared" si="16"/>
        <v>33087.088264551865</v>
      </c>
      <c r="K183" s="21">
        <f t="shared" si="18"/>
        <v>5849944.9739411771</v>
      </c>
      <c r="L183" s="21">
        <f t="shared" si="19"/>
        <v>3600055.0260588233</v>
      </c>
    </row>
    <row r="184" spans="3:12" ht="18" x14ac:dyDescent="0.25">
      <c r="C184" s="27">
        <f t="shared" si="14"/>
        <v>2037</v>
      </c>
      <c r="D184" s="27">
        <f t="shared" si="15"/>
        <v>7</v>
      </c>
      <c r="E184" s="14"/>
      <c r="F184" s="26"/>
      <c r="G184" s="28">
        <v>176</v>
      </c>
      <c r="H184" s="24">
        <f t="shared" si="20"/>
        <v>50222</v>
      </c>
      <c r="I184" s="21">
        <f t="shared" si="17"/>
        <v>32385.198654176005</v>
      </c>
      <c r="J184" s="20">
        <f t="shared" si="16"/>
        <v>32905.940478419121</v>
      </c>
      <c r="K184" s="21">
        <f t="shared" si="18"/>
        <v>5817559.7752870014</v>
      </c>
      <c r="L184" s="21">
        <f t="shared" si="19"/>
        <v>3632440.2247129995</v>
      </c>
    </row>
    <row r="185" spans="3:12" ht="18" x14ac:dyDescent="0.25">
      <c r="C185" s="27">
        <f t="shared" si="14"/>
        <v>2037</v>
      </c>
      <c r="D185" s="27">
        <f t="shared" si="15"/>
        <v>8</v>
      </c>
      <c r="E185" s="14"/>
      <c r="F185" s="26"/>
      <c r="G185" s="28">
        <v>177</v>
      </c>
      <c r="H185" s="24">
        <f t="shared" si="20"/>
        <v>50253</v>
      </c>
      <c r="I185" s="21">
        <f t="shared" si="17"/>
        <v>32567.365396605743</v>
      </c>
      <c r="J185" s="20">
        <f t="shared" si="16"/>
        <v>32723.773735989384</v>
      </c>
      <c r="K185" s="21">
        <f t="shared" si="18"/>
        <v>5784992.4098903956</v>
      </c>
      <c r="L185" s="21">
        <f t="shared" si="19"/>
        <v>3665007.5901096053</v>
      </c>
    </row>
    <row r="186" spans="3:12" ht="18" x14ac:dyDescent="0.25">
      <c r="C186" s="27">
        <f t="shared" si="14"/>
        <v>2037</v>
      </c>
      <c r="D186" s="27">
        <f t="shared" si="15"/>
        <v>9</v>
      </c>
      <c r="E186" s="14"/>
      <c r="F186" s="26"/>
      <c r="G186" s="28">
        <v>178</v>
      </c>
      <c r="H186" s="24">
        <f t="shared" si="20"/>
        <v>50284</v>
      </c>
      <c r="I186" s="21">
        <f t="shared" si="17"/>
        <v>32750.556826961649</v>
      </c>
      <c r="J186" s="20">
        <f t="shared" si="16"/>
        <v>32540.582305633478</v>
      </c>
      <c r="K186" s="21">
        <f t="shared" si="18"/>
        <v>5752241.8530634344</v>
      </c>
      <c r="L186" s="21">
        <f t="shared" si="19"/>
        <v>3697758.146936567</v>
      </c>
    </row>
    <row r="187" spans="3:12" ht="18" x14ac:dyDescent="0.25">
      <c r="C187" s="27">
        <f t="shared" si="14"/>
        <v>2037</v>
      </c>
      <c r="D187" s="27">
        <f t="shared" si="15"/>
        <v>10</v>
      </c>
      <c r="E187" s="14"/>
      <c r="F187" s="26"/>
      <c r="G187" s="28">
        <v>179</v>
      </c>
      <c r="H187" s="24">
        <f t="shared" si="20"/>
        <v>50314</v>
      </c>
      <c r="I187" s="21">
        <f t="shared" si="17"/>
        <v>32934.778709113307</v>
      </c>
      <c r="J187" s="20">
        <f t="shared" si="16"/>
        <v>32356.360423481819</v>
      </c>
      <c r="K187" s="21">
        <f t="shared" si="18"/>
        <v>5719307.0743543208</v>
      </c>
      <c r="L187" s="21">
        <f t="shared" si="19"/>
        <v>3730692.9256456802</v>
      </c>
    </row>
    <row r="188" spans="3:12" ht="18" x14ac:dyDescent="0.25">
      <c r="C188" s="27">
        <f t="shared" si="14"/>
        <v>2037</v>
      </c>
      <c r="D188" s="27">
        <f t="shared" si="15"/>
        <v>11</v>
      </c>
      <c r="E188" s="14"/>
      <c r="F188" s="26"/>
      <c r="G188" s="28">
        <v>180</v>
      </c>
      <c r="H188" s="24">
        <f t="shared" si="20"/>
        <v>50345</v>
      </c>
      <c r="I188" s="21">
        <f t="shared" si="17"/>
        <v>33120.036839352077</v>
      </c>
      <c r="J188" s="20">
        <f t="shared" si="16"/>
        <v>32171.102293243053</v>
      </c>
      <c r="K188" s="21">
        <f t="shared" si="18"/>
        <v>5686187.0375149688</v>
      </c>
      <c r="L188" s="21">
        <f t="shared" si="19"/>
        <v>3763812.9624850322</v>
      </c>
    </row>
    <row r="189" spans="3:12" ht="18" x14ac:dyDescent="0.25">
      <c r="C189" s="27">
        <f t="shared" si="14"/>
        <v>2037</v>
      </c>
      <c r="D189" s="27">
        <f t="shared" si="15"/>
        <v>12</v>
      </c>
      <c r="E189" s="14"/>
      <c r="F189" s="26"/>
      <c r="G189" s="28">
        <v>181</v>
      </c>
      <c r="H189" s="24">
        <f t="shared" si="20"/>
        <v>50375</v>
      </c>
      <c r="I189" s="21">
        <f t="shared" si="17"/>
        <v>33306.337046573419</v>
      </c>
      <c r="J189" s="20">
        <f t="shared" si="16"/>
        <v>31984.802086021704</v>
      </c>
      <c r="K189" s="21">
        <f t="shared" si="18"/>
        <v>5652880.7004683949</v>
      </c>
      <c r="L189" s="21">
        <f t="shared" si="19"/>
        <v>3797119.2995316056</v>
      </c>
    </row>
    <row r="190" spans="3:12" ht="18" x14ac:dyDescent="0.25">
      <c r="C190" s="27">
        <f t="shared" si="14"/>
        <v>2038</v>
      </c>
      <c r="D190" s="27">
        <f t="shared" si="15"/>
        <v>1</v>
      </c>
      <c r="E190" s="14"/>
      <c r="F190" s="26"/>
      <c r="G190" s="28">
        <v>182</v>
      </c>
      <c r="H190" s="24">
        <f t="shared" si="20"/>
        <v>50406</v>
      </c>
      <c r="I190" s="21">
        <f t="shared" si="17"/>
        <v>33493.685192460398</v>
      </c>
      <c r="J190" s="20">
        <f t="shared" si="16"/>
        <v>31797.453940134725</v>
      </c>
      <c r="K190" s="21">
        <f t="shared" si="18"/>
        <v>5619387.0152759347</v>
      </c>
      <c r="L190" s="21">
        <f t="shared" si="19"/>
        <v>3830612.9847240658</v>
      </c>
    </row>
    <row r="191" spans="3:12" ht="18" x14ac:dyDescent="0.25">
      <c r="C191" s="27">
        <f t="shared" si="14"/>
        <v>2038</v>
      </c>
      <c r="D191" s="27">
        <f t="shared" si="15"/>
        <v>2</v>
      </c>
      <c r="E191" s="14"/>
      <c r="F191" s="26"/>
      <c r="G191" s="28">
        <v>183</v>
      </c>
      <c r="H191" s="24">
        <f t="shared" si="20"/>
        <v>50437</v>
      </c>
      <c r="I191" s="21">
        <f t="shared" si="17"/>
        <v>33682.087171667998</v>
      </c>
      <c r="J191" s="20">
        <f t="shared" si="16"/>
        <v>31609.051960927132</v>
      </c>
      <c r="K191" s="21">
        <f t="shared" si="18"/>
        <v>5585704.9281042665</v>
      </c>
      <c r="L191" s="21">
        <f t="shared" si="19"/>
        <v>3864295.0718957339</v>
      </c>
    </row>
    <row r="192" spans="3:12" ht="18" x14ac:dyDescent="0.25">
      <c r="C192" s="27">
        <f t="shared" si="14"/>
        <v>2038</v>
      </c>
      <c r="D192" s="27">
        <f t="shared" si="15"/>
        <v>3</v>
      </c>
      <c r="E192" s="14"/>
      <c r="F192" s="26"/>
      <c r="G192" s="28">
        <v>184</v>
      </c>
      <c r="H192" s="24">
        <f t="shared" si="20"/>
        <v>50465</v>
      </c>
      <c r="I192" s="21">
        <f t="shared" si="17"/>
        <v>33871.548912008628</v>
      </c>
      <c r="J192" s="20">
        <f t="shared" si="16"/>
        <v>31419.590220586502</v>
      </c>
      <c r="K192" s="21">
        <f t="shared" si="18"/>
        <v>5551833.3791922582</v>
      </c>
      <c r="L192" s="21">
        <f t="shared" si="19"/>
        <v>3898166.6208077427</v>
      </c>
    </row>
    <row r="193" spans="3:12" ht="18" x14ac:dyDescent="0.25">
      <c r="C193" s="27">
        <f t="shared" si="14"/>
        <v>2038</v>
      </c>
      <c r="D193" s="27">
        <f t="shared" si="15"/>
        <v>4</v>
      </c>
      <c r="E193" s="14"/>
      <c r="F193" s="26"/>
      <c r="G193" s="28">
        <v>185</v>
      </c>
      <c r="H193" s="24">
        <f t="shared" si="20"/>
        <v>50496</v>
      </c>
      <c r="I193" s="21">
        <f t="shared" si="17"/>
        <v>34062.076374638666</v>
      </c>
      <c r="J193" s="20">
        <f t="shared" si="16"/>
        <v>31229.062757956457</v>
      </c>
      <c r="K193" s="21">
        <f t="shared" si="18"/>
        <v>5517771.3028176194</v>
      </c>
      <c r="L193" s="21">
        <f t="shared" si="19"/>
        <v>3932228.6971823815</v>
      </c>
    </row>
    <row r="194" spans="3:12" ht="18" x14ac:dyDescent="0.25">
      <c r="C194" s="27">
        <f t="shared" si="14"/>
        <v>2038</v>
      </c>
      <c r="D194" s="27">
        <f t="shared" si="15"/>
        <v>5</v>
      </c>
      <c r="E194" s="14"/>
      <c r="F194" s="26"/>
      <c r="G194" s="28">
        <v>186</v>
      </c>
      <c r="H194" s="24">
        <f t="shared" si="20"/>
        <v>50526</v>
      </c>
      <c r="I194" s="21">
        <f t="shared" si="17"/>
        <v>34253.675554246016</v>
      </c>
      <c r="J194" s="20">
        <f t="shared" si="16"/>
        <v>31037.46357834911</v>
      </c>
      <c r="K194" s="21">
        <f t="shared" si="18"/>
        <v>5483517.6272633737</v>
      </c>
      <c r="L194" s="21">
        <f t="shared" si="19"/>
        <v>3966482.3727366277</v>
      </c>
    </row>
    <row r="195" spans="3:12" ht="18" x14ac:dyDescent="0.25">
      <c r="C195" s="27">
        <f t="shared" si="14"/>
        <v>2038</v>
      </c>
      <c r="D195" s="27">
        <f t="shared" si="15"/>
        <v>6</v>
      </c>
      <c r="E195" s="14"/>
      <c r="F195" s="26"/>
      <c r="G195" s="28">
        <v>187</v>
      </c>
      <c r="H195" s="24">
        <f t="shared" si="20"/>
        <v>50557</v>
      </c>
      <c r="I195" s="21">
        <f t="shared" si="17"/>
        <v>34446.352479238645</v>
      </c>
      <c r="J195" s="20">
        <f t="shared" si="16"/>
        <v>30844.786653356481</v>
      </c>
      <c r="K195" s="21">
        <f t="shared" si="18"/>
        <v>5449071.2747841347</v>
      </c>
      <c r="L195" s="21">
        <f t="shared" si="19"/>
        <v>4000928.7252158662</v>
      </c>
    </row>
    <row r="196" spans="3:12" ht="18" x14ac:dyDescent="0.25">
      <c r="C196" s="27">
        <f t="shared" si="14"/>
        <v>2038</v>
      </c>
      <c r="D196" s="27">
        <f t="shared" si="15"/>
        <v>7</v>
      </c>
      <c r="E196" s="14"/>
      <c r="F196" s="26"/>
      <c r="G196" s="28">
        <v>188</v>
      </c>
      <c r="H196" s="24">
        <f t="shared" si="20"/>
        <v>50587</v>
      </c>
      <c r="I196" s="21">
        <f t="shared" si="17"/>
        <v>34640.113211934367</v>
      </c>
      <c r="J196" s="20">
        <f t="shared" si="16"/>
        <v>30651.025920660759</v>
      </c>
      <c r="K196" s="21">
        <f t="shared" si="18"/>
        <v>5414431.1615722002</v>
      </c>
      <c r="L196" s="21">
        <f t="shared" si="19"/>
        <v>4035568.8384278007</v>
      </c>
    </row>
    <row r="197" spans="3:12" ht="18" x14ac:dyDescent="0.25">
      <c r="C197" s="27">
        <f t="shared" si="14"/>
        <v>2038</v>
      </c>
      <c r="D197" s="27">
        <f t="shared" si="15"/>
        <v>8</v>
      </c>
      <c r="E197" s="14"/>
      <c r="F197" s="26"/>
      <c r="G197" s="28">
        <v>189</v>
      </c>
      <c r="H197" s="24">
        <f t="shared" si="20"/>
        <v>50618</v>
      </c>
      <c r="I197" s="21">
        <f t="shared" si="17"/>
        <v>34834.963848751504</v>
      </c>
      <c r="J197" s="20">
        <f t="shared" si="16"/>
        <v>30456.175283843626</v>
      </c>
      <c r="K197" s="21">
        <f t="shared" si="18"/>
        <v>5379596.1977234483</v>
      </c>
      <c r="L197" s="21">
        <f t="shared" si="19"/>
        <v>4070403.8022765522</v>
      </c>
    </row>
    <row r="198" spans="3:12" ht="18" x14ac:dyDescent="0.25">
      <c r="C198" s="27">
        <f t="shared" si="14"/>
        <v>2038</v>
      </c>
      <c r="D198" s="27">
        <f t="shared" si="15"/>
        <v>9</v>
      </c>
      <c r="E198" s="14"/>
      <c r="F198" s="26"/>
      <c r="G198" s="28">
        <v>190</v>
      </c>
      <c r="H198" s="24">
        <f t="shared" si="20"/>
        <v>50649</v>
      </c>
      <c r="I198" s="21">
        <f t="shared" si="17"/>
        <v>35030.910520400721</v>
      </c>
      <c r="J198" s="20">
        <f t="shared" si="16"/>
        <v>30260.228612194402</v>
      </c>
      <c r="K198" s="21">
        <f t="shared" si="18"/>
        <v>5344565.2872030474</v>
      </c>
      <c r="L198" s="21">
        <f t="shared" si="19"/>
        <v>4105434.712796953</v>
      </c>
    </row>
    <row r="199" spans="3:12" ht="18" x14ac:dyDescent="0.25">
      <c r="C199" s="27">
        <f t="shared" si="14"/>
        <v>2038</v>
      </c>
      <c r="D199" s="27">
        <f t="shared" si="15"/>
        <v>10</v>
      </c>
      <c r="E199" s="14"/>
      <c r="F199" s="26"/>
      <c r="G199" s="28">
        <v>191</v>
      </c>
      <c r="H199" s="24">
        <f t="shared" si="20"/>
        <v>50679</v>
      </c>
      <c r="I199" s="21">
        <f t="shared" si="17"/>
        <v>35227.959392077988</v>
      </c>
      <c r="J199" s="20">
        <f t="shared" si="16"/>
        <v>30063.179740517142</v>
      </c>
      <c r="K199" s="21">
        <f t="shared" si="18"/>
        <v>5309337.3278109692</v>
      </c>
      <c r="L199" s="21">
        <f t="shared" si="19"/>
        <v>4140662.6721890308</v>
      </c>
    </row>
    <row r="200" spans="3:12" ht="18" x14ac:dyDescent="0.25">
      <c r="C200" s="27">
        <f t="shared" si="14"/>
        <v>2038</v>
      </c>
      <c r="D200" s="27">
        <f t="shared" si="15"/>
        <v>11</v>
      </c>
      <c r="E200" s="14"/>
      <c r="F200" s="26"/>
      <c r="G200" s="28">
        <v>192</v>
      </c>
      <c r="H200" s="24">
        <f t="shared" si="20"/>
        <v>50710</v>
      </c>
      <c r="I200" s="21">
        <f t="shared" si="17"/>
        <v>35426.116663658424</v>
      </c>
      <c r="J200" s="20">
        <f t="shared" si="16"/>
        <v>29865.022468936702</v>
      </c>
      <c r="K200" s="21">
        <f t="shared" si="18"/>
        <v>5273911.2111473111</v>
      </c>
      <c r="L200" s="21">
        <f t="shared" si="19"/>
        <v>4176088.7888526893</v>
      </c>
    </row>
    <row r="201" spans="3:12" ht="18" x14ac:dyDescent="0.25">
      <c r="C201" s="27">
        <f t="shared" ref="C201:C264" si="21">YEAR(H201)</f>
        <v>2038</v>
      </c>
      <c r="D201" s="27">
        <f t="shared" ref="D201:D264" si="22">MONTH(H201)</f>
        <v>12</v>
      </c>
      <c r="E201" s="14"/>
      <c r="F201" s="26"/>
      <c r="G201" s="28">
        <v>193</v>
      </c>
      <c r="H201" s="24">
        <f t="shared" si="20"/>
        <v>50740</v>
      </c>
      <c r="I201" s="21">
        <f t="shared" si="17"/>
        <v>35625.388569891496</v>
      </c>
      <c r="J201" s="20">
        <f t="shared" ref="J201:J264" si="23">(K200*$D$4/12)</f>
        <v>29665.750562703626</v>
      </c>
      <c r="K201" s="21">
        <f t="shared" si="18"/>
        <v>5238285.8225774197</v>
      </c>
      <c r="L201" s="21">
        <f t="shared" si="19"/>
        <v>4211714.1774225812</v>
      </c>
    </row>
    <row r="202" spans="3:12" ht="18" x14ac:dyDescent="0.25">
      <c r="C202" s="27">
        <f t="shared" si="21"/>
        <v>2039</v>
      </c>
      <c r="D202" s="27">
        <f t="shared" si="22"/>
        <v>1</v>
      </c>
      <c r="E202" s="14"/>
      <c r="F202" s="26"/>
      <c r="G202" s="28">
        <v>194</v>
      </c>
      <c r="H202" s="24">
        <f t="shared" si="20"/>
        <v>50771</v>
      </c>
      <c r="I202" s="21">
        <f t="shared" ref="I202:I265" si="24">$G$8-J202</f>
        <v>35825.781380597138</v>
      </c>
      <c r="J202" s="20">
        <f t="shared" si="23"/>
        <v>29465.357751997988</v>
      </c>
      <c r="K202" s="21">
        <f t="shared" ref="K202:K265" si="25">K201-I202</f>
        <v>5202460.0411968222</v>
      </c>
      <c r="L202" s="21">
        <f t="shared" ref="L202:L265" si="26">I202+L201</f>
        <v>4247539.9588031787</v>
      </c>
    </row>
    <row r="203" spans="3:12" ht="18" x14ac:dyDescent="0.25">
      <c r="C203" s="27">
        <f t="shared" si="21"/>
        <v>2039</v>
      </c>
      <c r="D203" s="27">
        <f t="shared" si="22"/>
        <v>2</v>
      </c>
      <c r="E203" s="14"/>
      <c r="F203" s="26"/>
      <c r="G203" s="28">
        <v>195</v>
      </c>
      <c r="H203" s="24">
        <f t="shared" si="20"/>
        <v>50802</v>
      </c>
      <c r="I203" s="21">
        <f t="shared" si="24"/>
        <v>36027.301400862998</v>
      </c>
      <c r="J203" s="20">
        <f t="shared" si="23"/>
        <v>29263.837731732128</v>
      </c>
      <c r="K203" s="21">
        <f t="shared" si="25"/>
        <v>5166432.7397959596</v>
      </c>
      <c r="L203" s="21">
        <f t="shared" si="26"/>
        <v>4283567.2602040414</v>
      </c>
    </row>
    <row r="204" spans="3:12" ht="18" x14ac:dyDescent="0.25">
      <c r="C204" s="27">
        <f t="shared" si="21"/>
        <v>2039</v>
      </c>
      <c r="D204" s="27">
        <f t="shared" si="22"/>
        <v>3</v>
      </c>
      <c r="E204" s="14"/>
      <c r="F204" s="26"/>
      <c r="G204" s="28">
        <v>196</v>
      </c>
      <c r="H204" s="24">
        <f t="shared" si="20"/>
        <v>50830</v>
      </c>
      <c r="I204" s="21">
        <f t="shared" si="24"/>
        <v>36229.954971242856</v>
      </c>
      <c r="J204" s="20">
        <f t="shared" si="23"/>
        <v>29061.184161352274</v>
      </c>
      <c r="K204" s="21">
        <f t="shared" si="25"/>
        <v>5130202.7848247169</v>
      </c>
      <c r="L204" s="21">
        <f t="shared" si="26"/>
        <v>4319797.2151752841</v>
      </c>
    </row>
    <row r="205" spans="3:12" ht="18" x14ac:dyDescent="0.25">
      <c r="C205" s="27">
        <f t="shared" si="21"/>
        <v>2039</v>
      </c>
      <c r="D205" s="27">
        <f t="shared" si="22"/>
        <v>4</v>
      </c>
      <c r="E205" s="14"/>
      <c r="F205" s="26"/>
      <c r="G205" s="28">
        <v>197</v>
      </c>
      <c r="H205" s="24">
        <f t="shared" si="20"/>
        <v>50861</v>
      </c>
      <c r="I205" s="21">
        <f t="shared" si="24"/>
        <v>36433.748467956088</v>
      </c>
      <c r="J205" s="20">
        <f t="shared" si="23"/>
        <v>28857.390664639035</v>
      </c>
      <c r="K205" s="21">
        <f t="shared" si="25"/>
        <v>5093769.0363567611</v>
      </c>
      <c r="L205" s="21">
        <f t="shared" si="26"/>
        <v>4356230.9636432398</v>
      </c>
    </row>
    <row r="206" spans="3:12" ht="18" x14ac:dyDescent="0.25">
      <c r="C206" s="27">
        <f t="shared" si="21"/>
        <v>2039</v>
      </c>
      <c r="D206" s="27">
        <f t="shared" si="22"/>
        <v>5</v>
      </c>
      <c r="E206" s="14"/>
      <c r="F206" s="26"/>
      <c r="G206" s="28">
        <v>198</v>
      </c>
      <c r="H206" s="24">
        <f t="shared" si="20"/>
        <v>50891</v>
      </c>
      <c r="I206" s="21">
        <f t="shared" si="24"/>
        <v>36638.688303088347</v>
      </c>
      <c r="J206" s="20">
        <f t="shared" si="23"/>
        <v>28652.450829506783</v>
      </c>
      <c r="K206" s="21">
        <f t="shared" si="25"/>
        <v>5057130.3480536724</v>
      </c>
      <c r="L206" s="21">
        <f t="shared" si="26"/>
        <v>4392869.6519463286</v>
      </c>
    </row>
    <row r="207" spans="3:12" ht="18" x14ac:dyDescent="0.25">
      <c r="C207" s="27">
        <f t="shared" si="21"/>
        <v>2039</v>
      </c>
      <c r="D207" s="27">
        <f t="shared" si="22"/>
        <v>6</v>
      </c>
      <c r="E207" s="14"/>
      <c r="F207" s="26"/>
      <c r="G207" s="28">
        <v>199</v>
      </c>
      <c r="H207" s="24">
        <f t="shared" ref="H207:H270" si="27">IF(D206=12,DATEVALUE(CONCATENATE("1/1/",C206+1)),DATEVALUE(CONCATENATE(D206+1,"/1/",C206)))</f>
        <v>50922</v>
      </c>
      <c r="I207" s="21">
        <f t="shared" si="24"/>
        <v>36844.780924793216</v>
      </c>
      <c r="J207" s="20">
        <f t="shared" si="23"/>
        <v>28446.35820780191</v>
      </c>
      <c r="K207" s="21">
        <f t="shared" si="25"/>
        <v>5020285.567128879</v>
      </c>
      <c r="L207" s="21">
        <f t="shared" si="26"/>
        <v>4429714.4328711219</v>
      </c>
    </row>
    <row r="208" spans="3:12" ht="18" x14ac:dyDescent="0.25">
      <c r="C208" s="27">
        <f t="shared" si="21"/>
        <v>2039</v>
      </c>
      <c r="D208" s="27">
        <f t="shared" si="22"/>
        <v>7</v>
      </c>
      <c r="E208" s="14"/>
      <c r="F208" s="26"/>
      <c r="G208" s="28">
        <v>200</v>
      </c>
      <c r="H208" s="24">
        <f t="shared" si="27"/>
        <v>50952</v>
      </c>
      <c r="I208" s="21">
        <f t="shared" si="24"/>
        <v>37052.032817495186</v>
      </c>
      <c r="J208" s="20">
        <f t="shared" si="23"/>
        <v>28239.106315099943</v>
      </c>
      <c r="K208" s="21">
        <f t="shared" si="25"/>
        <v>4983233.534311384</v>
      </c>
      <c r="L208" s="21">
        <f t="shared" si="26"/>
        <v>4466766.465688617</v>
      </c>
    </row>
    <row r="209" spans="3:12" ht="18" x14ac:dyDescent="0.25">
      <c r="C209" s="27">
        <f t="shared" si="21"/>
        <v>2039</v>
      </c>
      <c r="D209" s="27">
        <f t="shared" si="22"/>
        <v>8</v>
      </c>
      <c r="E209" s="14"/>
      <c r="F209" s="26"/>
      <c r="G209" s="28">
        <v>201</v>
      </c>
      <c r="H209" s="24">
        <f t="shared" si="27"/>
        <v>50983</v>
      </c>
      <c r="I209" s="21">
        <f t="shared" si="24"/>
        <v>37260.45050209359</v>
      </c>
      <c r="J209" s="20">
        <f t="shared" si="23"/>
        <v>28030.688630501536</v>
      </c>
      <c r="K209" s="21">
        <f t="shared" si="25"/>
        <v>4945973.0838092901</v>
      </c>
      <c r="L209" s="21">
        <f t="shared" si="26"/>
        <v>4504026.9161907109</v>
      </c>
    </row>
    <row r="210" spans="3:12" ht="18" x14ac:dyDescent="0.25">
      <c r="C210" s="27">
        <f t="shared" si="21"/>
        <v>2039</v>
      </c>
      <c r="D210" s="27">
        <f t="shared" si="22"/>
        <v>9</v>
      </c>
      <c r="E210" s="14"/>
      <c r="F210" s="26"/>
      <c r="G210" s="28">
        <v>202</v>
      </c>
      <c r="H210" s="24">
        <f t="shared" si="27"/>
        <v>51014</v>
      </c>
      <c r="I210" s="21">
        <f t="shared" si="24"/>
        <v>37470.040536167871</v>
      </c>
      <c r="J210" s="20">
        <f t="shared" si="23"/>
        <v>27821.098596427259</v>
      </c>
      <c r="K210" s="21">
        <f t="shared" si="25"/>
        <v>4908503.043273122</v>
      </c>
      <c r="L210" s="21">
        <f t="shared" si="26"/>
        <v>4541496.9567268789</v>
      </c>
    </row>
    <row r="211" spans="3:12" ht="18" x14ac:dyDescent="0.25">
      <c r="C211" s="27">
        <f t="shared" si="21"/>
        <v>2039</v>
      </c>
      <c r="D211" s="27">
        <f t="shared" si="22"/>
        <v>10</v>
      </c>
      <c r="E211" s="14"/>
      <c r="F211" s="26"/>
      <c r="G211" s="28">
        <v>203</v>
      </c>
      <c r="H211" s="24">
        <f t="shared" si="27"/>
        <v>51044</v>
      </c>
      <c r="I211" s="21">
        <f t="shared" si="24"/>
        <v>37680.809514183813</v>
      </c>
      <c r="J211" s="20">
        <f t="shared" si="23"/>
        <v>27610.329618411313</v>
      </c>
      <c r="K211" s="21">
        <f t="shared" si="25"/>
        <v>4870822.2337589385</v>
      </c>
      <c r="L211" s="21">
        <f t="shared" si="26"/>
        <v>4579177.7662410624</v>
      </c>
    </row>
    <row r="212" spans="3:12" ht="18" x14ac:dyDescent="0.25">
      <c r="C212" s="27">
        <f t="shared" si="21"/>
        <v>2039</v>
      </c>
      <c r="D212" s="27">
        <f t="shared" si="22"/>
        <v>11</v>
      </c>
      <c r="E212" s="14"/>
      <c r="F212" s="26"/>
      <c r="G212" s="28">
        <v>204</v>
      </c>
      <c r="H212" s="24">
        <f t="shared" si="27"/>
        <v>51075</v>
      </c>
      <c r="I212" s="21">
        <f t="shared" si="24"/>
        <v>37892.764067701093</v>
      </c>
      <c r="J212" s="20">
        <f t="shared" si="23"/>
        <v>27398.375064894033</v>
      </c>
      <c r="K212" s="21">
        <f t="shared" si="25"/>
        <v>4832929.4696912374</v>
      </c>
      <c r="L212" s="21">
        <f t="shared" si="26"/>
        <v>4617070.5303087635</v>
      </c>
    </row>
    <row r="213" spans="3:12" ht="18" x14ac:dyDescent="0.25">
      <c r="C213" s="27">
        <f t="shared" si="21"/>
        <v>2039</v>
      </c>
      <c r="D213" s="27">
        <f t="shared" si="22"/>
        <v>12</v>
      </c>
      <c r="E213" s="14"/>
      <c r="F213" s="26"/>
      <c r="G213" s="28">
        <v>205</v>
      </c>
      <c r="H213" s="24">
        <f t="shared" si="27"/>
        <v>51105</v>
      </c>
      <c r="I213" s="21">
        <f t="shared" si="24"/>
        <v>38105.910865581915</v>
      </c>
      <c r="J213" s="20">
        <f t="shared" si="23"/>
        <v>27185.228267013212</v>
      </c>
      <c r="K213" s="21">
        <f t="shared" si="25"/>
        <v>4794823.5588256558</v>
      </c>
      <c r="L213" s="21">
        <f t="shared" si="26"/>
        <v>4655176.4411743451</v>
      </c>
    </row>
    <row r="214" spans="3:12" ht="18" x14ac:dyDescent="0.25">
      <c r="C214" s="27">
        <f t="shared" si="21"/>
        <v>2040</v>
      </c>
      <c r="D214" s="27">
        <f t="shared" si="22"/>
        <v>1</v>
      </c>
      <c r="E214" s="14"/>
      <c r="F214" s="26"/>
      <c r="G214" s="28">
        <v>206</v>
      </c>
      <c r="H214" s="24">
        <f t="shared" si="27"/>
        <v>51136</v>
      </c>
      <c r="I214" s="21">
        <f t="shared" si="24"/>
        <v>38320.256614200815</v>
      </c>
      <c r="J214" s="20">
        <f t="shared" si="23"/>
        <v>26970.882518394315</v>
      </c>
      <c r="K214" s="21">
        <f t="shared" si="25"/>
        <v>4756503.3022114551</v>
      </c>
      <c r="L214" s="21">
        <f t="shared" si="26"/>
        <v>4693496.6977885459</v>
      </c>
    </row>
    <row r="215" spans="3:12" ht="18" x14ac:dyDescent="0.25">
      <c r="C215" s="27">
        <f t="shared" si="21"/>
        <v>2040</v>
      </c>
      <c r="D215" s="27">
        <f t="shared" si="22"/>
        <v>2</v>
      </c>
      <c r="E215" s="14"/>
      <c r="F215" s="26"/>
      <c r="G215" s="28">
        <v>207</v>
      </c>
      <c r="H215" s="24">
        <f t="shared" si="27"/>
        <v>51167</v>
      </c>
      <c r="I215" s="21">
        <f t="shared" si="24"/>
        <v>38535.808057655697</v>
      </c>
      <c r="J215" s="20">
        <f t="shared" si="23"/>
        <v>26755.331074939433</v>
      </c>
      <c r="K215" s="21">
        <f t="shared" si="25"/>
        <v>4717967.4941537995</v>
      </c>
      <c r="L215" s="21">
        <f t="shared" si="26"/>
        <v>4732032.5058462014</v>
      </c>
    </row>
    <row r="216" spans="3:12" ht="18" x14ac:dyDescent="0.25">
      <c r="C216" s="27">
        <f t="shared" si="21"/>
        <v>2040</v>
      </c>
      <c r="D216" s="27">
        <f t="shared" si="22"/>
        <v>3</v>
      </c>
      <c r="E216" s="14"/>
      <c r="F216" s="26"/>
      <c r="G216" s="28">
        <v>208</v>
      </c>
      <c r="H216" s="24">
        <f t="shared" si="27"/>
        <v>51196</v>
      </c>
      <c r="I216" s="21">
        <f t="shared" si="24"/>
        <v>38752.571977979998</v>
      </c>
      <c r="J216" s="20">
        <f t="shared" si="23"/>
        <v>26538.567154615124</v>
      </c>
      <c r="K216" s="21">
        <f t="shared" si="25"/>
        <v>4679214.9221758191</v>
      </c>
      <c r="L216" s="21">
        <f t="shared" si="26"/>
        <v>4770785.0778241819</v>
      </c>
    </row>
    <row r="217" spans="3:12" ht="18" x14ac:dyDescent="0.25">
      <c r="C217" s="27">
        <f t="shared" si="21"/>
        <v>2040</v>
      </c>
      <c r="D217" s="27">
        <f t="shared" si="22"/>
        <v>4</v>
      </c>
      <c r="E217" s="14"/>
      <c r="F217" s="26"/>
      <c r="G217" s="28">
        <v>209</v>
      </c>
      <c r="H217" s="24">
        <f t="shared" si="27"/>
        <v>51227</v>
      </c>
      <c r="I217" s="21">
        <f t="shared" si="24"/>
        <v>38970.555195356137</v>
      </c>
      <c r="J217" s="20">
        <f t="shared" si="23"/>
        <v>26320.583937238986</v>
      </c>
      <c r="K217" s="21">
        <f t="shared" si="25"/>
        <v>4640244.3669804633</v>
      </c>
      <c r="L217" s="21">
        <f t="shared" si="26"/>
        <v>4809755.6330195377</v>
      </c>
    </row>
    <row r="218" spans="3:12" ht="18" x14ac:dyDescent="0.25">
      <c r="C218" s="27">
        <f t="shared" si="21"/>
        <v>2040</v>
      </c>
      <c r="D218" s="27">
        <f t="shared" si="22"/>
        <v>5</v>
      </c>
      <c r="E218" s="14"/>
      <c r="F218" s="26"/>
      <c r="G218" s="28">
        <v>210</v>
      </c>
      <c r="H218" s="24">
        <f t="shared" si="27"/>
        <v>51257</v>
      </c>
      <c r="I218" s="21">
        <f t="shared" si="24"/>
        <v>39189.764568330022</v>
      </c>
      <c r="J218" s="20">
        <f t="shared" si="23"/>
        <v>26101.374564265108</v>
      </c>
      <c r="K218" s="21">
        <f t="shared" si="25"/>
        <v>4601054.6024121335</v>
      </c>
      <c r="L218" s="21">
        <f t="shared" si="26"/>
        <v>4848945.3975878675</v>
      </c>
    </row>
    <row r="219" spans="3:12" ht="18" x14ac:dyDescent="0.25">
      <c r="C219" s="27">
        <f t="shared" si="21"/>
        <v>2040</v>
      </c>
      <c r="D219" s="27">
        <f t="shared" si="22"/>
        <v>6</v>
      </c>
      <c r="E219" s="14"/>
      <c r="F219" s="26"/>
      <c r="G219" s="28">
        <v>211</v>
      </c>
      <c r="H219" s="24">
        <f t="shared" si="27"/>
        <v>51288</v>
      </c>
      <c r="I219" s="21">
        <f t="shared" si="24"/>
        <v>39410.20699402687</v>
      </c>
      <c r="J219" s="20">
        <f t="shared" si="23"/>
        <v>25880.932138568252</v>
      </c>
      <c r="K219" s="21">
        <f t="shared" si="25"/>
        <v>4561644.3954181066</v>
      </c>
      <c r="L219" s="21">
        <f t="shared" si="26"/>
        <v>4888355.6045818944</v>
      </c>
    </row>
    <row r="220" spans="3:12" ht="18" x14ac:dyDescent="0.25">
      <c r="C220" s="27">
        <f t="shared" si="21"/>
        <v>2040</v>
      </c>
      <c r="D220" s="27">
        <f t="shared" si="22"/>
        <v>7</v>
      </c>
      <c r="E220" s="14"/>
      <c r="F220" s="26"/>
      <c r="G220" s="28">
        <v>212</v>
      </c>
      <c r="H220" s="24">
        <f t="shared" si="27"/>
        <v>51318</v>
      </c>
      <c r="I220" s="21">
        <f t="shared" si="24"/>
        <v>39631.889408368268</v>
      </c>
      <c r="J220" s="20">
        <f t="shared" si="23"/>
        <v>25659.249724226855</v>
      </c>
      <c r="K220" s="21">
        <f t="shared" si="25"/>
        <v>4522012.506009738</v>
      </c>
      <c r="L220" s="21">
        <f t="shared" si="26"/>
        <v>4927987.493990263</v>
      </c>
    </row>
    <row r="221" spans="3:12" ht="18" x14ac:dyDescent="0.25">
      <c r="C221" s="27">
        <f t="shared" si="21"/>
        <v>2040</v>
      </c>
      <c r="D221" s="27">
        <f t="shared" si="22"/>
        <v>8</v>
      </c>
      <c r="E221" s="14"/>
      <c r="F221" s="26"/>
      <c r="G221" s="28">
        <v>213</v>
      </c>
      <c r="H221" s="24">
        <f t="shared" si="27"/>
        <v>51349</v>
      </c>
      <c r="I221" s="21">
        <f t="shared" si="24"/>
        <v>39854.818786290343</v>
      </c>
      <c r="J221" s="20">
        <f t="shared" si="23"/>
        <v>25436.320346304779</v>
      </c>
      <c r="K221" s="21">
        <f t="shared" si="25"/>
        <v>4482157.6872234475</v>
      </c>
      <c r="L221" s="21">
        <f t="shared" si="26"/>
        <v>4967842.3127765534</v>
      </c>
    </row>
    <row r="222" spans="3:12" ht="18" x14ac:dyDescent="0.25">
      <c r="C222" s="27">
        <f t="shared" si="21"/>
        <v>2040</v>
      </c>
      <c r="D222" s="27">
        <f t="shared" si="22"/>
        <v>9</v>
      </c>
      <c r="E222" s="14"/>
      <c r="F222" s="26"/>
      <c r="G222" s="28">
        <v>214</v>
      </c>
      <c r="H222" s="24">
        <f t="shared" si="27"/>
        <v>51380</v>
      </c>
      <c r="I222" s="21">
        <f t="shared" si="24"/>
        <v>40079.002141963239</v>
      </c>
      <c r="J222" s="20">
        <f t="shared" si="23"/>
        <v>25212.136990631891</v>
      </c>
      <c r="K222" s="21">
        <f t="shared" si="25"/>
        <v>4442078.6850814838</v>
      </c>
      <c r="L222" s="21">
        <f t="shared" si="26"/>
        <v>5007921.3149185171</v>
      </c>
    </row>
    <row r="223" spans="3:12" ht="18" x14ac:dyDescent="0.25">
      <c r="C223" s="27">
        <f t="shared" si="21"/>
        <v>2040</v>
      </c>
      <c r="D223" s="27">
        <f t="shared" si="22"/>
        <v>10</v>
      </c>
      <c r="E223" s="14"/>
      <c r="F223" s="26"/>
      <c r="G223" s="28">
        <v>215</v>
      </c>
      <c r="H223" s="24">
        <f t="shared" si="27"/>
        <v>51410</v>
      </c>
      <c r="I223" s="21">
        <f t="shared" si="24"/>
        <v>40304.446529011781</v>
      </c>
      <c r="J223" s="20">
        <f t="shared" si="23"/>
        <v>24986.692603583346</v>
      </c>
      <c r="K223" s="21">
        <f t="shared" si="25"/>
        <v>4401774.2385524716</v>
      </c>
      <c r="L223" s="21">
        <f t="shared" si="26"/>
        <v>5048225.7614475293</v>
      </c>
    </row>
    <row r="224" spans="3:12" ht="18" x14ac:dyDescent="0.25">
      <c r="C224" s="27">
        <f t="shared" si="21"/>
        <v>2040</v>
      </c>
      <c r="D224" s="27">
        <f t="shared" si="22"/>
        <v>11</v>
      </c>
      <c r="E224" s="14"/>
      <c r="F224" s="26"/>
      <c r="G224" s="28">
        <v>216</v>
      </c>
      <c r="H224" s="24">
        <f t="shared" si="27"/>
        <v>51441</v>
      </c>
      <c r="I224" s="21">
        <f t="shared" si="24"/>
        <v>40531.159040737475</v>
      </c>
      <c r="J224" s="20">
        <f t="shared" si="23"/>
        <v>24759.980091857655</v>
      </c>
      <c r="K224" s="21">
        <f t="shared" si="25"/>
        <v>4361243.0795117337</v>
      </c>
      <c r="L224" s="21">
        <f t="shared" si="26"/>
        <v>5088756.9204882672</v>
      </c>
    </row>
    <row r="225" spans="3:12" ht="18" x14ac:dyDescent="0.25">
      <c r="C225" s="27">
        <f t="shared" si="21"/>
        <v>2040</v>
      </c>
      <c r="D225" s="27">
        <f t="shared" si="22"/>
        <v>12</v>
      </c>
      <c r="E225" s="14"/>
      <c r="F225" s="26"/>
      <c r="G225" s="28">
        <v>217</v>
      </c>
      <c r="H225" s="24">
        <f t="shared" si="27"/>
        <v>51471</v>
      </c>
      <c r="I225" s="21">
        <f t="shared" si="24"/>
        <v>40759.146810341626</v>
      </c>
      <c r="J225" s="20">
        <f t="shared" si="23"/>
        <v>24531.992322253504</v>
      </c>
      <c r="K225" s="21">
        <f t="shared" si="25"/>
        <v>4320483.9327013921</v>
      </c>
      <c r="L225" s="21">
        <f t="shared" si="26"/>
        <v>5129516.0672986088</v>
      </c>
    </row>
    <row r="226" spans="3:12" ht="18" x14ac:dyDescent="0.25">
      <c r="C226" s="27">
        <f t="shared" si="21"/>
        <v>2041</v>
      </c>
      <c r="D226" s="27">
        <f t="shared" si="22"/>
        <v>1</v>
      </c>
      <c r="E226" s="14"/>
      <c r="F226" s="26"/>
      <c r="G226" s="28">
        <v>218</v>
      </c>
      <c r="H226" s="24">
        <f t="shared" si="27"/>
        <v>51502</v>
      </c>
      <c r="I226" s="21">
        <f t="shared" si="24"/>
        <v>40988.417011149795</v>
      </c>
      <c r="J226" s="20">
        <f t="shared" si="23"/>
        <v>24302.722121445331</v>
      </c>
      <c r="K226" s="21">
        <f t="shared" si="25"/>
        <v>4279495.5156902419</v>
      </c>
      <c r="L226" s="21">
        <f t="shared" si="26"/>
        <v>5170504.484309759</v>
      </c>
    </row>
    <row r="227" spans="3:12" ht="18" x14ac:dyDescent="0.25">
      <c r="C227" s="27">
        <f t="shared" si="21"/>
        <v>2041</v>
      </c>
      <c r="D227" s="27">
        <f t="shared" si="22"/>
        <v>2</v>
      </c>
      <c r="E227" s="14"/>
      <c r="F227" s="26"/>
      <c r="G227" s="28">
        <v>219</v>
      </c>
      <c r="H227" s="24">
        <f t="shared" si="27"/>
        <v>51533</v>
      </c>
      <c r="I227" s="21">
        <f t="shared" si="24"/>
        <v>41218.976856837515</v>
      </c>
      <c r="J227" s="20">
        <f t="shared" si="23"/>
        <v>24072.162275757611</v>
      </c>
      <c r="K227" s="21">
        <f t="shared" si="25"/>
        <v>4238276.538833404</v>
      </c>
      <c r="L227" s="21">
        <f t="shared" si="26"/>
        <v>5211723.461166596</v>
      </c>
    </row>
    <row r="228" spans="3:12" ht="18" x14ac:dyDescent="0.25">
      <c r="C228" s="27">
        <f t="shared" si="21"/>
        <v>2041</v>
      </c>
      <c r="D228" s="27">
        <f t="shared" si="22"/>
        <v>3</v>
      </c>
      <c r="E228" s="14"/>
      <c r="F228" s="26"/>
      <c r="G228" s="28">
        <v>220</v>
      </c>
      <c r="H228" s="24">
        <f t="shared" si="27"/>
        <v>51561</v>
      </c>
      <c r="I228" s="21">
        <f t="shared" si="24"/>
        <v>41450.833601657228</v>
      </c>
      <c r="J228" s="20">
        <f t="shared" si="23"/>
        <v>23840.305530937898</v>
      </c>
      <c r="K228" s="21">
        <f t="shared" si="25"/>
        <v>4196825.7052317467</v>
      </c>
      <c r="L228" s="21">
        <f t="shared" si="26"/>
        <v>5253174.2947682533</v>
      </c>
    </row>
    <row r="229" spans="3:12" ht="18" x14ac:dyDescent="0.25">
      <c r="C229" s="27">
        <f t="shared" si="21"/>
        <v>2041</v>
      </c>
      <c r="D229" s="27">
        <f t="shared" si="22"/>
        <v>4</v>
      </c>
      <c r="E229" s="14"/>
      <c r="F229" s="26"/>
      <c r="G229" s="28">
        <v>221</v>
      </c>
      <c r="H229" s="24">
        <f t="shared" si="27"/>
        <v>51592</v>
      </c>
      <c r="I229" s="21">
        <f t="shared" si="24"/>
        <v>41683.99454066655</v>
      </c>
      <c r="J229" s="20">
        <f t="shared" si="23"/>
        <v>23607.144591928576</v>
      </c>
      <c r="K229" s="21">
        <f t="shared" si="25"/>
        <v>4155141.71069108</v>
      </c>
      <c r="L229" s="21">
        <f t="shared" si="26"/>
        <v>5294858.2893089196</v>
      </c>
    </row>
    <row r="230" spans="3:12" ht="18" x14ac:dyDescent="0.25">
      <c r="C230" s="27">
        <f t="shared" si="21"/>
        <v>2041</v>
      </c>
      <c r="D230" s="27">
        <f t="shared" si="22"/>
        <v>5</v>
      </c>
      <c r="E230" s="14"/>
      <c r="F230" s="26"/>
      <c r="G230" s="28">
        <v>222</v>
      </c>
      <c r="H230" s="24">
        <f t="shared" si="27"/>
        <v>51622</v>
      </c>
      <c r="I230" s="21">
        <f t="shared" si="24"/>
        <v>41918.467009957807</v>
      </c>
      <c r="J230" s="20">
        <f t="shared" si="23"/>
        <v>23372.672122637323</v>
      </c>
      <c r="K230" s="21">
        <f t="shared" si="25"/>
        <v>4113223.2436811221</v>
      </c>
      <c r="L230" s="21">
        <f t="shared" si="26"/>
        <v>5336776.7563188775</v>
      </c>
    </row>
    <row r="231" spans="3:12" ht="18" x14ac:dyDescent="0.25">
      <c r="C231" s="27">
        <f t="shared" si="21"/>
        <v>2041</v>
      </c>
      <c r="D231" s="27">
        <f t="shared" si="22"/>
        <v>6</v>
      </c>
      <c r="E231" s="14"/>
      <c r="F231" s="26"/>
      <c r="G231" s="28">
        <v>223</v>
      </c>
      <c r="H231" s="24">
        <f t="shared" si="27"/>
        <v>51653</v>
      </c>
      <c r="I231" s="21">
        <f t="shared" si="24"/>
        <v>42154.258386888818</v>
      </c>
      <c r="J231" s="20">
        <f t="shared" si="23"/>
        <v>23136.880745706312</v>
      </c>
      <c r="K231" s="21">
        <f t="shared" si="25"/>
        <v>4071068.9852942331</v>
      </c>
      <c r="L231" s="21">
        <f t="shared" si="26"/>
        <v>5378931.014705766</v>
      </c>
    </row>
    <row r="232" spans="3:12" ht="18" x14ac:dyDescent="0.25">
      <c r="C232" s="27">
        <f t="shared" si="21"/>
        <v>2041</v>
      </c>
      <c r="D232" s="27">
        <f t="shared" si="22"/>
        <v>7</v>
      </c>
      <c r="E232" s="14"/>
      <c r="F232" s="26"/>
      <c r="G232" s="28">
        <v>224</v>
      </c>
      <c r="H232" s="24">
        <f t="shared" si="27"/>
        <v>51683</v>
      </c>
      <c r="I232" s="21">
        <f t="shared" si="24"/>
        <v>42391.376090315069</v>
      </c>
      <c r="J232" s="20">
        <f t="shared" si="23"/>
        <v>22899.763042280061</v>
      </c>
      <c r="K232" s="21">
        <f t="shared" si="25"/>
        <v>4028677.6092039179</v>
      </c>
      <c r="L232" s="21">
        <f t="shared" si="26"/>
        <v>5421322.3907960812</v>
      </c>
    </row>
    <row r="233" spans="3:12" ht="18" x14ac:dyDescent="0.25">
      <c r="C233" s="27">
        <f t="shared" si="21"/>
        <v>2041</v>
      </c>
      <c r="D233" s="27">
        <f t="shared" si="22"/>
        <v>8</v>
      </c>
      <c r="E233" s="14"/>
      <c r="F233" s="26"/>
      <c r="G233" s="28">
        <v>225</v>
      </c>
      <c r="H233" s="24">
        <f t="shared" si="27"/>
        <v>51714</v>
      </c>
      <c r="I233" s="21">
        <f t="shared" si="24"/>
        <v>42629.827580823083</v>
      </c>
      <c r="J233" s="20">
        <f t="shared" si="23"/>
        <v>22661.31155177204</v>
      </c>
      <c r="K233" s="21">
        <f t="shared" si="25"/>
        <v>3986047.7816230948</v>
      </c>
      <c r="L233" s="21">
        <f t="shared" si="26"/>
        <v>5463952.2183769038</v>
      </c>
    </row>
    <row r="234" spans="3:12" ht="18" x14ac:dyDescent="0.25">
      <c r="C234" s="27">
        <f t="shared" si="21"/>
        <v>2041</v>
      </c>
      <c r="D234" s="27">
        <f t="shared" si="22"/>
        <v>9</v>
      </c>
      <c r="E234" s="14"/>
      <c r="F234" s="26"/>
      <c r="G234" s="28">
        <v>226</v>
      </c>
      <c r="H234" s="24">
        <f t="shared" si="27"/>
        <v>51745</v>
      </c>
      <c r="I234" s="21">
        <f t="shared" si="24"/>
        <v>42869.620360965215</v>
      </c>
      <c r="J234" s="20">
        <f t="shared" si="23"/>
        <v>22421.518771629911</v>
      </c>
      <c r="K234" s="21">
        <f t="shared" si="25"/>
        <v>3943178.1612621294</v>
      </c>
      <c r="L234" s="21">
        <f t="shared" si="26"/>
        <v>5506821.8387378687</v>
      </c>
    </row>
    <row r="235" spans="3:12" ht="18" x14ac:dyDescent="0.25">
      <c r="C235" s="27">
        <f t="shared" si="21"/>
        <v>2041</v>
      </c>
      <c r="D235" s="27">
        <f t="shared" si="22"/>
        <v>10</v>
      </c>
      <c r="E235" s="14"/>
      <c r="F235" s="26"/>
      <c r="G235" s="28">
        <v>227</v>
      </c>
      <c r="H235" s="24">
        <f t="shared" si="27"/>
        <v>51775</v>
      </c>
      <c r="I235" s="21">
        <f t="shared" si="24"/>
        <v>43110.761975495639</v>
      </c>
      <c r="J235" s="20">
        <f t="shared" si="23"/>
        <v>22180.377157099483</v>
      </c>
      <c r="K235" s="21">
        <f t="shared" si="25"/>
        <v>3900067.3992866338</v>
      </c>
      <c r="L235" s="21">
        <f t="shared" si="26"/>
        <v>5549932.6007133648</v>
      </c>
    </row>
    <row r="236" spans="3:12" ht="18" x14ac:dyDescent="0.25">
      <c r="C236" s="27">
        <f t="shared" si="21"/>
        <v>2041</v>
      </c>
      <c r="D236" s="27">
        <f t="shared" si="22"/>
        <v>11</v>
      </c>
      <c r="E236" s="14"/>
      <c r="F236" s="26"/>
      <c r="G236" s="28">
        <v>228</v>
      </c>
      <c r="H236" s="24">
        <f t="shared" si="27"/>
        <v>51806</v>
      </c>
      <c r="I236" s="21">
        <f t="shared" si="24"/>
        <v>43353.26001160781</v>
      </c>
      <c r="J236" s="20">
        <f t="shared" si="23"/>
        <v>21937.879120987316</v>
      </c>
      <c r="K236" s="21">
        <f t="shared" si="25"/>
        <v>3856714.139275026</v>
      </c>
      <c r="L236" s="21">
        <f t="shared" si="26"/>
        <v>5593285.8607249726</v>
      </c>
    </row>
    <row r="237" spans="3:12" ht="18" x14ac:dyDescent="0.25">
      <c r="C237" s="27">
        <f t="shared" si="21"/>
        <v>2041</v>
      </c>
      <c r="D237" s="27">
        <f t="shared" si="22"/>
        <v>12</v>
      </c>
      <c r="E237" s="14"/>
      <c r="F237" s="26"/>
      <c r="G237" s="28">
        <v>229</v>
      </c>
      <c r="H237" s="24">
        <f t="shared" si="27"/>
        <v>51836</v>
      </c>
      <c r="I237" s="21">
        <f t="shared" si="24"/>
        <v>43597.122099173102</v>
      </c>
      <c r="J237" s="20">
        <f t="shared" si="23"/>
        <v>21694.017033422024</v>
      </c>
      <c r="K237" s="21">
        <f t="shared" si="25"/>
        <v>3813117.0171758528</v>
      </c>
      <c r="L237" s="21">
        <f t="shared" si="26"/>
        <v>5636882.9828241458</v>
      </c>
    </row>
    <row r="238" spans="3:12" ht="18" x14ac:dyDescent="0.25">
      <c r="C238" s="27">
        <f t="shared" si="21"/>
        <v>2042</v>
      </c>
      <c r="D238" s="27">
        <f t="shared" si="22"/>
        <v>1</v>
      </c>
      <c r="E238" s="14"/>
      <c r="F238" s="26"/>
      <c r="G238" s="28">
        <v>230</v>
      </c>
      <c r="H238" s="24">
        <f t="shared" si="27"/>
        <v>51867</v>
      </c>
      <c r="I238" s="21">
        <f t="shared" si="24"/>
        <v>43842.355910980958</v>
      </c>
      <c r="J238" s="20">
        <f t="shared" si="23"/>
        <v>21448.783221614172</v>
      </c>
      <c r="K238" s="21">
        <f t="shared" si="25"/>
        <v>3769274.6612648717</v>
      </c>
      <c r="L238" s="21">
        <f t="shared" si="26"/>
        <v>5680725.3387351269</v>
      </c>
    </row>
    <row r="239" spans="3:12" ht="18" x14ac:dyDescent="0.25">
      <c r="C239" s="27">
        <f t="shared" si="21"/>
        <v>2042</v>
      </c>
      <c r="D239" s="27">
        <f t="shared" si="22"/>
        <v>2</v>
      </c>
      <c r="E239" s="14"/>
      <c r="F239" s="26"/>
      <c r="G239" s="28">
        <v>231</v>
      </c>
      <c r="H239" s="24">
        <f t="shared" si="27"/>
        <v>51898</v>
      </c>
      <c r="I239" s="21">
        <f t="shared" si="24"/>
        <v>44088.969162980226</v>
      </c>
      <c r="J239" s="20">
        <f t="shared" si="23"/>
        <v>21202.169969614904</v>
      </c>
      <c r="K239" s="21">
        <f t="shared" si="25"/>
        <v>3725185.6921018916</v>
      </c>
      <c r="L239" s="21">
        <f t="shared" si="26"/>
        <v>5724814.307898107</v>
      </c>
    </row>
    <row r="240" spans="3:12" ht="18" x14ac:dyDescent="0.25">
      <c r="C240" s="27">
        <f t="shared" si="21"/>
        <v>2042</v>
      </c>
      <c r="D240" s="27">
        <f t="shared" si="22"/>
        <v>3</v>
      </c>
      <c r="E240" s="14"/>
      <c r="F240" s="26"/>
      <c r="G240" s="28">
        <v>232</v>
      </c>
      <c r="H240" s="24">
        <f t="shared" si="27"/>
        <v>51926</v>
      </c>
      <c r="I240" s="21">
        <f t="shared" si="24"/>
        <v>44336.969614521979</v>
      </c>
      <c r="J240" s="20">
        <f t="shared" si="23"/>
        <v>20954.169518073144</v>
      </c>
      <c r="K240" s="21">
        <f t="shared" si="25"/>
        <v>3680848.7224873696</v>
      </c>
      <c r="L240" s="21">
        <f t="shared" si="26"/>
        <v>5769151.2775126286</v>
      </c>
    </row>
    <row r="241" spans="3:12" ht="18" x14ac:dyDescent="0.25">
      <c r="C241" s="27">
        <f t="shared" si="21"/>
        <v>2042</v>
      </c>
      <c r="D241" s="27">
        <f t="shared" si="22"/>
        <v>4</v>
      </c>
      <c r="E241" s="14"/>
      <c r="F241" s="26"/>
      <c r="G241" s="28">
        <v>233</v>
      </c>
      <c r="H241" s="24">
        <f t="shared" si="27"/>
        <v>51957</v>
      </c>
      <c r="I241" s="21">
        <f t="shared" si="24"/>
        <v>44586.365068603671</v>
      </c>
      <c r="J241" s="20">
        <f t="shared" si="23"/>
        <v>20704.774063991455</v>
      </c>
      <c r="K241" s="21">
        <f t="shared" si="25"/>
        <v>3636262.3574187658</v>
      </c>
      <c r="L241" s="21">
        <f t="shared" si="26"/>
        <v>5813737.6425812319</v>
      </c>
    </row>
    <row r="242" spans="3:12" ht="18" x14ac:dyDescent="0.25">
      <c r="C242" s="27">
        <f t="shared" si="21"/>
        <v>2042</v>
      </c>
      <c r="D242" s="27">
        <f t="shared" si="22"/>
        <v>5</v>
      </c>
      <c r="E242" s="14"/>
      <c r="F242" s="26"/>
      <c r="G242" s="28">
        <v>234</v>
      </c>
      <c r="H242" s="24">
        <f t="shared" si="27"/>
        <v>51987</v>
      </c>
      <c r="I242" s="21">
        <f t="shared" si="24"/>
        <v>44837.163372114563</v>
      </c>
      <c r="J242" s="20">
        <f t="shared" si="23"/>
        <v>20453.97576048056</v>
      </c>
      <c r="K242" s="21">
        <f t="shared" si="25"/>
        <v>3591425.194046651</v>
      </c>
      <c r="L242" s="21">
        <f t="shared" si="26"/>
        <v>5858574.8059533462</v>
      </c>
    </row>
    <row r="243" spans="3:12" ht="18" x14ac:dyDescent="0.25">
      <c r="C243" s="27">
        <f t="shared" si="21"/>
        <v>2042</v>
      </c>
      <c r="D243" s="27">
        <f t="shared" si="22"/>
        <v>6</v>
      </c>
      <c r="E243" s="14"/>
      <c r="F243" s="26"/>
      <c r="G243" s="28">
        <v>235</v>
      </c>
      <c r="H243" s="24">
        <f t="shared" si="27"/>
        <v>52018</v>
      </c>
      <c r="I243" s="21">
        <f t="shared" si="24"/>
        <v>45089.372416082711</v>
      </c>
      <c r="J243" s="20">
        <f t="shared" si="23"/>
        <v>20201.766716512411</v>
      </c>
      <c r="K243" s="21">
        <f t="shared" si="25"/>
        <v>3546335.8216305682</v>
      </c>
      <c r="L243" s="21">
        <f t="shared" si="26"/>
        <v>5903664.178369429</v>
      </c>
    </row>
    <row r="244" spans="3:12" ht="18" x14ac:dyDescent="0.25">
      <c r="C244" s="27">
        <f t="shared" si="21"/>
        <v>2042</v>
      </c>
      <c r="D244" s="27">
        <f t="shared" si="22"/>
        <v>7</v>
      </c>
      <c r="E244" s="14"/>
      <c r="F244" s="26"/>
      <c r="G244" s="28">
        <v>236</v>
      </c>
      <c r="H244" s="24">
        <f t="shared" si="27"/>
        <v>52048</v>
      </c>
      <c r="I244" s="21">
        <f t="shared" si="24"/>
        <v>45343.000135923183</v>
      </c>
      <c r="J244" s="20">
        <f t="shared" si="23"/>
        <v>19948.138996671947</v>
      </c>
      <c r="K244" s="21">
        <f t="shared" si="25"/>
        <v>3500992.821494645</v>
      </c>
      <c r="L244" s="21">
        <f t="shared" si="26"/>
        <v>5949007.1785053518</v>
      </c>
    </row>
    <row r="245" spans="3:12" ht="18" x14ac:dyDescent="0.25">
      <c r="C245" s="27">
        <f t="shared" si="21"/>
        <v>2042</v>
      </c>
      <c r="D245" s="27">
        <f t="shared" si="22"/>
        <v>8</v>
      </c>
      <c r="E245" s="14"/>
      <c r="F245" s="26"/>
      <c r="G245" s="28">
        <v>237</v>
      </c>
      <c r="H245" s="24">
        <f t="shared" si="27"/>
        <v>52079</v>
      </c>
      <c r="I245" s="21">
        <f t="shared" si="24"/>
        <v>45598.054511687747</v>
      </c>
      <c r="J245" s="20">
        <f t="shared" si="23"/>
        <v>19693.084620907379</v>
      </c>
      <c r="K245" s="21">
        <f t="shared" si="25"/>
        <v>3455394.7669829573</v>
      </c>
      <c r="L245" s="21">
        <f t="shared" si="26"/>
        <v>5994605.2330170395</v>
      </c>
    </row>
    <row r="246" spans="3:12" ht="18" x14ac:dyDescent="0.25">
      <c r="C246" s="27">
        <f t="shared" si="21"/>
        <v>2042</v>
      </c>
      <c r="D246" s="27">
        <f t="shared" si="22"/>
        <v>9</v>
      </c>
      <c r="E246" s="14"/>
      <c r="F246" s="26"/>
      <c r="G246" s="28">
        <v>238</v>
      </c>
      <c r="H246" s="24">
        <f t="shared" si="27"/>
        <v>52110</v>
      </c>
      <c r="I246" s="21">
        <f t="shared" si="24"/>
        <v>45854.543568315989</v>
      </c>
      <c r="J246" s="20">
        <f t="shared" si="23"/>
        <v>19436.595564279134</v>
      </c>
      <c r="K246" s="21">
        <f t="shared" si="25"/>
        <v>3409540.2234146413</v>
      </c>
      <c r="L246" s="21">
        <f t="shared" si="26"/>
        <v>6040459.7765853554</v>
      </c>
    </row>
    <row r="247" spans="3:12" ht="18" x14ac:dyDescent="0.25">
      <c r="C247" s="27">
        <f t="shared" si="21"/>
        <v>2042</v>
      </c>
      <c r="D247" s="27">
        <f t="shared" si="22"/>
        <v>10</v>
      </c>
      <c r="E247" s="14"/>
      <c r="F247" s="26"/>
      <c r="G247" s="28">
        <v>239</v>
      </c>
      <c r="H247" s="24">
        <f t="shared" si="27"/>
        <v>52140</v>
      </c>
      <c r="I247" s="21">
        <f t="shared" si="24"/>
        <v>46112.475375887763</v>
      </c>
      <c r="J247" s="20">
        <f t="shared" si="23"/>
        <v>19178.663756707359</v>
      </c>
      <c r="K247" s="21">
        <f t="shared" si="25"/>
        <v>3363427.7480387534</v>
      </c>
      <c r="L247" s="21">
        <f t="shared" si="26"/>
        <v>6086572.2519612433</v>
      </c>
    </row>
    <row r="248" spans="3:12" ht="18" x14ac:dyDescent="0.25">
      <c r="C248" s="27">
        <f t="shared" si="21"/>
        <v>2042</v>
      </c>
      <c r="D248" s="27">
        <f t="shared" si="22"/>
        <v>11</v>
      </c>
      <c r="E248" s="14"/>
      <c r="F248" s="26"/>
      <c r="G248" s="28">
        <v>240</v>
      </c>
      <c r="H248" s="24">
        <f t="shared" si="27"/>
        <v>52171</v>
      </c>
      <c r="I248" s="21">
        <f t="shared" si="24"/>
        <v>46371.858049877133</v>
      </c>
      <c r="J248" s="20">
        <f t="shared" si="23"/>
        <v>18919.281082717989</v>
      </c>
      <c r="K248" s="21">
        <f t="shared" si="25"/>
        <v>3317055.8899888764</v>
      </c>
      <c r="L248" s="21">
        <f t="shared" si="26"/>
        <v>6132944.1100111203</v>
      </c>
    </row>
    <row r="249" spans="3:12" ht="18" x14ac:dyDescent="0.25">
      <c r="C249" s="27">
        <f t="shared" si="21"/>
        <v>2042</v>
      </c>
      <c r="D249" s="27">
        <f t="shared" si="22"/>
        <v>12</v>
      </c>
      <c r="E249" s="14"/>
      <c r="F249" s="26"/>
      <c r="G249" s="28">
        <v>241</v>
      </c>
      <c r="H249" s="24">
        <f t="shared" si="27"/>
        <v>52201</v>
      </c>
      <c r="I249" s="21">
        <f t="shared" si="24"/>
        <v>46632.699751407694</v>
      </c>
      <c r="J249" s="20">
        <f t="shared" si="23"/>
        <v>18658.439381187429</v>
      </c>
      <c r="K249" s="21">
        <f t="shared" si="25"/>
        <v>3270423.1902374686</v>
      </c>
      <c r="L249" s="21">
        <f t="shared" si="26"/>
        <v>6179576.8097625282</v>
      </c>
    </row>
    <row r="250" spans="3:12" ht="18" x14ac:dyDescent="0.25">
      <c r="C250" s="27">
        <f t="shared" si="21"/>
        <v>2043</v>
      </c>
      <c r="D250" s="27">
        <f t="shared" si="22"/>
        <v>1</v>
      </c>
      <c r="E250" s="14"/>
      <c r="F250" s="26"/>
      <c r="G250" s="28">
        <v>242</v>
      </c>
      <c r="H250" s="24">
        <f t="shared" si="27"/>
        <v>52232</v>
      </c>
      <c r="I250" s="21">
        <f t="shared" si="24"/>
        <v>46895.008687509369</v>
      </c>
      <c r="J250" s="20">
        <f t="shared" si="23"/>
        <v>18396.130445085761</v>
      </c>
      <c r="K250" s="21">
        <f t="shared" si="25"/>
        <v>3223528.1815499594</v>
      </c>
      <c r="L250" s="21">
        <f t="shared" si="26"/>
        <v>6226471.8184500374</v>
      </c>
    </row>
    <row r="251" spans="3:12" ht="18" x14ac:dyDescent="0.25">
      <c r="C251" s="27">
        <f t="shared" si="21"/>
        <v>2043</v>
      </c>
      <c r="D251" s="27">
        <f t="shared" si="22"/>
        <v>2</v>
      </c>
      <c r="E251" s="14"/>
      <c r="F251" s="26"/>
      <c r="G251" s="28">
        <v>243</v>
      </c>
      <c r="H251" s="24">
        <f t="shared" si="27"/>
        <v>52263</v>
      </c>
      <c r="I251" s="21">
        <f t="shared" si="24"/>
        <v>47158.793111376603</v>
      </c>
      <c r="J251" s="20">
        <f t="shared" si="23"/>
        <v>18132.346021218524</v>
      </c>
      <c r="K251" s="21">
        <f t="shared" si="25"/>
        <v>3176369.3884385829</v>
      </c>
      <c r="L251" s="21">
        <f t="shared" si="26"/>
        <v>6273630.6115614139</v>
      </c>
    </row>
    <row r="252" spans="3:12" ht="18" x14ac:dyDescent="0.25">
      <c r="C252" s="27">
        <f t="shared" si="21"/>
        <v>2043</v>
      </c>
      <c r="D252" s="27">
        <f t="shared" si="22"/>
        <v>3</v>
      </c>
      <c r="E252" s="14"/>
      <c r="F252" s="26"/>
      <c r="G252" s="28">
        <v>244</v>
      </c>
      <c r="H252" s="24">
        <f t="shared" si="27"/>
        <v>52291</v>
      </c>
      <c r="I252" s="21">
        <f t="shared" si="24"/>
        <v>47424.061322628098</v>
      </c>
      <c r="J252" s="20">
        <f t="shared" si="23"/>
        <v>17867.077809967031</v>
      </c>
      <c r="K252" s="21">
        <f t="shared" si="25"/>
        <v>3128945.3271159548</v>
      </c>
      <c r="L252" s="21">
        <f t="shared" si="26"/>
        <v>6321054.6728840424</v>
      </c>
    </row>
    <row r="253" spans="3:12" ht="18" x14ac:dyDescent="0.25">
      <c r="C253" s="27">
        <f t="shared" si="21"/>
        <v>2043</v>
      </c>
      <c r="D253" s="27">
        <f t="shared" si="22"/>
        <v>4</v>
      </c>
      <c r="E253" s="14"/>
      <c r="F253" s="26"/>
      <c r="G253" s="28">
        <v>245</v>
      </c>
      <c r="H253" s="24">
        <f t="shared" si="27"/>
        <v>52322</v>
      </c>
      <c r="I253" s="21">
        <f t="shared" si="24"/>
        <v>47690.821667567885</v>
      </c>
      <c r="J253" s="20">
        <f t="shared" si="23"/>
        <v>17600.317465027245</v>
      </c>
      <c r="K253" s="21">
        <f t="shared" si="25"/>
        <v>3081254.505448387</v>
      </c>
      <c r="L253" s="21">
        <f t="shared" si="26"/>
        <v>6368745.4945516102</v>
      </c>
    </row>
    <row r="254" spans="3:12" ht="18" x14ac:dyDescent="0.25">
      <c r="C254" s="27">
        <f t="shared" si="21"/>
        <v>2043</v>
      </c>
      <c r="D254" s="27">
        <f t="shared" si="22"/>
        <v>5</v>
      </c>
      <c r="E254" s="14"/>
      <c r="F254" s="26"/>
      <c r="G254" s="28">
        <v>246</v>
      </c>
      <c r="H254" s="24">
        <f t="shared" si="27"/>
        <v>52352</v>
      </c>
      <c r="I254" s="21">
        <f t="shared" si="24"/>
        <v>47959.082539447947</v>
      </c>
      <c r="J254" s="20">
        <f t="shared" si="23"/>
        <v>17332.056593147179</v>
      </c>
      <c r="K254" s="21">
        <f t="shared" si="25"/>
        <v>3033295.422908939</v>
      </c>
      <c r="L254" s="21">
        <f t="shared" si="26"/>
        <v>6416704.5770910578</v>
      </c>
    </row>
    <row r="255" spans="3:12" ht="18" x14ac:dyDescent="0.25">
      <c r="C255" s="27">
        <f t="shared" si="21"/>
        <v>2043</v>
      </c>
      <c r="D255" s="27">
        <f t="shared" si="22"/>
        <v>6</v>
      </c>
      <c r="E255" s="14"/>
      <c r="F255" s="26"/>
      <c r="G255" s="28">
        <v>247</v>
      </c>
      <c r="H255" s="24">
        <f t="shared" si="27"/>
        <v>52383</v>
      </c>
      <c r="I255" s="21">
        <f t="shared" si="24"/>
        <v>48228.852378732343</v>
      </c>
      <c r="J255" s="20">
        <f t="shared" si="23"/>
        <v>17062.286753862783</v>
      </c>
      <c r="K255" s="21">
        <f t="shared" si="25"/>
        <v>2985066.5705302064</v>
      </c>
      <c r="L255" s="21">
        <f t="shared" si="26"/>
        <v>6464933.4294697903</v>
      </c>
    </row>
    <row r="256" spans="3:12" ht="18" x14ac:dyDescent="0.25">
      <c r="C256" s="27">
        <f t="shared" si="21"/>
        <v>2043</v>
      </c>
      <c r="D256" s="27">
        <f t="shared" si="22"/>
        <v>7</v>
      </c>
      <c r="E256" s="14"/>
      <c r="F256" s="26"/>
      <c r="G256" s="28">
        <v>248</v>
      </c>
      <c r="H256" s="24">
        <f t="shared" si="27"/>
        <v>52413</v>
      </c>
      <c r="I256" s="21">
        <f t="shared" si="24"/>
        <v>48500.139673362719</v>
      </c>
      <c r="J256" s="20">
        <f t="shared" si="23"/>
        <v>16790.999459232411</v>
      </c>
      <c r="K256" s="21">
        <f t="shared" si="25"/>
        <v>2936566.4308568435</v>
      </c>
      <c r="L256" s="21">
        <f t="shared" si="26"/>
        <v>6513433.5691431528</v>
      </c>
    </row>
    <row r="257" spans="3:12" ht="18" x14ac:dyDescent="0.25">
      <c r="C257" s="27">
        <f t="shared" si="21"/>
        <v>2043</v>
      </c>
      <c r="D257" s="27">
        <f t="shared" si="22"/>
        <v>8</v>
      </c>
      <c r="E257" s="14"/>
      <c r="F257" s="26"/>
      <c r="G257" s="28">
        <v>249</v>
      </c>
      <c r="H257" s="24">
        <f t="shared" si="27"/>
        <v>52444</v>
      </c>
      <c r="I257" s="21">
        <f t="shared" si="24"/>
        <v>48772.952959025381</v>
      </c>
      <c r="J257" s="20">
        <f t="shared" si="23"/>
        <v>16518.186173569746</v>
      </c>
      <c r="K257" s="21">
        <f t="shared" si="25"/>
        <v>2887793.4778978182</v>
      </c>
      <c r="L257" s="21">
        <f t="shared" si="26"/>
        <v>6562206.5221021781</v>
      </c>
    </row>
    <row r="258" spans="3:12" ht="18" x14ac:dyDescent="0.25">
      <c r="C258" s="27">
        <f t="shared" si="21"/>
        <v>2043</v>
      </c>
      <c r="D258" s="27">
        <f t="shared" si="22"/>
        <v>9</v>
      </c>
      <c r="E258" s="14"/>
      <c r="F258" s="26"/>
      <c r="G258" s="28">
        <v>250</v>
      </c>
      <c r="H258" s="24">
        <f t="shared" si="27"/>
        <v>52475</v>
      </c>
      <c r="I258" s="21">
        <f t="shared" si="24"/>
        <v>49047.300819419899</v>
      </c>
      <c r="J258" s="20">
        <f t="shared" si="23"/>
        <v>16243.838313175229</v>
      </c>
      <c r="K258" s="21">
        <f t="shared" si="25"/>
        <v>2838746.1770783984</v>
      </c>
      <c r="L258" s="21">
        <f t="shared" si="26"/>
        <v>6611253.8229215983</v>
      </c>
    </row>
    <row r="259" spans="3:12" ht="18" x14ac:dyDescent="0.25">
      <c r="C259" s="27">
        <f t="shared" si="21"/>
        <v>2043</v>
      </c>
      <c r="D259" s="27">
        <f t="shared" si="22"/>
        <v>10</v>
      </c>
      <c r="E259" s="14"/>
      <c r="F259" s="26"/>
      <c r="G259" s="28">
        <v>251</v>
      </c>
      <c r="H259" s="24">
        <f t="shared" si="27"/>
        <v>52505</v>
      </c>
      <c r="I259" s="21">
        <f t="shared" si="24"/>
        <v>49323.191886529137</v>
      </c>
      <c r="J259" s="20">
        <f t="shared" si="23"/>
        <v>15967.947246065991</v>
      </c>
      <c r="K259" s="21">
        <f t="shared" si="25"/>
        <v>2789422.9851918691</v>
      </c>
      <c r="L259" s="21">
        <f t="shared" si="26"/>
        <v>6660577.0148081277</v>
      </c>
    </row>
    <row r="260" spans="3:12" ht="18" x14ac:dyDescent="0.25">
      <c r="C260" s="27">
        <f t="shared" si="21"/>
        <v>2043</v>
      </c>
      <c r="D260" s="27">
        <f t="shared" si="22"/>
        <v>11</v>
      </c>
      <c r="E260" s="14"/>
      <c r="F260" s="26"/>
      <c r="G260" s="28">
        <v>252</v>
      </c>
      <c r="H260" s="24">
        <f t="shared" si="27"/>
        <v>52536</v>
      </c>
      <c r="I260" s="21">
        <f t="shared" si="24"/>
        <v>49600.63484089086</v>
      </c>
      <c r="J260" s="20">
        <f t="shared" si="23"/>
        <v>15690.504291704265</v>
      </c>
      <c r="K260" s="21">
        <f t="shared" si="25"/>
        <v>2739822.3503509783</v>
      </c>
      <c r="L260" s="21">
        <f t="shared" si="26"/>
        <v>6710177.6496490184</v>
      </c>
    </row>
    <row r="261" spans="3:12" ht="18" x14ac:dyDescent="0.25">
      <c r="C261" s="27">
        <f t="shared" si="21"/>
        <v>2043</v>
      </c>
      <c r="D261" s="27">
        <f t="shared" si="22"/>
        <v>12</v>
      </c>
      <c r="E261" s="14"/>
      <c r="F261" s="26"/>
      <c r="G261" s="28">
        <v>253</v>
      </c>
      <c r="H261" s="24">
        <f t="shared" si="27"/>
        <v>52566</v>
      </c>
      <c r="I261" s="21">
        <f t="shared" si="24"/>
        <v>49879.638411870874</v>
      </c>
      <c r="J261" s="20">
        <f t="shared" si="23"/>
        <v>15411.500720724254</v>
      </c>
      <c r="K261" s="21">
        <f t="shared" si="25"/>
        <v>2689942.7119391076</v>
      </c>
      <c r="L261" s="21">
        <f t="shared" si="26"/>
        <v>6760057.2880608896</v>
      </c>
    </row>
    <row r="262" spans="3:12" ht="18" x14ac:dyDescent="0.25">
      <c r="C262" s="27">
        <f t="shared" si="21"/>
        <v>2044</v>
      </c>
      <c r="D262" s="27">
        <f t="shared" si="22"/>
        <v>1</v>
      </c>
      <c r="E262" s="14"/>
      <c r="F262" s="26"/>
      <c r="G262" s="28">
        <v>254</v>
      </c>
      <c r="H262" s="24">
        <f t="shared" si="27"/>
        <v>52597</v>
      </c>
      <c r="I262" s="21">
        <f t="shared" si="24"/>
        <v>50160.211377937645</v>
      </c>
      <c r="J262" s="20">
        <f t="shared" si="23"/>
        <v>15130.927754657481</v>
      </c>
      <c r="K262" s="21">
        <f t="shared" si="25"/>
        <v>2639782.5005611698</v>
      </c>
      <c r="L262" s="21">
        <f t="shared" si="26"/>
        <v>6810217.4994388269</v>
      </c>
    </row>
    <row r="263" spans="3:12" ht="18" x14ac:dyDescent="0.25">
      <c r="C263" s="27">
        <f t="shared" si="21"/>
        <v>2044</v>
      </c>
      <c r="D263" s="27">
        <f t="shared" si="22"/>
        <v>2</v>
      </c>
      <c r="E263" s="14"/>
      <c r="F263" s="26"/>
      <c r="G263" s="28">
        <v>255</v>
      </c>
      <c r="H263" s="24">
        <f t="shared" si="27"/>
        <v>52628</v>
      </c>
      <c r="I263" s="21">
        <f t="shared" si="24"/>
        <v>50442.362566938544</v>
      </c>
      <c r="J263" s="20">
        <f t="shared" si="23"/>
        <v>14848.776565656581</v>
      </c>
      <c r="K263" s="21">
        <f t="shared" si="25"/>
        <v>2589340.1379942312</v>
      </c>
      <c r="L263" s="21">
        <f t="shared" si="26"/>
        <v>6860659.8620057655</v>
      </c>
    </row>
    <row r="264" spans="3:12" ht="18" x14ac:dyDescent="0.25">
      <c r="C264" s="27">
        <f t="shared" si="21"/>
        <v>2044</v>
      </c>
      <c r="D264" s="27">
        <f t="shared" si="22"/>
        <v>3</v>
      </c>
      <c r="E264" s="14"/>
      <c r="F264" s="26"/>
      <c r="G264" s="28">
        <v>256</v>
      </c>
      <c r="H264" s="24">
        <f t="shared" si="27"/>
        <v>52657</v>
      </c>
      <c r="I264" s="21">
        <f t="shared" si="24"/>
        <v>50726.100856377576</v>
      </c>
      <c r="J264" s="20">
        <f t="shared" si="23"/>
        <v>14565.03827621755</v>
      </c>
      <c r="K264" s="21">
        <f t="shared" si="25"/>
        <v>2538614.0371378534</v>
      </c>
      <c r="L264" s="21">
        <f t="shared" si="26"/>
        <v>6911385.9628621433</v>
      </c>
    </row>
    <row r="265" spans="3:12" ht="18" x14ac:dyDescent="0.25">
      <c r="C265" s="27">
        <f t="shared" ref="C265:C328" si="28">YEAR(H265)</f>
        <v>2044</v>
      </c>
      <c r="D265" s="27">
        <f t="shared" ref="D265:D328" si="29">MONTH(H265)</f>
        <v>4</v>
      </c>
      <c r="E265" s="14"/>
      <c r="F265" s="26"/>
      <c r="G265" s="28">
        <v>257</v>
      </c>
      <c r="H265" s="24">
        <f t="shared" si="27"/>
        <v>52688</v>
      </c>
      <c r="I265" s="21">
        <f t="shared" si="24"/>
        <v>51011.435173694699</v>
      </c>
      <c r="J265" s="20">
        <f t="shared" ref="J265:J328" si="30">(K264*$D$4/12)</f>
        <v>14279.703958900427</v>
      </c>
      <c r="K265" s="21">
        <f t="shared" si="25"/>
        <v>2487602.6019641589</v>
      </c>
      <c r="L265" s="21">
        <f t="shared" si="26"/>
        <v>6962397.3980358383</v>
      </c>
    </row>
    <row r="266" spans="3:12" ht="18" x14ac:dyDescent="0.25">
      <c r="C266" s="27">
        <f t="shared" si="28"/>
        <v>2044</v>
      </c>
      <c r="D266" s="27">
        <f t="shared" si="29"/>
        <v>5</v>
      </c>
      <c r="E266" s="14"/>
      <c r="F266" s="26"/>
      <c r="G266" s="28">
        <v>258</v>
      </c>
      <c r="H266" s="24">
        <f t="shared" si="27"/>
        <v>52718</v>
      </c>
      <c r="I266" s="21">
        <f t="shared" ref="I266:I329" si="31">$G$8-J266</f>
        <v>51298.374496546734</v>
      </c>
      <c r="J266" s="20">
        <f t="shared" si="30"/>
        <v>13992.764636048394</v>
      </c>
      <c r="K266" s="21">
        <f t="shared" ref="K266:K329" si="32">K265-I266</f>
        <v>2436304.2274676124</v>
      </c>
      <c r="L266" s="21">
        <f t="shared" ref="L266:L329" si="33">I266+L265</f>
        <v>7013695.7725323848</v>
      </c>
    </row>
    <row r="267" spans="3:12" ht="18" x14ac:dyDescent="0.25">
      <c r="C267" s="27">
        <f t="shared" si="28"/>
        <v>2044</v>
      </c>
      <c r="D267" s="27">
        <f t="shared" si="29"/>
        <v>6</v>
      </c>
      <c r="E267" s="14"/>
      <c r="F267" s="26"/>
      <c r="G267" s="28">
        <v>259</v>
      </c>
      <c r="H267" s="24">
        <f t="shared" si="27"/>
        <v>52749</v>
      </c>
      <c r="I267" s="21">
        <f t="shared" si="31"/>
        <v>51586.927853089808</v>
      </c>
      <c r="J267" s="20">
        <f t="shared" si="30"/>
        <v>13704.21127950532</v>
      </c>
      <c r="K267" s="21">
        <f t="shared" si="32"/>
        <v>2384717.2996145226</v>
      </c>
      <c r="L267" s="21">
        <f t="shared" si="33"/>
        <v>7065282.7003854746</v>
      </c>
    </row>
    <row r="268" spans="3:12" ht="18" x14ac:dyDescent="0.25">
      <c r="C268" s="27">
        <f t="shared" si="28"/>
        <v>2044</v>
      </c>
      <c r="D268" s="27">
        <f t="shared" si="29"/>
        <v>7</v>
      </c>
      <c r="E268" s="14"/>
      <c r="F268" s="26"/>
      <c r="G268" s="28">
        <v>260</v>
      </c>
      <c r="H268" s="24">
        <f t="shared" si="27"/>
        <v>52779</v>
      </c>
      <c r="I268" s="21">
        <f t="shared" si="31"/>
        <v>51877.104322263433</v>
      </c>
      <c r="J268" s="20">
        <f t="shared" si="30"/>
        <v>13414.034810331692</v>
      </c>
      <c r="K268" s="21">
        <f t="shared" si="32"/>
        <v>2332840.1952922591</v>
      </c>
      <c r="L268" s="21">
        <f t="shared" si="33"/>
        <v>7117159.8047077376</v>
      </c>
    </row>
    <row r="269" spans="3:12" ht="18" x14ac:dyDescent="0.25">
      <c r="C269" s="27">
        <f t="shared" si="28"/>
        <v>2044</v>
      </c>
      <c r="D269" s="27">
        <f t="shared" si="29"/>
        <v>8</v>
      </c>
      <c r="E269" s="14"/>
      <c r="F269" s="26"/>
      <c r="G269" s="28">
        <v>261</v>
      </c>
      <c r="H269" s="24">
        <f t="shared" si="27"/>
        <v>52810</v>
      </c>
      <c r="I269" s="21">
        <f t="shared" si="31"/>
        <v>52168.913034076169</v>
      </c>
      <c r="J269" s="20">
        <f t="shared" si="30"/>
        <v>13122.226098518959</v>
      </c>
      <c r="K269" s="21">
        <f t="shared" si="32"/>
        <v>2280671.2822581828</v>
      </c>
      <c r="L269" s="21">
        <f t="shared" si="33"/>
        <v>7169328.7177418135</v>
      </c>
    </row>
    <row r="270" spans="3:12" ht="18" x14ac:dyDescent="0.25">
      <c r="C270" s="27">
        <f t="shared" si="28"/>
        <v>2044</v>
      </c>
      <c r="D270" s="27">
        <f t="shared" si="29"/>
        <v>9</v>
      </c>
      <c r="E270" s="14"/>
      <c r="F270" s="26"/>
      <c r="G270" s="28">
        <v>262</v>
      </c>
      <c r="H270" s="24">
        <f t="shared" si="27"/>
        <v>52841</v>
      </c>
      <c r="I270" s="21">
        <f t="shared" si="31"/>
        <v>52462.363169892844</v>
      </c>
      <c r="J270" s="20">
        <f t="shared" si="30"/>
        <v>12828.775962702281</v>
      </c>
      <c r="K270" s="21">
        <f t="shared" si="32"/>
        <v>2228208.9190882901</v>
      </c>
      <c r="L270" s="21">
        <f t="shared" si="33"/>
        <v>7221791.0809117062</v>
      </c>
    </row>
    <row r="271" spans="3:12" ht="18" x14ac:dyDescent="0.25">
      <c r="C271" s="27">
        <f t="shared" si="28"/>
        <v>2044</v>
      </c>
      <c r="D271" s="27">
        <f t="shared" si="29"/>
        <v>10</v>
      </c>
      <c r="E271" s="14"/>
      <c r="F271" s="26"/>
      <c r="G271" s="28">
        <v>263</v>
      </c>
      <c r="H271" s="24">
        <f t="shared" ref="H271:H334" si="34">IF(D270=12,DATEVALUE(CONCATENATE("1/1/",C270+1)),DATEVALUE(CONCATENATE(D270+1,"/1/",C270)))</f>
        <v>52871</v>
      </c>
      <c r="I271" s="21">
        <f t="shared" si="31"/>
        <v>52757.463962723494</v>
      </c>
      <c r="J271" s="20">
        <f t="shared" si="30"/>
        <v>12533.675169871633</v>
      </c>
      <c r="K271" s="21">
        <f t="shared" si="32"/>
        <v>2175451.4551255666</v>
      </c>
      <c r="L271" s="21">
        <f t="shared" si="33"/>
        <v>7274548.5448744297</v>
      </c>
    </row>
    <row r="272" spans="3:12" ht="18" x14ac:dyDescent="0.25">
      <c r="C272" s="27">
        <f t="shared" si="28"/>
        <v>2044</v>
      </c>
      <c r="D272" s="27">
        <f t="shared" si="29"/>
        <v>11</v>
      </c>
      <c r="E272" s="14"/>
      <c r="F272" s="26"/>
      <c r="G272" s="28">
        <v>264</v>
      </c>
      <c r="H272" s="24">
        <f t="shared" si="34"/>
        <v>52902</v>
      </c>
      <c r="I272" s="21">
        <f t="shared" si="31"/>
        <v>53054.224697513811</v>
      </c>
      <c r="J272" s="20">
        <f t="shared" si="30"/>
        <v>12236.914435081313</v>
      </c>
      <c r="K272" s="21">
        <f t="shared" si="32"/>
        <v>2122397.2304280526</v>
      </c>
      <c r="L272" s="21">
        <f t="shared" si="33"/>
        <v>7327602.7695719432</v>
      </c>
    </row>
    <row r="273" spans="3:12" ht="18" x14ac:dyDescent="0.25">
      <c r="C273" s="27">
        <f t="shared" si="28"/>
        <v>2044</v>
      </c>
      <c r="D273" s="27">
        <f t="shared" si="29"/>
        <v>12</v>
      </c>
      <c r="E273" s="14"/>
      <c r="F273" s="26"/>
      <c r="G273" s="28">
        <v>265</v>
      </c>
      <c r="H273" s="24">
        <f t="shared" si="34"/>
        <v>52932</v>
      </c>
      <c r="I273" s="21">
        <f t="shared" si="31"/>
        <v>53352.654711437332</v>
      </c>
      <c r="J273" s="20">
        <f t="shared" si="30"/>
        <v>11938.484421157797</v>
      </c>
      <c r="K273" s="21">
        <f t="shared" si="32"/>
        <v>2069044.5757166152</v>
      </c>
      <c r="L273" s="21">
        <f t="shared" si="33"/>
        <v>7380955.4242833806</v>
      </c>
    </row>
    <row r="274" spans="3:12" ht="18" x14ac:dyDescent="0.25">
      <c r="C274" s="27">
        <f t="shared" si="28"/>
        <v>2045</v>
      </c>
      <c r="D274" s="27">
        <f t="shared" si="29"/>
        <v>1</v>
      </c>
      <c r="E274" s="14"/>
      <c r="F274" s="26"/>
      <c r="G274" s="28">
        <v>266</v>
      </c>
      <c r="H274" s="24">
        <f t="shared" si="34"/>
        <v>52963</v>
      </c>
      <c r="I274" s="21">
        <f t="shared" si="31"/>
        <v>53652.763394189162</v>
      </c>
      <c r="J274" s="20">
        <f t="shared" si="30"/>
        <v>11638.375738405963</v>
      </c>
      <c r="K274" s="21">
        <f t="shared" si="32"/>
        <v>2015391.8123224261</v>
      </c>
      <c r="L274" s="21">
        <f t="shared" si="33"/>
        <v>7434608.1876775697</v>
      </c>
    </row>
    <row r="275" spans="3:12" ht="18" x14ac:dyDescent="0.25">
      <c r="C275" s="27">
        <f t="shared" si="28"/>
        <v>2045</v>
      </c>
      <c r="D275" s="27">
        <f t="shared" si="29"/>
        <v>2</v>
      </c>
      <c r="E275" s="14"/>
      <c r="F275" s="26"/>
      <c r="G275" s="28">
        <v>267</v>
      </c>
      <c r="H275" s="24">
        <f t="shared" si="34"/>
        <v>52994</v>
      </c>
      <c r="I275" s="21">
        <f t="shared" si="31"/>
        <v>53954.560188281481</v>
      </c>
      <c r="J275" s="20">
        <f t="shared" si="30"/>
        <v>11336.578944313647</v>
      </c>
      <c r="K275" s="21">
        <f t="shared" si="32"/>
        <v>1961437.2521341445</v>
      </c>
      <c r="L275" s="21">
        <f t="shared" si="33"/>
        <v>7488562.747865851</v>
      </c>
    </row>
    <row r="276" spans="3:12" ht="18" x14ac:dyDescent="0.25">
      <c r="C276" s="27">
        <f t="shared" si="28"/>
        <v>2045</v>
      </c>
      <c r="D276" s="27">
        <f t="shared" si="29"/>
        <v>3</v>
      </c>
      <c r="E276" s="14"/>
      <c r="F276" s="26"/>
      <c r="G276" s="28">
        <v>268</v>
      </c>
      <c r="H276" s="24">
        <f t="shared" si="34"/>
        <v>53022</v>
      </c>
      <c r="I276" s="21">
        <f t="shared" si="31"/>
        <v>54258.054589340565</v>
      </c>
      <c r="J276" s="20">
        <f t="shared" si="30"/>
        <v>11033.084543254563</v>
      </c>
      <c r="K276" s="21">
        <f t="shared" si="32"/>
        <v>1907179.1975448041</v>
      </c>
      <c r="L276" s="21">
        <f t="shared" si="33"/>
        <v>7542820.8024551915</v>
      </c>
    </row>
    <row r="277" spans="3:12" ht="18" x14ac:dyDescent="0.25">
      <c r="C277" s="27">
        <f t="shared" si="28"/>
        <v>2045</v>
      </c>
      <c r="D277" s="27">
        <f t="shared" si="29"/>
        <v>4</v>
      </c>
      <c r="E277" s="14"/>
      <c r="F277" s="26"/>
      <c r="G277" s="28">
        <v>269</v>
      </c>
      <c r="H277" s="24">
        <f t="shared" si="34"/>
        <v>53053</v>
      </c>
      <c r="I277" s="21">
        <f t="shared" si="31"/>
        <v>54563.256146405605</v>
      </c>
      <c r="J277" s="20">
        <f t="shared" si="30"/>
        <v>10727.882986189523</v>
      </c>
      <c r="K277" s="21">
        <f t="shared" si="32"/>
        <v>1852615.9413983985</v>
      </c>
      <c r="L277" s="21">
        <f t="shared" si="33"/>
        <v>7597384.0586015973</v>
      </c>
    </row>
    <row r="278" spans="3:12" ht="18" x14ac:dyDescent="0.25">
      <c r="C278" s="27">
        <f t="shared" si="28"/>
        <v>2045</v>
      </c>
      <c r="D278" s="27">
        <f t="shared" si="29"/>
        <v>5</v>
      </c>
      <c r="E278" s="14"/>
      <c r="F278" s="26"/>
      <c r="G278" s="28">
        <v>270</v>
      </c>
      <c r="H278" s="24">
        <f t="shared" si="34"/>
        <v>53083</v>
      </c>
      <c r="I278" s="21">
        <f t="shared" si="31"/>
        <v>54870.174462229137</v>
      </c>
      <c r="J278" s="20">
        <f t="shared" si="30"/>
        <v>10420.964670365991</v>
      </c>
      <c r="K278" s="21">
        <f t="shared" si="32"/>
        <v>1797745.7669361692</v>
      </c>
      <c r="L278" s="21">
        <f t="shared" si="33"/>
        <v>7652254.2330638263</v>
      </c>
    </row>
    <row r="279" spans="3:12" ht="18" x14ac:dyDescent="0.25">
      <c r="C279" s="27">
        <f t="shared" si="28"/>
        <v>2045</v>
      </c>
      <c r="D279" s="27">
        <f t="shared" si="29"/>
        <v>6</v>
      </c>
      <c r="E279" s="14"/>
      <c r="F279" s="26"/>
      <c r="G279" s="28">
        <v>271</v>
      </c>
      <c r="H279" s="24">
        <f t="shared" si="34"/>
        <v>53114</v>
      </c>
      <c r="I279" s="21">
        <f t="shared" si="31"/>
        <v>55178.819193579176</v>
      </c>
      <c r="J279" s="20">
        <f t="shared" si="30"/>
        <v>10112.319939015952</v>
      </c>
      <c r="K279" s="21">
        <f t="shared" si="32"/>
        <v>1742566.94774259</v>
      </c>
      <c r="L279" s="21">
        <f t="shared" si="33"/>
        <v>7707433.0522574056</v>
      </c>
    </row>
    <row r="280" spans="3:12" ht="18" x14ac:dyDescent="0.25">
      <c r="C280" s="27">
        <f t="shared" si="28"/>
        <v>2045</v>
      </c>
      <c r="D280" s="27">
        <f t="shared" si="29"/>
        <v>7</v>
      </c>
      <c r="E280" s="14"/>
      <c r="F280" s="26"/>
      <c r="G280" s="28">
        <v>272</v>
      </c>
      <c r="H280" s="24">
        <f t="shared" si="34"/>
        <v>53144</v>
      </c>
      <c r="I280" s="21">
        <f t="shared" si="31"/>
        <v>55489.200051543055</v>
      </c>
      <c r="J280" s="20">
        <f t="shared" si="30"/>
        <v>9801.939081052069</v>
      </c>
      <c r="K280" s="21">
        <f t="shared" si="32"/>
        <v>1687077.7476910469</v>
      </c>
      <c r="L280" s="21">
        <f t="shared" si="33"/>
        <v>7762922.2523089489</v>
      </c>
    </row>
    <row r="281" spans="3:12" ht="18" x14ac:dyDescent="0.25">
      <c r="C281" s="27">
        <f t="shared" si="28"/>
        <v>2045</v>
      </c>
      <c r="D281" s="27">
        <f t="shared" si="29"/>
        <v>8</v>
      </c>
      <c r="E281" s="14"/>
      <c r="F281" s="26"/>
      <c r="G281" s="28">
        <v>273</v>
      </c>
      <c r="H281" s="24">
        <f t="shared" si="34"/>
        <v>53175</v>
      </c>
      <c r="I281" s="21">
        <f t="shared" si="31"/>
        <v>55801.326801832984</v>
      </c>
      <c r="J281" s="20">
        <f t="shared" si="30"/>
        <v>9489.812330762139</v>
      </c>
      <c r="K281" s="21">
        <f t="shared" si="32"/>
        <v>1631276.4208892139</v>
      </c>
      <c r="L281" s="21">
        <f t="shared" si="33"/>
        <v>7818723.5791107817</v>
      </c>
    </row>
    <row r="282" spans="3:12" ht="18" x14ac:dyDescent="0.25">
      <c r="C282" s="27">
        <f t="shared" si="28"/>
        <v>2045</v>
      </c>
      <c r="D282" s="27">
        <f t="shared" si="29"/>
        <v>9</v>
      </c>
      <c r="E282" s="14"/>
      <c r="F282" s="26"/>
      <c r="G282" s="28">
        <v>274</v>
      </c>
      <c r="H282" s="24">
        <f t="shared" si="34"/>
        <v>53206</v>
      </c>
      <c r="I282" s="21">
        <f t="shared" si="31"/>
        <v>56115.209265093297</v>
      </c>
      <c r="J282" s="20">
        <f t="shared" si="30"/>
        <v>9175.929867501829</v>
      </c>
      <c r="K282" s="21">
        <f t="shared" si="32"/>
        <v>1575161.2116241206</v>
      </c>
      <c r="L282" s="21">
        <f t="shared" si="33"/>
        <v>7874838.788375875</v>
      </c>
    </row>
    <row r="283" spans="3:12" ht="18" x14ac:dyDescent="0.25">
      <c r="C283" s="27">
        <f t="shared" si="28"/>
        <v>2045</v>
      </c>
      <c r="D283" s="27">
        <f t="shared" si="29"/>
        <v>10</v>
      </c>
      <c r="E283" s="14"/>
      <c r="F283" s="26"/>
      <c r="G283" s="28">
        <v>275</v>
      </c>
      <c r="H283" s="24">
        <f t="shared" si="34"/>
        <v>53236</v>
      </c>
      <c r="I283" s="21">
        <f t="shared" si="31"/>
        <v>56430.857317209448</v>
      </c>
      <c r="J283" s="20">
        <f t="shared" si="30"/>
        <v>8860.2818153856788</v>
      </c>
      <c r="K283" s="21">
        <f t="shared" si="32"/>
        <v>1518730.3543069111</v>
      </c>
      <c r="L283" s="21">
        <f t="shared" si="33"/>
        <v>7931269.6456930842</v>
      </c>
    </row>
    <row r="284" spans="3:12" ht="18" x14ac:dyDescent="0.25">
      <c r="C284" s="27">
        <f t="shared" si="28"/>
        <v>2045</v>
      </c>
      <c r="D284" s="27">
        <f t="shared" si="29"/>
        <v>11</v>
      </c>
      <c r="E284" s="14"/>
      <c r="F284" s="26"/>
      <c r="G284" s="28">
        <v>276</v>
      </c>
      <c r="H284" s="24">
        <f t="shared" si="34"/>
        <v>53267</v>
      </c>
      <c r="I284" s="21">
        <f t="shared" si="31"/>
        <v>56748.280889618749</v>
      </c>
      <c r="J284" s="20">
        <f t="shared" si="30"/>
        <v>8542.8582429763755</v>
      </c>
      <c r="K284" s="21">
        <f t="shared" si="32"/>
        <v>1461982.0734172924</v>
      </c>
      <c r="L284" s="21">
        <f t="shared" si="33"/>
        <v>7988017.9265827034</v>
      </c>
    </row>
    <row r="285" spans="3:12" ht="18" x14ac:dyDescent="0.25">
      <c r="C285" s="27">
        <f t="shared" si="28"/>
        <v>2045</v>
      </c>
      <c r="D285" s="27">
        <f t="shared" si="29"/>
        <v>12</v>
      </c>
      <c r="E285" s="14"/>
      <c r="F285" s="26"/>
      <c r="G285" s="28">
        <v>277</v>
      </c>
      <c r="H285" s="24">
        <f t="shared" si="34"/>
        <v>53297</v>
      </c>
      <c r="I285" s="21">
        <f t="shared" si="31"/>
        <v>57067.489969622853</v>
      </c>
      <c r="J285" s="20">
        <f t="shared" si="30"/>
        <v>8223.6491629722714</v>
      </c>
      <c r="K285" s="21">
        <f t="shared" si="32"/>
        <v>1404914.5834476696</v>
      </c>
      <c r="L285" s="21">
        <f t="shared" si="33"/>
        <v>8045085.4165523266</v>
      </c>
    </row>
    <row r="286" spans="3:12" ht="18" x14ac:dyDescent="0.25">
      <c r="C286" s="27">
        <f t="shared" si="28"/>
        <v>2046</v>
      </c>
      <c r="D286" s="27">
        <f t="shared" si="29"/>
        <v>1</v>
      </c>
      <c r="E286" s="14"/>
      <c r="F286" s="26"/>
      <c r="G286" s="28">
        <v>278</v>
      </c>
      <c r="H286" s="24">
        <f t="shared" si="34"/>
        <v>53328</v>
      </c>
      <c r="I286" s="21">
        <f t="shared" si="31"/>
        <v>57388.494600701983</v>
      </c>
      <c r="J286" s="20">
        <f t="shared" si="30"/>
        <v>7902.6445318931428</v>
      </c>
      <c r="K286" s="21">
        <f t="shared" si="32"/>
        <v>1347526.0888469676</v>
      </c>
      <c r="L286" s="21">
        <f t="shared" si="33"/>
        <v>8102473.9111530287</v>
      </c>
    </row>
    <row r="287" spans="3:12" ht="18" x14ac:dyDescent="0.25">
      <c r="C287" s="27">
        <f t="shared" si="28"/>
        <v>2046</v>
      </c>
      <c r="D287" s="27">
        <f t="shared" si="29"/>
        <v>2</v>
      </c>
      <c r="E287" s="14"/>
      <c r="F287" s="26"/>
      <c r="G287" s="28">
        <v>279</v>
      </c>
      <c r="H287" s="24">
        <f t="shared" si="34"/>
        <v>53359</v>
      </c>
      <c r="I287" s="21">
        <f t="shared" si="31"/>
        <v>57711.304882830933</v>
      </c>
      <c r="J287" s="20">
        <f t="shared" si="30"/>
        <v>7579.8342497641934</v>
      </c>
      <c r="K287" s="21">
        <f t="shared" si="32"/>
        <v>1289814.7839641366</v>
      </c>
      <c r="L287" s="21">
        <f t="shared" si="33"/>
        <v>8160185.2160358597</v>
      </c>
    </row>
    <row r="288" spans="3:12" ht="18" x14ac:dyDescent="0.25">
      <c r="C288" s="27">
        <f t="shared" si="28"/>
        <v>2046</v>
      </c>
      <c r="D288" s="27">
        <f t="shared" si="29"/>
        <v>3</v>
      </c>
      <c r="E288" s="14"/>
      <c r="F288" s="26"/>
      <c r="G288" s="28">
        <v>280</v>
      </c>
      <c r="H288" s="24">
        <f t="shared" si="34"/>
        <v>53387</v>
      </c>
      <c r="I288" s="21">
        <f t="shared" si="31"/>
        <v>58035.930972796858</v>
      </c>
      <c r="J288" s="20">
        <f t="shared" si="30"/>
        <v>7255.2081597982688</v>
      </c>
      <c r="K288" s="21">
        <f t="shared" si="32"/>
        <v>1231778.8529913398</v>
      </c>
      <c r="L288" s="21">
        <f t="shared" si="33"/>
        <v>8218221.1470086565</v>
      </c>
    </row>
    <row r="289" spans="3:12" ht="18" x14ac:dyDescent="0.25">
      <c r="C289" s="27">
        <f t="shared" si="28"/>
        <v>2046</v>
      </c>
      <c r="D289" s="27">
        <f t="shared" si="29"/>
        <v>4</v>
      </c>
      <c r="E289" s="14"/>
      <c r="F289" s="26"/>
      <c r="G289" s="28">
        <v>281</v>
      </c>
      <c r="H289" s="24">
        <f t="shared" si="34"/>
        <v>53418</v>
      </c>
      <c r="I289" s="21">
        <f t="shared" si="31"/>
        <v>58362.383084518842</v>
      </c>
      <c r="J289" s="20">
        <f t="shared" si="30"/>
        <v>6928.7560480762868</v>
      </c>
      <c r="K289" s="21">
        <f t="shared" si="32"/>
        <v>1173416.4699068209</v>
      </c>
      <c r="L289" s="21">
        <f t="shared" si="33"/>
        <v>8276583.5300931754</v>
      </c>
    </row>
    <row r="290" spans="3:12" ht="18" x14ac:dyDescent="0.25">
      <c r="C290" s="27">
        <f t="shared" si="28"/>
        <v>2046</v>
      </c>
      <c r="D290" s="27">
        <f t="shared" si="29"/>
        <v>5</v>
      </c>
      <c r="E290" s="14"/>
      <c r="F290" s="26"/>
      <c r="G290" s="28">
        <v>282</v>
      </c>
      <c r="H290" s="24">
        <f t="shared" si="34"/>
        <v>53448</v>
      </c>
      <c r="I290" s="21">
        <f t="shared" si="31"/>
        <v>58690.671489369255</v>
      </c>
      <c r="J290" s="20">
        <f t="shared" si="30"/>
        <v>6600.4676432258675</v>
      </c>
      <c r="K290" s="21">
        <f t="shared" si="32"/>
        <v>1114725.7984174516</v>
      </c>
      <c r="L290" s="21">
        <f t="shared" si="33"/>
        <v>8335274.2015825445</v>
      </c>
    </row>
    <row r="291" spans="3:12" ht="18" x14ac:dyDescent="0.25">
      <c r="C291" s="27">
        <f t="shared" si="28"/>
        <v>2046</v>
      </c>
      <c r="D291" s="27">
        <f t="shared" si="29"/>
        <v>6</v>
      </c>
      <c r="E291" s="14"/>
      <c r="F291" s="26"/>
      <c r="G291" s="28">
        <v>283</v>
      </c>
      <c r="H291" s="24">
        <f t="shared" si="34"/>
        <v>53479</v>
      </c>
      <c r="I291" s="21">
        <f t="shared" si="31"/>
        <v>59020.806516496959</v>
      </c>
      <c r="J291" s="20">
        <f t="shared" si="30"/>
        <v>6270.332616098166</v>
      </c>
      <c r="K291" s="21">
        <f t="shared" si="32"/>
        <v>1055704.9919009546</v>
      </c>
      <c r="L291" s="21">
        <f t="shared" si="33"/>
        <v>8394295.0080990419</v>
      </c>
    </row>
    <row r="292" spans="3:12" ht="18" x14ac:dyDescent="0.25">
      <c r="C292" s="27">
        <f t="shared" si="28"/>
        <v>2046</v>
      </c>
      <c r="D292" s="27">
        <f t="shared" si="29"/>
        <v>7</v>
      </c>
      <c r="E292" s="14"/>
      <c r="F292" s="26"/>
      <c r="G292" s="28">
        <v>284</v>
      </c>
      <c r="H292" s="24">
        <f t="shared" si="34"/>
        <v>53509</v>
      </c>
      <c r="I292" s="21">
        <f t="shared" si="31"/>
        <v>59352.798553152257</v>
      </c>
      <c r="J292" s="20">
        <f t="shared" si="30"/>
        <v>5938.34057944287</v>
      </c>
      <c r="K292" s="21">
        <f t="shared" si="32"/>
        <v>996352.19334780239</v>
      </c>
      <c r="L292" s="21">
        <f t="shared" si="33"/>
        <v>8453647.8066521939</v>
      </c>
    </row>
    <row r="293" spans="3:12" ht="18" x14ac:dyDescent="0.25">
      <c r="C293" s="27">
        <f t="shared" si="28"/>
        <v>2046</v>
      </c>
      <c r="D293" s="27">
        <f t="shared" si="29"/>
        <v>8</v>
      </c>
      <c r="E293" s="14"/>
      <c r="F293" s="26"/>
      <c r="G293" s="28">
        <v>285</v>
      </c>
      <c r="H293" s="24">
        <f t="shared" si="34"/>
        <v>53540</v>
      </c>
      <c r="I293" s="21">
        <f t="shared" si="31"/>
        <v>59686.658045013741</v>
      </c>
      <c r="J293" s="20">
        <f t="shared" si="30"/>
        <v>5604.4810875813891</v>
      </c>
      <c r="K293" s="21">
        <f t="shared" si="32"/>
        <v>936665.5353027886</v>
      </c>
      <c r="L293" s="21">
        <f t="shared" si="33"/>
        <v>8513334.4646972083</v>
      </c>
    </row>
    <row r="294" spans="3:12" ht="18" x14ac:dyDescent="0.25">
      <c r="C294" s="27">
        <f t="shared" si="28"/>
        <v>2046</v>
      </c>
      <c r="D294" s="27">
        <f t="shared" si="29"/>
        <v>9</v>
      </c>
      <c r="E294" s="14"/>
      <c r="F294" s="26"/>
      <c r="G294" s="28">
        <v>286</v>
      </c>
      <c r="H294" s="24">
        <f t="shared" si="34"/>
        <v>53571</v>
      </c>
      <c r="I294" s="21">
        <f t="shared" si="31"/>
        <v>60022.39549651694</v>
      </c>
      <c r="J294" s="20">
        <f t="shared" si="30"/>
        <v>5268.7436360781858</v>
      </c>
      <c r="K294" s="21">
        <f t="shared" si="32"/>
        <v>876643.13980627165</v>
      </c>
      <c r="L294" s="21">
        <f t="shared" si="33"/>
        <v>8573356.8601937257</v>
      </c>
    </row>
    <row r="295" spans="3:12" ht="18" x14ac:dyDescent="0.25">
      <c r="C295" s="27">
        <f t="shared" si="28"/>
        <v>2046</v>
      </c>
      <c r="D295" s="27">
        <f t="shared" si="29"/>
        <v>10</v>
      </c>
      <c r="E295" s="14"/>
      <c r="F295" s="26"/>
      <c r="G295" s="28">
        <v>287</v>
      </c>
      <c r="H295" s="24">
        <f t="shared" si="34"/>
        <v>53601</v>
      </c>
      <c r="I295" s="21">
        <f t="shared" si="31"/>
        <v>60360.021471184846</v>
      </c>
      <c r="J295" s="20">
        <f t="shared" si="30"/>
        <v>4931.1176614102778</v>
      </c>
      <c r="K295" s="21">
        <f t="shared" si="32"/>
        <v>816283.11833508685</v>
      </c>
      <c r="L295" s="21">
        <f t="shared" si="33"/>
        <v>8633716.8816649113</v>
      </c>
    </row>
    <row r="296" spans="3:12" ht="18" x14ac:dyDescent="0.25">
      <c r="C296" s="27">
        <f t="shared" si="28"/>
        <v>2046</v>
      </c>
      <c r="D296" s="27">
        <f t="shared" si="29"/>
        <v>11</v>
      </c>
      <c r="E296" s="14"/>
      <c r="F296" s="26"/>
      <c r="G296" s="28">
        <v>288</v>
      </c>
      <c r="H296" s="24">
        <f t="shared" si="34"/>
        <v>53632</v>
      </c>
      <c r="I296" s="21">
        <f t="shared" si="31"/>
        <v>60699.546591960265</v>
      </c>
      <c r="J296" s="20">
        <f t="shared" si="30"/>
        <v>4591.5925406348642</v>
      </c>
      <c r="K296" s="21">
        <f t="shared" si="32"/>
        <v>755583.57174312661</v>
      </c>
      <c r="L296" s="21">
        <f t="shared" si="33"/>
        <v>8694416.4282568712</v>
      </c>
    </row>
    <row r="297" spans="3:12" ht="18" x14ac:dyDescent="0.25">
      <c r="C297" s="27">
        <f t="shared" si="28"/>
        <v>2046</v>
      </c>
      <c r="D297" s="27">
        <f t="shared" si="29"/>
        <v>12</v>
      </c>
      <c r="E297" s="14"/>
      <c r="F297" s="26"/>
      <c r="G297" s="28">
        <v>289</v>
      </c>
      <c r="H297" s="24">
        <f t="shared" si="34"/>
        <v>53662</v>
      </c>
      <c r="I297" s="21">
        <f t="shared" si="31"/>
        <v>61040.981541540037</v>
      </c>
      <c r="J297" s="20">
        <f t="shared" si="30"/>
        <v>4250.1575910550873</v>
      </c>
      <c r="K297" s="21">
        <f t="shared" si="32"/>
        <v>694542.5902015866</v>
      </c>
      <c r="L297" s="21">
        <f t="shared" si="33"/>
        <v>8755457.4097984117</v>
      </c>
    </row>
    <row r="298" spans="3:12" ht="18" x14ac:dyDescent="0.25">
      <c r="C298" s="27">
        <f t="shared" si="28"/>
        <v>2047</v>
      </c>
      <c r="D298" s="27">
        <f t="shared" si="29"/>
        <v>1</v>
      </c>
      <c r="E298" s="14"/>
      <c r="F298" s="26"/>
      <c r="G298" s="28">
        <v>290</v>
      </c>
      <c r="H298" s="24">
        <f t="shared" si="34"/>
        <v>53693</v>
      </c>
      <c r="I298" s="21">
        <f t="shared" si="31"/>
        <v>61384.337062711202</v>
      </c>
      <c r="J298" s="20">
        <f t="shared" si="30"/>
        <v>3906.802069883925</v>
      </c>
      <c r="K298" s="21">
        <f t="shared" si="32"/>
        <v>633158.25313887536</v>
      </c>
      <c r="L298" s="21">
        <f t="shared" si="33"/>
        <v>8816841.7468611225</v>
      </c>
    </row>
    <row r="299" spans="3:12" ht="18" x14ac:dyDescent="0.25">
      <c r="C299" s="27">
        <f t="shared" si="28"/>
        <v>2047</v>
      </c>
      <c r="D299" s="27">
        <f t="shared" si="29"/>
        <v>2</v>
      </c>
      <c r="E299" s="14"/>
      <c r="F299" s="26"/>
      <c r="G299" s="28">
        <v>291</v>
      </c>
      <c r="H299" s="24">
        <f t="shared" si="34"/>
        <v>53724</v>
      </c>
      <c r="I299" s="21">
        <f t="shared" si="31"/>
        <v>61729.62395868895</v>
      </c>
      <c r="J299" s="20">
        <f t="shared" si="30"/>
        <v>3561.5151739061744</v>
      </c>
      <c r="K299" s="21">
        <f t="shared" si="32"/>
        <v>571428.62918018643</v>
      </c>
      <c r="L299" s="21">
        <f t="shared" si="33"/>
        <v>8878571.3708198108</v>
      </c>
    </row>
    <row r="300" spans="3:12" ht="18" x14ac:dyDescent="0.25">
      <c r="C300" s="27">
        <f t="shared" si="28"/>
        <v>2047</v>
      </c>
      <c r="D300" s="27">
        <f t="shared" si="29"/>
        <v>3</v>
      </c>
      <c r="E300" s="14"/>
      <c r="F300" s="26"/>
      <c r="G300" s="28">
        <v>292</v>
      </c>
      <c r="H300" s="24">
        <f t="shared" si="34"/>
        <v>53752</v>
      </c>
      <c r="I300" s="21">
        <f t="shared" si="31"/>
        <v>62076.853093456579</v>
      </c>
      <c r="J300" s="20">
        <f t="shared" si="30"/>
        <v>3214.2860391385489</v>
      </c>
      <c r="K300" s="21">
        <f t="shared" si="32"/>
        <v>509351.77608672983</v>
      </c>
      <c r="L300" s="21">
        <f t="shared" si="33"/>
        <v>8940648.2239132673</v>
      </c>
    </row>
    <row r="301" spans="3:12" ht="18" x14ac:dyDescent="0.25">
      <c r="C301" s="27">
        <f t="shared" si="28"/>
        <v>2047</v>
      </c>
      <c r="D301" s="27">
        <f t="shared" si="29"/>
        <v>4</v>
      </c>
      <c r="E301" s="14"/>
      <c r="F301" s="26"/>
      <c r="G301" s="28">
        <v>293</v>
      </c>
      <c r="H301" s="24">
        <f t="shared" si="34"/>
        <v>53783</v>
      </c>
      <c r="I301" s="21">
        <f t="shared" si="31"/>
        <v>62426.035392107267</v>
      </c>
      <c r="J301" s="20">
        <f t="shared" si="30"/>
        <v>2865.1037404878552</v>
      </c>
      <c r="K301" s="21">
        <f t="shared" si="32"/>
        <v>446925.74069462257</v>
      </c>
      <c r="L301" s="21">
        <f t="shared" si="33"/>
        <v>9003074.2593053747</v>
      </c>
    </row>
    <row r="302" spans="3:12" ht="18" x14ac:dyDescent="0.25">
      <c r="C302" s="27">
        <f t="shared" si="28"/>
        <v>2047</v>
      </c>
      <c r="D302" s="27">
        <f t="shared" si="29"/>
        <v>5</v>
      </c>
      <c r="E302" s="14"/>
      <c r="F302" s="26"/>
      <c r="G302" s="28">
        <v>294</v>
      </c>
      <c r="H302" s="24">
        <f t="shared" si="34"/>
        <v>53813</v>
      </c>
      <c r="I302" s="21">
        <f t="shared" si="31"/>
        <v>62777.181841187878</v>
      </c>
      <c r="J302" s="20">
        <f t="shared" si="30"/>
        <v>2513.9572914072519</v>
      </c>
      <c r="K302" s="21">
        <f t="shared" si="32"/>
        <v>384148.55885343469</v>
      </c>
      <c r="L302" s="21">
        <f t="shared" si="33"/>
        <v>9065851.4411465619</v>
      </c>
    </row>
    <row r="303" spans="3:12" ht="18" x14ac:dyDescent="0.25">
      <c r="C303" s="27">
        <f t="shared" si="28"/>
        <v>2047</v>
      </c>
      <c r="D303" s="27">
        <f t="shared" si="29"/>
        <v>6</v>
      </c>
      <c r="E303" s="14"/>
      <c r="F303" s="26"/>
      <c r="G303" s="28">
        <v>295</v>
      </c>
      <c r="H303" s="24">
        <f t="shared" si="34"/>
        <v>53844</v>
      </c>
      <c r="I303" s="21">
        <f t="shared" si="31"/>
        <v>63130.303489044556</v>
      </c>
      <c r="J303" s="20">
        <f t="shared" si="30"/>
        <v>2160.8356435505702</v>
      </c>
      <c r="K303" s="21">
        <f t="shared" si="32"/>
        <v>321018.25536439015</v>
      </c>
      <c r="L303" s="21">
        <f t="shared" si="33"/>
        <v>9128981.7446356062</v>
      </c>
    </row>
    <row r="304" spans="3:12" ht="18" x14ac:dyDescent="0.25">
      <c r="C304" s="27">
        <f t="shared" si="28"/>
        <v>2047</v>
      </c>
      <c r="D304" s="27">
        <f t="shared" si="29"/>
        <v>7</v>
      </c>
      <c r="E304" s="14"/>
      <c r="F304" s="26"/>
      <c r="G304" s="28">
        <v>296</v>
      </c>
      <c r="H304" s="24">
        <f t="shared" si="34"/>
        <v>53874</v>
      </c>
      <c r="I304" s="21">
        <f t="shared" si="31"/>
        <v>63485.41144617043</v>
      </c>
      <c r="J304" s="20">
        <f t="shared" si="30"/>
        <v>1805.7276864246949</v>
      </c>
      <c r="K304" s="21">
        <f t="shared" si="32"/>
        <v>257532.84391821973</v>
      </c>
      <c r="L304" s="21">
        <f t="shared" si="33"/>
        <v>9192467.1560817771</v>
      </c>
    </row>
    <row r="305" spans="3:12" ht="18" x14ac:dyDescent="0.25">
      <c r="C305" s="27">
        <f t="shared" si="28"/>
        <v>2047</v>
      </c>
      <c r="D305" s="27">
        <f t="shared" si="29"/>
        <v>8</v>
      </c>
      <c r="E305" s="14"/>
      <c r="F305" s="26"/>
      <c r="G305" s="28">
        <v>297</v>
      </c>
      <c r="H305" s="24">
        <f t="shared" si="34"/>
        <v>53905</v>
      </c>
      <c r="I305" s="21">
        <f t="shared" si="31"/>
        <v>63842.516885555138</v>
      </c>
      <c r="J305" s="20">
        <f t="shared" si="30"/>
        <v>1448.6222470399862</v>
      </c>
      <c r="K305" s="21">
        <f t="shared" si="32"/>
        <v>193690.32703266459</v>
      </c>
      <c r="L305" s="21">
        <f t="shared" si="33"/>
        <v>9256309.6729673315</v>
      </c>
    </row>
    <row r="306" spans="3:12" ht="18" x14ac:dyDescent="0.25">
      <c r="C306" s="27">
        <f t="shared" si="28"/>
        <v>2047</v>
      </c>
      <c r="D306" s="27">
        <f t="shared" si="29"/>
        <v>9</v>
      </c>
      <c r="E306" s="14"/>
      <c r="F306" s="26"/>
      <c r="G306" s="28">
        <v>298</v>
      </c>
      <c r="H306" s="24">
        <f t="shared" si="34"/>
        <v>53936</v>
      </c>
      <c r="I306" s="21">
        <f t="shared" si="31"/>
        <v>64201.631043036388</v>
      </c>
      <c r="J306" s="20">
        <f t="shared" si="30"/>
        <v>1089.5080895587384</v>
      </c>
      <c r="K306" s="21">
        <f t="shared" si="32"/>
        <v>129488.69598962821</v>
      </c>
      <c r="L306" s="21">
        <f t="shared" si="33"/>
        <v>9320511.304010367</v>
      </c>
    </row>
    <row r="307" spans="3:12" ht="18" x14ac:dyDescent="0.25">
      <c r="C307" s="27">
        <f t="shared" si="28"/>
        <v>2047</v>
      </c>
      <c r="D307" s="27">
        <f t="shared" si="29"/>
        <v>10</v>
      </c>
      <c r="E307" s="14"/>
      <c r="F307" s="26"/>
      <c r="G307" s="28">
        <v>299</v>
      </c>
      <c r="H307" s="24">
        <f t="shared" si="34"/>
        <v>53966</v>
      </c>
      <c r="I307" s="21">
        <f t="shared" si="31"/>
        <v>64562.765217653468</v>
      </c>
      <c r="J307" s="20">
        <f t="shared" si="30"/>
        <v>728.37391494165877</v>
      </c>
      <c r="K307" s="21">
        <f t="shared" si="32"/>
        <v>64925.930771974738</v>
      </c>
      <c r="L307" s="21">
        <f t="shared" si="33"/>
        <v>9385074.0692280196</v>
      </c>
    </row>
    <row r="308" spans="3:12" ht="18" x14ac:dyDescent="0.25">
      <c r="C308" s="27">
        <f t="shared" si="28"/>
        <v>2047</v>
      </c>
      <c r="D308" s="27">
        <f t="shared" si="29"/>
        <v>11</v>
      </c>
      <c r="E308" s="14"/>
      <c r="F308" s="26"/>
      <c r="G308" s="28">
        <v>300</v>
      </c>
      <c r="H308" s="24">
        <f t="shared" si="34"/>
        <v>53997</v>
      </c>
      <c r="I308" s="21">
        <f t="shared" si="31"/>
        <v>64925.930772002772</v>
      </c>
      <c r="J308" s="20">
        <f t="shared" si="30"/>
        <v>365.20836059235791</v>
      </c>
      <c r="K308" s="21">
        <f t="shared" si="32"/>
        <v>-2.803426468744874E-8</v>
      </c>
      <c r="L308" s="21">
        <f t="shared" si="33"/>
        <v>9450000.0000000224</v>
      </c>
    </row>
    <row r="309" spans="3:12" ht="18" x14ac:dyDescent="0.25">
      <c r="C309" s="27">
        <f t="shared" si="28"/>
        <v>2047</v>
      </c>
      <c r="D309" s="27">
        <f t="shared" si="29"/>
        <v>12</v>
      </c>
      <c r="E309" s="14"/>
      <c r="F309" s="26"/>
      <c r="G309" s="28">
        <v>301</v>
      </c>
      <c r="H309" s="24">
        <f t="shared" si="34"/>
        <v>54027</v>
      </c>
      <c r="I309" s="21">
        <f t="shared" si="31"/>
        <v>65291.139132595286</v>
      </c>
      <c r="J309" s="20">
        <f t="shared" si="30"/>
        <v>-1.5769273886689918E-10</v>
      </c>
      <c r="K309" s="21">
        <f t="shared" si="32"/>
        <v>-65291.139132623321</v>
      </c>
      <c r="L309" s="21">
        <f t="shared" si="33"/>
        <v>9515291.139132617</v>
      </c>
    </row>
    <row r="310" spans="3:12" ht="18" x14ac:dyDescent="0.25">
      <c r="C310" s="27">
        <f t="shared" si="28"/>
        <v>2048</v>
      </c>
      <c r="D310" s="27">
        <f t="shared" si="29"/>
        <v>1</v>
      </c>
      <c r="E310" s="14"/>
      <c r="F310" s="26"/>
      <c r="G310" s="28">
        <v>302</v>
      </c>
      <c r="H310" s="24">
        <f t="shared" si="34"/>
        <v>54058</v>
      </c>
      <c r="I310" s="21">
        <f t="shared" si="31"/>
        <v>65658.401790216129</v>
      </c>
      <c r="J310" s="20">
        <f t="shared" si="30"/>
        <v>-367.26265762100621</v>
      </c>
      <c r="K310" s="21">
        <f t="shared" si="32"/>
        <v>-130949.54092283946</v>
      </c>
      <c r="L310" s="21">
        <f t="shared" si="33"/>
        <v>9580949.5409228336</v>
      </c>
    </row>
    <row r="311" spans="3:12" ht="18" x14ac:dyDescent="0.25">
      <c r="C311" s="27">
        <f t="shared" si="28"/>
        <v>2048</v>
      </c>
      <c r="D311" s="27">
        <f t="shared" si="29"/>
        <v>2</v>
      </c>
      <c r="E311" s="14"/>
      <c r="F311" s="26"/>
      <c r="G311" s="28">
        <v>303</v>
      </c>
      <c r="H311" s="24">
        <f t="shared" si="34"/>
        <v>54089</v>
      </c>
      <c r="I311" s="21">
        <f t="shared" si="31"/>
        <v>66027.730300286101</v>
      </c>
      <c r="J311" s="20">
        <f t="shared" si="30"/>
        <v>-736.59116769097193</v>
      </c>
      <c r="K311" s="21">
        <f t="shared" si="32"/>
        <v>-196977.27122312557</v>
      </c>
      <c r="L311" s="21">
        <f t="shared" si="33"/>
        <v>9646977.2712231204</v>
      </c>
    </row>
    <row r="312" spans="3:12" ht="18" x14ac:dyDescent="0.25">
      <c r="C312" s="27">
        <f t="shared" si="28"/>
        <v>2048</v>
      </c>
      <c r="D312" s="27">
        <f t="shared" si="29"/>
        <v>3</v>
      </c>
      <c r="E312" s="14"/>
      <c r="F312" s="26"/>
      <c r="G312" s="28">
        <v>304</v>
      </c>
      <c r="H312" s="24">
        <f t="shared" si="34"/>
        <v>54118</v>
      </c>
      <c r="I312" s="21">
        <f t="shared" si="31"/>
        <v>66399.136283225205</v>
      </c>
      <c r="J312" s="20">
        <f t="shared" si="30"/>
        <v>-1107.9971506300815</v>
      </c>
      <c r="K312" s="21">
        <f t="shared" si="32"/>
        <v>-263376.40750635078</v>
      </c>
      <c r="L312" s="21">
        <f t="shared" si="33"/>
        <v>9713376.4075063448</v>
      </c>
    </row>
    <row r="313" spans="3:12" ht="18" x14ac:dyDescent="0.25">
      <c r="C313" s="27">
        <f t="shared" si="28"/>
        <v>2048</v>
      </c>
      <c r="D313" s="27">
        <f t="shared" si="29"/>
        <v>4</v>
      </c>
      <c r="E313" s="14"/>
      <c r="F313" s="26"/>
      <c r="G313" s="28">
        <v>305</v>
      </c>
      <c r="H313" s="24">
        <f t="shared" si="34"/>
        <v>54149</v>
      </c>
      <c r="I313" s="21">
        <f t="shared" si="31"/>
        <v>66772.631424818348</v>
      </c>
      <c r="J313" s="20">
        <f t="shared" si="30"/>
        <v>-1481.4922922232233</v>
      </c>
      <c r="K313" s="21">
        <f t="shared" si="32"/>
        <v>-330149.03893116914</v>
      </c>
      <c r="L313" s="21">
        <f t="shared" si="33"/>
        <v>9780149.038931163</v>
      </c>
    </row>
    <row r="314" spans="3:12" ht="18" x14ac:dyDescent="0.25">
      <c r="C314" s="27">
        <f t="shared" si="28"/>
        <v>2048</v>
      </c>
      <c r="D314" s="27">
        <f t="shared" si="29"/>
        <v>5</v>
      </c>
      <c r="E314" s="14"/>
      <c r="F314" s="26"/>
      <c r="G314" s="28">
        <v>306</v>
      </c>
      <c r="H314" s="24">
        <f t="shared" si="34"/>
        <v>54179</v>
      </c>
      <c r="I314" s="21">
        <f t="shared" si="31"/>
        <v>67148.22747658295</v>
      </c>
      <c r="J314" s="20">
        <f t="shared" si="30"/>
        <v>-1857.0883439878264</v>
      </c>
      <c r="K314" s="21">
        <f t="shared" si="32"/>
        <v>-397297.26640775206</v>
      </c>
      <c r="L314" s="21">
        <f t="shared" si="33"/>
        <v>9847297.2664077468</v>
      </c>
    </row>
    <row r="315" spans="3:12" ht="18" x14ac:dyDescent="0.25">
      <c r="C315" s="27">
        <f t="shared" si="28"/>
        <v>2048</v>
      </c>
      <c r="D315" s="27">
        <f t="shared" si="29"/>
        <v>6</v>
      </c>
      <c r="E315" s="14"/>
      <c r="F315" s="26"/>
      <c r="G315" s="28">
        <v>307</v>
      </c>
      <c r="H315" s="24">
        <f t="shared" si="34"/>
        <v>54210</v>
      </c>
      <c r="I315" s="21">
        <f t="shared" si="31"/>
        <v>67525.936256138739</v>
      </c>
      <c r="J315" s="20">
        <f t="shared" si="30"/>
        <v>-2234.7971235436057</v>
      </c>
      <c r="K315" s="21">
        <f t="shared" si="32"/>
        <v>-464823.20266389078</v>
      </c>
      <c r="L315" s="21">
        <f t="shared" si="33"/>
        <v>9914823.2026638854</v>
      </c>
    </row>
    <row r="316" spans="3:12" ht="18" x14ac:dyDescent="0.25">
      <c r="C316" s="27">
        <f t="shared" si="28"/>
        <v>2048</v>
      </c>
      <c r="D316" s="27">
        <f t="shared" si="29"/>
        <v>7</v>
      </c>
      <c r="E316" s="14"/>
      <c r="F316" s="26"/>
      <c r="G316" s="28">
        <v>308</v>
      </c>
      <c r="H316" s="24">
        <f t="shared" si="34"/>
        <v>54240</v>
      </c>
      <c r="I316" s="21">
        <f t="shared" si="31"/>
        <v>67905.769647579509</v>
      </c>
      <c r="J316" s="20">
        <f t="shared" si="30"/>
        <v>-2614.6305149843861</v>
      </c>
      <c r="K316" s="21">
        <f t="shared" si="32"/>
        <v>-532728.97231147031</v>
      </c>
      <c r="L316" s="21">
        <f t="shared" si="33"/>
        <v>9982728.9723114651</v>
      </c>
    </row>
    <row r="317" spans="3:12" ht="18" x14ac:dyDescent="0.25">
      <c r="C317" s="27">
        <f t="shared" si="28"/>
        <v>2048</v>
      </c>
      <c r="D317" s="27">
        <f t="shared" si="29"/>
        <v>8</v>
      </c>
      <c r="E317" s="14"/>
      <c r="F317" s="26"/>
      <c r="G317" s="28">
        <v>309</v>
      </c>
      <c r="H317" s="24">
        <f t="shared" si="34"/>
        <v>54271</v>
      </c>
      <c r="I317" s="21">
        <f t="shared" si="31"/>
        <v>68287.739601847148</v>
      </c>
      <c r="J317" s="20">
        <f t="shared" si="30"/>
        <v>-2996.6004692520205</v>
      </c>
      <c r="K317" s="21">
        <f t="shared" si="32"/>
        <v>-601016.71191331744</v>
      </c>
      <c r="L317" s="21">
        <f t="shared" si="33"/>
        <v>10051016.711913312</v>
      </c>
    </row>
    <row r="318" spans="3:12" ht="18" x14ac:dyDescent="0.25">
      <c r="C318" s="27">
        <f t="shared" si="28"/>
        <v>2048</v>
      </c>
      <c r="D318" s="27">
        <f t="shared" si="29"/>
        <v>9</v>
      </c>
      <c r="E318" s="14"/>
      <c r="F318" s="26"/>
      <c r="G318" s="28">
        <v>310</v>
      </c>
      <c r="H318" s="24">
        <f t="shared" si="34"/>
        <v>54302</v>
      </c>
      <c r="I318" s="21">
        <f t="shared" si="31"/>
        <v>68671.858137107542</v>
      </c>
      <c r="J318" s="20">
        <f t="shared" si="30"/>
        <v>-3380.7190045124112</v>
      </c>
      <c r="K318" s="21">
        <f t="shared" si="32"/>
        <v>-669688.57005042501</v>
      </c>
      <c r="L318" s="21">
        <f t="shared" si="33"/>
        <v>10119688.57005042</v>
      </c>
    </row>
    <row r="319" spans="3:12" ht="18" x14ac:dyDescent="0.25">
      <c r="C319" s="27">
        <f t="shared" si="28"/>
        <v>2048</v>
      </c>
      <c r="D319" s="27">
        <f t="shared" si="29"/>
        <v>10</v>
      </c>
      <c r="E319" s="14"/>
      <c r="F319" s="26"/>
      <c r="G319" s="28">
        <v>311</v>
      </c>
      <c r="H319" s="24">
        <f t="shared" si="34"/>
        <v>54332</v>
      </c>
      <c r="I319" s="21">
        <f t="shared" si="31"/>
        <v>69058.137339128763</v>
      </c>
      <c r="J319" s="20">
        <f t="shared" si="30"/>
        <v>-3766.9982065336408</v>
      </c>
      <c r="K319" s="21">
        <f t="shared" si="32"/>
        <v>-738746.70738955378</v>
      </c>
      <c r="L319" s="21">
        <f t="shared" si="33"/>
        <v>10188746.707389548</v>
      </c>
    </row>
    <row r="320" spans="3:12" ht="18" x14ac:dyDescent="0.25">
      <c r="C320" s="27">
        <f t="shared" si="28"/>
        <v>2048</v>
      </c>
      <c r="D320" s="27">
        <f t="shared" si="29"/>
        <v>11</v>
      </c>
      <c r="E320" s="14"/>
      <c r="F320" s="26"/>
      <c r="G320" s="28">
        <v>312</v>
      </c>
      <c r="H320" s="24">
        <f t="shared" si="34"/>
        <v>54363</v>
      </c>
      <c r="I320" s="21">
        <f t="shared" si="31"/>
        <v>69446.589361661361</v>
      </c>
      <c r="J320" s="20">
        <f t="shared" si="30"/>
        <v>-4155.4502290662404</v>
      </c>
      <c r="K320" s="21">
        <f t="shared" si="32"/>
        <v>-808193.29675121512</v>
      </c>
      <c r="L320" s="21">
        <f t="shared" si="33"/>
        <v>10258193.29675121</v>
      </c>
    </row>
    <row r="321" spans="3:12" ht="18" x14ac:dyDescent="0.25">
      <c r="C321" s="27">
        <f t="shared" si="28"/>
        <v>2048</v>
      </c>
      <c r="D321" s="27">
        <f t="shared" si="29"/>
        <v>12</v>
      </c>
      <c r="E321" s="14"/>
      <c r="F321" s="26"/>
      <c r="G321" s="28">
        <v>313</v>
      </c>
      <c r="H321" s="24">
        <f t="shared" si="34"/>
        <v>54393</v>
      </c>
      <c r="I321" s="21">
        <f t="shared" si="31"/>
        <v>69837.226426820707</v>
      </c>
      <c r="J321" s="20">
        <f t="shared" si="30"/>
        <v>-4546.0872942255855</v>
      </c>
      <c r="K321" s="21">
        <f t="shared" si="32"/>
        <v>-878030.52317803586</v>
      </c>
      <c r="L321" s="21">
        <f t="shared" si="33"/>
        <v>10328030.523178032</v>
      </c>
    </row>
    <row r="322" spans="3:12" ht="18" x14ac:dyDescent="0.25">
      <c r="C322" s="27">
        <f t="shared" si="28"/>
        <v>2049</v>
      </c>
      <c r="D322" s="27">
        <f t="shared" si="29"/>
        <v>1</v>
      </c>
      <c r="E322" s="14"/>
      <c r="F322" s="26"/>
      <c r="G322" s="28">
        <v>314</v>
      </c>
      <c r="H322" s="24">
        <f t="shared" si="34"/>
        <v>54424</v>
      </c>
      <c r="I322" s="21">
        <f t="shared" si="31"/>
        <v>70230.060825471577</v>
      </c>
      <c r="J322" s="20">
        <f t="shared" si="30"/>
        <v>-4938.9216928764517</v>
      </c>
      <c r="K322" s="21">
        <f t="shared" si="32"/>
        <v>-948260.58400350739</v>
      </c>
      <c r="L322" s="21">
        <f t="shared" si="33"/>
        <v>10398260.584003503</v>
      </c>
    </row>
    <row r="323" spans="3:12" ht="18" x14ac:dyDescent="0.25">
      <c r="C323" s="27">
        <f t="shared" si="28"/>
        <v>2049</v>
      </c>
      <c r="D323" s="27">
        <f t="shared" si="29"/>
        <v>2</v>
      </c>
      <c r="E323" s="14"/>
      <c r="F323" s="26"/>
      <c r="G323" s="28">
        <v>315</v>
      </c>
      <c r="H323" s="24">
        <f t="shared" si="34"/>
        <v>54455</v>
      </c>
      <c r="I323" s="21">
        <f t="shared" si="31"/>
        <v>70625.104917614852</v>
      </c>
      <c r="J323" s="20">
        <f t="shared" si="30"/>
        <v>-5333.96578501973</v>
      </c>
      <c r="K323" s="21">
        <f t="shared" si="32"/>
        <v>-1018885.6889211222</v>
      </c>
      <c r="L323" s="21">
        <f t="shared" si="33"/>
        <v>10468885.688921118</v>
      </c>
    </row>
    <row r="324" spans="3:12" ht="18" x14ac:dyDescent="0.25">
      <c r="C324" s="27">
        <f t="shared" si="28"/>
        <v>2049</v>
      </c>
      <c r="D324" s="27">
        <f t="shared" si="29"/>
        <v>3</v>
      </c>
      <c r="E324" s="14"/>
      <c r="F324" s="26"/>
      <c r="G324" s="28">
        <v>316</v>
      </c>
      <c r="H324" s="24">
        <f t="shared" si="34"/>
        <v>54483</v>
      </c>
      <c r="I324" s="21">
        <f t="shared" si="31"/>
        <v>71022.371132776432</v>
      </c>
      <c r="J324" s="20">
        <f t="shared" si="30"/>
        <v>-5731.2320001813132</v>
      </c>
      <c r="K324" s="21">
        <f t="shared" si="32"/>
        <v>-1089908.0600538987</v>
      </c>
      <c r="L324" s="21">
        <f t="shared" si="33"/>
        <v>10539908.060053894</v>
      </c>
    </row>
    <row r="325" spans="3:12" ht="18" x14ac:dyDescent="0.25">
      <c r="C325" s="27">
        <f t="shared" si="28"/>
        <v>2049</v>
      </c>
      <c r="D325" s="27">
        <f t="shared" si="29"/>
        <v>4</v>
      </c>
      <c r="E325" s="14"/>
      <c r="F325" s="26"/>
      <c r="G325" s="28">
        <v>317</v>
      </c>
      <c r="H325" s="24">
        <f t="shared" si="34"/>
        <v>54514</v>
      </c>
      <c r="I325" s="21">
        <f t="shared" si="31"/>
        <v>71421.871970398308</v>
      </c>
      <c r="J325" s="20">
        <f t="shared" si="30"/>
        <v>-6130.7328378031807</v>
      </c>
      <c r="K325" s="21">
        <f t="shared" si="32"/>
        <v>-1161329.9320242971</v>
      </c>
      <c r="L325" s="21">
        <f t="shared" si="33"/>
        <v>10611329.932024293</v>
      </c>
    </row>
    <row r="326" spans="3:12" ht="18" x14ac:dyDescent="0.25">
      <c r="C326" s="27">
        <f t="shared" si="28"/>
        <v>2049</v>
      </c>
      <c r="D326" s="27">
        <f t="shared" si="29"/>
        <v>5</v>
      </c>
      <c r="E326" s="14"/>
      <c r="F326" s="26"/>
      <c r="G326" s="28">
        <v>318</v>
      </c>
      <c r="H326" s="24">
        <f t="shared" si="34"/>
        <v>54544</v>
      </c>
      <c r="I326" s="21">
        <f t="shared" si="31"/>
        <v>71823.620000231793</v>
      </c>
      <c r="J326" s="20">
        <f t="shared" si="30"/>
        <v>-6532.4808676366711</v>
      </c>
      <c r="K326" s="21">
        <f t="shared" si="32"/>
        <v>-1233153.5520245288</v>
      </c>
      <c r="L326" s="21">
        <f t="shared" si="33"/>
        <v>10683153.552024525</v>
      </c>
    </row>
    <row r="327" spans="3:12" ht="18" x14ac:dyDescent="0.25">
      <c r="C327" s="27">
        <f t="shared" si="28"/>
        <v>2049</v>
      </c>
      <c r="D327" s="27">
        <f t="shared" si="29"/>
        <v>6</v>
      </c>
      <c r="E327" s="14"/>
      <c r="F327" s="26"/>
      <c r="G327" s="28">
        <v>319</v>
      </c>
      <c r="H327" s="24">
        <f t="shared" si="34"/>
        <v>54575</v>
      </c>
      <c r="I327" s="21">
        <f t="shared" si="31"/>
        <v>72227.627862733105</v>
      </c>
      <c r="J327" s="20">
        <f t="shared" si="30"/>
        <v>-6936.4887301379749</v>
      </c>
      <c r="K327" s="21">
        <f t="shared" si="32"/>
        <v>-1305381.1798872619</v>
      </c>
      <c r="L327" s="21">
        <f t="shared" si="33"/>
        <v>10755381.179887258</v>
      </c>
    </row>
    <row r="328" spans="3:12" ht="18" x14ac:dyDescent="0.25">
      <c r="C328" s="27">
        <f t="shared" si="28"/>
        <v>2049</v>
      </c>
      <c r="D328" s="27">
        <f t="shared" si="29"/>
        <v>7</v>
      </c>
      <c r="E328" s="14"/>
      <c r="F328" s="26"/>
      <c r="G328" s="28">
        <v>320</v>
      </c>
      <c r="H328" s="24">
        <f t="shared" si="34"/>
        <v>54605</v>
      </c>
      <c r="I328" s="21">
        <f t="shared" si="31"/>
        <v>72633.908269460982</v>
      </c>
      <c r="J328" s="20">
        <f t="shared" si="30"/>
        <v>-7342.7691368658488</v>
      </c>
      <c r="K328" s="21">
        <f t="shared" si="32"/>
        <v>-1378015.088156723</v>
      </c>
      <c r="L328" s="21">
        <f t="shared" si="33"/>
        <v>10828015.088156719</v>
      </c>
    </row>
    <row r="329" spans="3:12" ht="18" x14ac:dyDescent="0.25">
      <c r="C329" s="27">
        <f t="shared" ref="C329:C368" si="35">YEAR(H329)</f>
        <v>2049</v>
      </c>
      <c r="D329" s="27">
        <f t="shared" ref="D329:D368" si="36">MONTH(H329)</f>
        <v>8</v>
      </c>
      <c r="E329" s="14"/>
      <c r="F329" s="26"/>
      <c r="G329" s="28">
        <v>321</v>
      </c>
      <c r="H329" s="24">
        <f t="shared" si="34"/>
        <v>54636</v>
      </c>
      <c r="I329" s="21">
        <f t="shared" si="31"/>
        <v>73042.474003476687</v>
      </c>
      <c r="J329" s="20">
        <f t="shared" ref="J329:J368" si="37">(K328*$D$4/12)</f>
        <v>-7751.3348708815674</v>
      </c>
      <c r="K329" s="21">
        <f t="shared" si="32"/>
        <v>-1451057.5621601997</v>
      </c>
      <c r="L329" s="21">
        <f t="shared" si="33"/>
        <v>10901057.562160196</v>
      </c>
    </row>
    <row r="330" spans="3:12" ht="18" x14ac:dyDescent="0.25">
      <c r="C330" s="27">
        <f t="shared" si="35"/>
        <v>2049</v>
      </c>
      <c r="D330" s="27">
        <f t="shared" si="36"/>
        <v>9</v>
      </c>
      <c r="E330" s="14"/>
      <c r="F330" s="26"/>
      <c r="G330" s="28">
        <v>322</v>
      </c>
      <c r="H330" s="24">
        <f t="shared" si="34"/>
        <v>54667</v>
      </c>
      <c r="I330" s="21">
        <f t="shared" ref="I330:I368" si="38">$G$8-J330</f>
        <v>73453.337919746249</v>
      </c>
      <c r="J330" s="20">
        <f t="shared" si="37"/>
        <v>-8162.1987871511237</v>
      </c>
      <c r="K330" s="21">
        <f t="shared" ref="K330:K368" si="39">K329-I330</f>
        <v>-1524510.900079946</v>
      </c>
      <c r="L330" s="21">
        <f t="shared" ref="L330:L368" si="40">I330+L329</f>
        <v>10974510.900079941</v>
      </c>
    </row>
    <row r="331" spans="3:12" ht="18" x14ac:dyDescent="0.25">
      <c r="C331" s="27">
        <f t="shared" si="35"/>
        <v>2049</v>
      </c>
      <c r="D331" s="27">
        <f t="shared" si="36"/>
        <v>10</v>
      </c>
      <c r="E331" s="14"/>
      <c r="F331" s="26"/>
      <c r="G331" s="28">
        <v>323</v>
      </c>
      <c r="H331" s="24">
        <f t="shared" si="34"/>
        <v>54697</v>
      </c>
      <c r="I331" s="21">
        <f t="shared" si="38"/>
        <v>73866.512945544819</v>
      </c>
      <c r="J331" s="20">
        <f t="shared" si="37"/>
        <v>-8575.3738129496978</v>
      </c>
      <c r="K331" s="21">
        <f t="shared" si="39"/>
        <v>-1598377.4130254909</v>
      </c>
      <c r="L331" s="21">
        <f t="shared" si="40"/>
        <v>11048377.413025485</v>
      </c>
    </row>
    <row r="332" spans="3:12" ht="18" x14ac:dyDescent="0.25">
      <c r="C332" s="27">
        <f t="shared" si="35"/>
        <v>2049</v>
      </c>
      <c r="D332" s="27">
        <f t="shared" si="36"/>
        <v>11</v>
      </c>
      <c r="E332" s="14"/>
      <c r="F332" s="26"/>
      <c r="G332" s="28">
        <v>324</v>
      </c>
      <c r="H332" s="24">
        <f t="shared" si="34"/>
        <v>54728</v>
      </c>
      <c r="I332" s="21">
        <f t="shared" si="38"/>
        <v>74282.012080863511</v>
      </c>
      <c r="J332" s="20">
        <f t="shared" si="37"/>
        <v>-8990.8729482683866</v>
      </c>
      <c r="K332" s="21">
        <f t="shared" si="39"/>
        <v>-1672659.4251063545</v>
      </c>
      <c r="L332" s="21">
        <f t="shared" si="40"/>
        <v>11122659.425106348</v>
      </c>
    </row>
    <row r="333" spans="3:12" ht="18" x14ac:dyDescent="0.25">
      <c r="C333" s="27">
        <f t="shared" si="35"/>
        <v>2049</v>
      </c>
      <c r="D333" s="27">
        <f t="shared" si="36"/>
        <v>12</v>
      </c>
      <c r="E333" s="14"/>
      <c r="F333" s="26"/>
      <c r="G333" s="28">
        <v>325</v>
      </c>
      <c r="H333" s="24">
        <f t="shared" si="34"/>
        <v>54758</v>
      </c>
      <c r="I333" s="21">
        <f t="shared" si="38"/>
        <v>74699.848398818373</v>
      </c>
      <c r="J333" s="20">
        <f t="shared" si="37"/>
        <v>-9408.7092662232444</v>
      </c>
      <c r="K333" s="21">
        <f t="shared" si="39"/>
        <v>-1747359.2735051729</v>
      </c>
      <c r="L333" s="21">
        <f t="shared" si="40"/>
        <v>11197359.273505166</v>
      </c>
    </row>
    <row r="334" spans="3:12" ht="18" x14ac:dyDescent="0.25">
      <c r="C334" s="27">
        <f t="shared" si="35"/>
        <v>2050</v>
      </c>
      <c r="D334" s="27">
        <f t="shared" si="36"/>
        <v>1</v>
      </c>
      <c r="E334" s="14"/>
      <c r="F334" s="26"/>
      <c r="G334" s="28">
        <v>326</v>
      </c>
      <c r="H334" s="24">
        <f t="shared" si="34"/>
        <v>54789</v>
      </c>
      <c r="I334" s="21">
        <f t="shared" si="38"/>
        <v>75120.035046061719</v>
      </c>
      <c r="J334" s="20">
        <f t="shared" si="37"/>
        <v>-9828.8959134665984</v>
      </c>
      <c r="K334" s="21">
        <f t="shared" si="39"/>
        <v>-1822479.3085512347</v>
      </c>
      <c r="L334" s="21">
        <f t="shared" si="40"/>
        <v>11272479.308551228</v>
      </c>
    </row>
    <row r="335" spans="3:12" ht="18" x14ac:dyDescent="0.25">
      <c r="C335" s="27">
        <f t="shared" si="35"/>
        <v>2050</v>
      </c>
      <c r="D335" s="27">
        <f t="shared" si="36"/>
        <v>2</v>
      </c>
      <c r="E335" s="14"/>
      <c r="F335" s="26"/>
      <c r="G335" s="28">
        <v>327</v>
      </c>
      <c r="H335" s="24">
        <f t="shared" ref="H335:H368" si="41">IF(D334=12,DATEVALUE(CONCATENATE("1/1/",C334+1)),DATEVALUE(CONCATENATE(D334+1,"/1/",C334)))</f>
        <v>54820</v>
      </c>
      <c r="I335" s="21">
        <f t="shared" si="38"/>
        <v>75542.585243195819</v>
      </c>
      <c r="J335" s="20">
        <f t="shared" si="37"/>
        <v>-10251.446110600695</v>
      </c>
      <c r="K335" s="21">
        <f t="shared" si="39"/>
        <v>-1898021.8937944304</v>
      </c>
      <c r="L335" s="21">
        <f t="shared" si="40"/>
        <v>11348021.893794423</v>
      </c>
    </row>
    <row r="336" spans="3:12" ht="18" x14ac:dyDescent="0.25">
      <c r="C336" s="27">
        <f t="shared" si="35"/>
        <v>2050</v>
      </c>
      <c r="D336" s="27">
        <f t="shared" si="36"/>
        <v>3</v>
      </c>
      <c r="E336" s="14"/>
      <c r="F336" s="26"/>
      <c r="G336" s="28">
        <v>328</v>
      </c>
      <c r="H336" s="24">
        <f t="shared" si="41"/>
        <v>54848</v>
      </c>
      <c r="I336" s="21">
        <f t="shared" si="38"/>
        <v>75967.512285188801</v>
      </c>
      <c r="J336" s="20">
        <f t="shared" si="37"/>
        <v>-10676.373152593673</v>
      </c>
      <c r="K336" s="21">
        <f t="shared" si="39"/>
        <v>-1973989.4060796192</v>
      </c>
      <c r="L336" s="21">
        <f t="shared" si="40"/>
        <v>11423989.406079613</v>
      </c>
    </row>
    <row r="337" spans="3:12" ht="18" x14ac:dyDescent="0.25">
      <c r="C337" s="27">
        <f t="shared" si="35"/>
        <v>2050</v>
      </c>
      <c r="D337" s="27">
        <f t="shared" si="36"/>
        <v>4</v>
      </c>
      <c r="E337" s="14"/>
      <c r="F337" s="26"/>
      <c r="G337" s="28">
        <v>329</v>
      </c>
      <c r="H337" s="24">
        <f t="shared" si="41"/>
        <v>54879</v>
      </c>
      <c r="I337" s="21">
        <f t="shared" si="38"/>
        <v>76394.829541792977</v>
      </c>
      <c r="J337" s="20">
        <f t="shared" si="37"/>
        <v>-11103.690409197858</v>
      </c>
      <c r="K337" s="21">
        <f t="shared" si="39"/>
        <v>-2050384.2356214123</v>
      </c>
      <c r="L337" s="21">
        <f t="shared" si="40"/>
        <v>11500384.235621406</v>
      </c>
    </row>
    <row r="338" spans="3:12" ht="18" x14ac:dyDescent="0.25">
      <c r="C338" s="27">
        <f t="shared" si="35"/>
        <v>2050</v>
      </c>
      <c r="D338" s="27">
        <f t="shared" si="36"/>
        <v>5</v>
      </c>
      <c r="E338" s="14"/>
      <c r="F338" s="26"/>
      <c r="G338" s="28">
        <v>330</v>
      </c>
      <c r="H338" s="24">
        <f t="shared" si="41"/>
        <v>54909</v>
      </c>
      <c r="I338" s="21">
        <f t="shared" si="38"/>
        <v>76824.550457965568</v>
      </c>
      <c r="J338" s="20">
        <f t="shared" si="37"/>
        <v>-11533.411325370444</v>
      </c>
      <c r="K338" s="21">
        <f t="shared" si="39"/>
        <v>-2127208.7860793779</v>
      </c>
      <c r="L338" s="21">
        <f t="shared" si="40"/>
        <v>11577208.786079371</v>
      </c>
    </row>
    <row r="339" spans="3:12" ht="18" x14ac:dyDescent="0.25">
      <c r="C339" s="27">
        <f t="shared" si="35"/>
        <v>2050</v>
      </c>
      <c r="D339" s="27">
        <f t="shared" si="36"/>
        <v>6</v>
      </c>
      <c r="E339" s="14"/>
      <c r="F339" s="26"/>
      <c r="G339" s="28">
        <v>331</v>
      </c>
      <c r="H339" s="24">
        <f t="shared" si="41"/>
        <v>54940</v>
      </c>
      <c r="I339" s="21">
        <f t="shared" si="38"/>
        <v>77256.688554291628</v>
      </c>
      <c r="J339" s="20">
        <f t="shared" si="37"/>
        <v>-11965.549421696502</v>
      </c>
      <c r="K339" s="21">
        <f t="shared" si="39"/>
        <v>-2204465.4746336695</v>
      </c>
      <c r="L339" s="21">
        <f t="shared" si="40"/>
        <v>11654465.474633664</v>
      </c>
    </row>
    <row r="340" spans="3:12" ht="18" x14ac:dyDescent="0.25">
      <c r="C340" s="27">
        <f t="shared" si="35"/>
        <v>2050</v>
      </c>
      <c r="D340" s="27">
        <f t="shared" si="36"/>
        <v>7</v>
      </c>
      <c r="E340" s="14"/>
      <c r="F340" s="26"/>
      <c r="G340" s="28">
        <v>332</v>
      </c>
      <c r="H340" s="24">
        <f t="shared" si="41"/>
        <v>54970</v>
      </c>
      <c r="I340" s="21">
        <f t="shared" si="38"/>
        <v>77691.257427409524</v>
      </c>
      <c r="J340" s="20">
        <f t="shared" si="37"/>
        <v>-12400.118294814391</v>
      </c>
      <c r="K340" s="21">
        <f t="shared" si="39"/>
        <v>-2282156.7320610788</v>
      </c>
      <c r="L340" s="21">
        <f t="shared" si="40"/>
        <v>11732156.732061073</v>
      </c>
    </row>
    <row r="341" spans="3:12" ht="18" x14ac:dyDescent="0.25">
      <c r="C341" s="27">
        <f t="shared" si="35"/>
        <v>2050</v>
      </c>
      <c r="D341" s="27">
        <f t="shared" si="36"/>
        <v>8</v>
      </c>
      <c r="E341" s="14"/>
      <c r="F341" s="26"/>
      <c r="G341" s="28">
        <v>333</v>
      </c>
      <c r="H341" s="24">
        <f t="shared" si="41"/>
        <v>55001</v>
      </c>
      <c r="I341" s="21">
        <f t="shared" si="38"/>
        <v>78128.270750438693</v>
      </c>
      <c r="J341" s="20">
        <f t="shared" si="37"/>
        <v>-12837.131617843568</v>
      </c>
      <c r="K341" s="21">
        <f t="shared" si="39"/>
        <v>-2360285.0028115176</v>
      </c>
      <c r="L341" s="21">
        <f t="shared" si="40"/>
        <v>11810285.002811512</v>
      </c>
    </row>
    <row r="342" spans="3:12" ht="18" x14ac:dyDescent="0.25">
      <c r="C342" s="27">
        <f t="shared" si="35"/>
        <v>2050</v>
      </c>
      <c r="D342" s="27">
        <f t="shared" si="36"/>
        <v>9</v>
      </c>
      <c r="E342" s="14"/>
      <c r="F342" s="26"/>
      <c r="G342" s="28">
        <v>334</v>
      </c>
      <c r="H342" s="24">
        <f t="shared" si="41"/>
        <v>55032</v>
      </c>
      <c r="I342" s="21">
        <f t="shared" si="38"/>
        <v>78567.742273409909</v>
      </c>
      <c r="J342" s="20">
        <f t="shared" si="37"/>
        <v>-13276.603140814788</v>
      </c>
      <c r="K342" s="21">
        <f t="shared" si="39"/>
        <v>-2438852.7450849274</v>
      </c>
      <c r="L342" s="21">
        <f t="shared" si="40"/>
        <v>11888852.745084923</v>
      </c>
    </row>
    <row r="343" spans="3:12" ht="18" x14ac:dyDescent="0.25">
      <c r="C343" s="27">
        <f t="shared" si="35"/>
        <v>2050</v>
      </c>
      <c r="D343" s="27">
        <f t="shared" si="36"/>
        <v>10</v>
      </c>
      <c r="E343" s="14"/>
      <c r="F343" s="26"/>
      <c r="G343" s="28">
        <v>335</v>
      </c>
      <c r="H343" s="24">
        <f t="shared" si="41"/>
        <v>55062</v>
      </c>
      <c r="I343" s="21">
        <f t="shared" si="38"/>
        <v>79009.685823697844</v>
      </c>
      <c r="J343" s="20">
        <f t="shared" si="37"/>
        <v>-13718.546691102718</v>
      </c>
      <c r="K343" s="21">
        <f t="shared" si="39"/>
        <v>-2517862.4309086255</v>
      </c>
      <c r="L343" s="21">
        <f t="shared" si="40"/>
        <v>11967862.43090862</v>
      </c>
    </row>
    <row r="344" spans="3:12" ht="18" x14ac:dyDescent="0.25">
      <c r="C344" s="27">
        <f t="shared" si="35"/>
        <v>2050</v>
      </c>
      <c r="D344" s="27">
        <f t="shared" si="36"/>
        <v>11</v>
      </c>
      <c r="E344" s="14"/>
      <c r="F344" s="26"/>
      <c r="G344" s="28">
        <v>336</v>
      </c>
      <c r="H344" s="24">
        <f t="shared" si="41"/>
        <v>55093</v>
      </c>
      <c r="I344" s="21">
        <f t="shared" si="38"/>
        <v>79454.115306456151</v>
      </c>
      <c r="J344" s="20">
        <f t="shared" si="37"/>
        <v>-14162.97617386102</v>
      </c>
      <c r="K344" s="21">
        <f t="shared" si="39"/>
        <v>-2597316.5462150816</v>
      </c>
      <c r="L344" s="21">
        <f t="shared" si="40"/>
        <v>12047316.546215076</v>
      </c>
    </row>
    <row r="345" spans="3:12" ht="18" x14ac:dyDescent="0.25">
      <c r="C345" s="27">
        <f t="shared" si="35"/>
        <v>2050</v>
      </c>
      <c r="D345" s="27">
        <f t="shared" si="36"/>
        <v>12</v>
      </c>
      <c r="E345" s="14"/>
      <c r="F345" s="26"/>
      <c r="G345" s="28">
        <v>337</v>
      </c>
      <c r="H345" s="24">
        <f t="shared" si="41"/>
        <v>55123</v>
      </c>
      <c r="I345" s="21">
        <f t="shared" si="38"/>
        <v>79901.044705054956</v>
      </c>
      <c r="J345" s="20">
        <f t="shared" si="37"/>
        <v>-14609.905572459835</v>
      </c>
      <c r="K345" s="21">
        <f t="shared" si="39"/>
        <v>-2677217.5909201363</v>
      </c>
      <c r="L345" s="21">
        <f t="shared" si="40"/>
        <v>12127217.590920132</v>
      </c>
    </row>
    <row r="346" spans="3:12" ht="18" x14ac:dyDescent="0.25">
      <c r="C346" s="27">
        <f t="shared" si="35"/>
        <v>2051</v>
      </c>
      <c r="D346" s="27">
        <f t="shared" si="36"/>
        <v>1</v>
      </c>
      <c r="E346" s="14"/>
      <c r="F346" s="26"/>
      <c r="G346" s="28">
        <v>338</v>
      </c>
      <c r="H346" s="24">
        <f t="shared" si="41"/>
        <v>55154</v>
      </c>
      <c r="I346" s="21">
        <f t="shared" si="38"/>
        <v>80350.488081520889</v>
      </c>
      <c r="J346" s="20">
        <f t="shared" si="37"/>
        <v>-15059.348948925768</v>
      </c>
      <c r="K346" s="21">
        <f t="shared" si="39"/>
        <v>-2757568.0790016572</v>
      </c>
      <c r="L346" s="21">
        <f t="shared" si="40"/>
        <v>12207568.079001652</v>
      </c>
    </row>
    <row r="347" spans="3:12" ht="18" x14ac:dyDescent="0.25">
      <c r="C347" s="27">
        <f t="shared" si="35"/>
        <v>2051</v>
      </c>
      <c r="D347" s="27">
        <f t="shared" si="36"/>
        <v>2</v>
      </c>
      <c r="E347" s="14"/>
      <c r="F347" s="26"/>
      <c r="G347" s="28">
        <v>339</v>
      </c>
      <c r="H347" s="24">
        <f t="shared" si="41"/>
        <v>55185</v>
      </c>
      <c r="I347" s="21">
        <f t="shared" si="38"/>
        <v>80802.459576979454</v>
      </c>
      <c r="J347" s="20">
        <f t="shared" si="37"/>
        <v>-15511.320444384322</v>
      </c>
      <c r="K347" s="21">
        <f t="shared" si="39"/>
        <v>-2838370.5385786365</v>
      </c>
      <c r="L347" s="21">
        <f t="shared" si="40"/>
        <v>12288370.538578631</v>
      </c>
    </row>
    <row r="348" spans="3:12" ht="18" x14ac:dyDescent="0.25">
      <c r="C348" s="27">
        <f t="shared" si="35"/>
        <v>2051</v>
      </c>
      <c r="D348" s="27">
        <f t="shared" si="36"/>
        <v>3</v>
      </c>
      <c r="E348" s="14"/>
      <c r="F348" s="26"/>
      <c r="G348" s="28">
        <v>340</v>
      </c>
      <c r="H348" s="24">
        <f t="shared" si="41"/>
        <v>55213</v>
      </c>
      <c r="I348" s="21">
        <f t="shared" si="38"/>
        <v>81256.973412099964</v>
      </c>
      <c r="J348" s="20">
        <f t="shared" si="37"/>
        <v>-15965.83427950483</v>
      </c>
      <c r="K348" s="21">
        <f t="shared" si="39"/>
        <v>-2919627.5119907362</v>
      </c>
      <c r="L348" s="21">
        <f t="shared" si="40"/>
        <v>12369627.511990732</v>
      </c>
    </row>
    <row r="349" spans="3:12" ht="18" x14ac:dyDescent="0.25">
      <c r="C349" s="27">
        <f t="shared" si="35"/>
        <v>2051</v>
      </c>
      <c r="D349" s="27">
        <f t="shared" si="36"/>
        <v>4</v>
      </c>
      <c r="E349" s="14"/>
      <c r="F349" s="26"/>
      <c r="G349" s="28">
        <v>341</v>
      </c>
      <c r="H349" s="24">
        <f t="shared" si="41"/>
        <v>55244</v>
      </c>
      <c r="I349" s="21">
        <f t="shared" si="38"/>
        <v>81714.043887543026</v>
      </c>
      <c r="J349" s="20">
        <f t="shared" si="37"/>
        <v>-16422.904754947893</v>
      </c>
      <c r="K349" s="21">
        <f t="shared" si="39"/>
        <v>-3001341.5558782793</v>
      </c>
      <c r="L349" s="21">
        <f t="shared" si="40"/>
        <v>12451341.555878274</v>
      </c>
    </row>
    <row r="350" spans="3:12" ht="18" x14ac:dyDescent="0.25">
      <c r="C350" s="27">
        <f t="shared" si="35"/>
        <v>2051</v>
      </c>
      <c r="D350" s="27">
        <f t="shared" si="36"/>
        <v>5</v>
      </c>
      <c r="E350" s="14"/>
      <c r="F350" s="26"/>
      <c r="G350" s="28">
        <v>342</v>
      </c>
      <c r="H350" s="24">
        <f t="shared" si="41"/>
        <v>55274</v>
      </c>
      <c r="I350" s="21">
        <f t="shared" si="38"/>
        <v>82173.685384410448</v>
      </c>
      <c r="J350" s="20">
        <f t="shared" si="37"/>
        <v>-16882.546251815322</v>
      </c>
      <c r="K350" s="21">
        <f t="shared" si="39"/>
        <v>-3083515.2412626897</v>
      </c>
      <c r="L350" s="21">
        <f t="shared" si="40"/>
        <v>12533515.241262686</v>
      </c>
    </row>
    <row r="351" spans="3:12" ht="18" x14ac:dyDescent="0.25">
      <c r="C351" s="27">
        <f t="shared" si="35"/>
        <v>2051</v>
      </c>
      <c r="D351" s="27">
        <f t="shared" si="36"/>
        <v>6</v>
      </c>
      <c r="E351" s="14"/>
      <c r="F351" s="26"/>
      <c r="G351" s="28">
        <v>343</v>
      </c>
      <c r="H351" s="24">
        <f t="shared" si="41"/>
        <v>55305</v>
      </c>
      <c r="I351" s="21">
        <f t="shared" si="38"/>
        <v>82635.912364697753</v>
      </c>
      <c r="J351" s="20">
        <f t="shared" si="37"/>
        <v>-17344.773232102631</v>
      </c>
      <c r="K351" s="21">
        <f t="shared" si="39"/>
        <v>-3166151.1536273872</v>
      </c>
      <c r="L351" s="21">
        <f t="shared" si="40"/>
        <v>12616151.153627383</v>
      </c>
    </row>
    <row r="352" spans="3:12" ht="18" x14ac:dyDescent="0.25">
      <c r="C352" s="27">
        <f t="shared" si="35"/>
        <v>2051</v>
      </c>
      <c r="D352" s="27">
        <f t="shared" si="36"/>
        <v>7</v>
      </c>
      <c r="E352" s="14"/>
      <c r="F352" s="26"/>
      <c r="G352" s="28">
        <v>344</v>
      </c>
      <c r="H352" s="24">
        <f t="shared" si="41"/>
        <v>55335</v>
      </c>
      <c r="I352" s="21">
        <f t="shared" si="38"/>
        <v>83100.73937174918</v>
      </c>
      <c r="J352" s="20">
        <f t="shared" si="37"/>
        <v>-17809.600239154053</v>
      </c>
      <c r="K352" s="21">
        <f t="shared" si="39"/>
        <v>-3249251.8929991364</v>
      </c>
      <c r="L352" s="21">
        <f t="shared" si="40"/>
        <v>12699251.892999131</v>
      </c>
    </row>
    <row r="353" spans="3:12" ht="18" x14ac:dyDescent="0.25">
      <c r="C353" s="27">
        <f t="shared" si="35"/>
        <v>2051</v>
      </c>
      <c r="D353" s="27">
        <f t="shared" si="36"/>
        <v>8</v>
      </c>
      <c r="E353" s="14"/>
      <c r="F353" s="26"/>
      <c r="G353" s="28">
        <v>345</v>
      </c>
      <c r="H353" s="24">
        <f t="shared" si="41"/>
        <v>55366</v>
      </c>
      <c r="I353" s="21">
        <f t="shared" si="38"/>
        <v>83568.181030715263</v>
      </c>
      <c r="J353" s="20">
        <f t="shared" si="37"/>
        <v>-18277.041898120144</v>
      </c>
      <c r="K353" s="21">
        <f t="shared" si="39"/>
        <v>-3332820.0740298517</v>
      </c>
      <c r="L353" s="21">
        <f t="shared" si="40"/>
        <v>12782820.074029846</v>
      </c>
    </row>
    <row r="354" spans="3:12" ht="18" x14ac:dyDescent="0.25">
      <c r="C354" s="27">
        <f t="shared" si="35"/>
        <v>2051</v>
      </c>
      <c r="D354" s="27">
        <f t="shared" si="36"/>
        <v>9</v>
      </c>
      <c r="E354" s="14"/>
      <c r="F354" s="26"/>
      <c r="G354" s="28">
        <v>346</v>
      </c>
      <c r="H354" s="24">
        <f t="shared" si="41"/>
        <v>55397</v>
      </c>
      <c r="I354" s="21">
        <f t="shared" si="38"/>
        <v>84038.252049013041</v>
      </c>
      <c r="J354" s="20">
        <f t="shared" si="37"/>
        <v>-18747.112916417918</v>
      </c>
      <c r="K354" s="21">
        <f t="shared" si="39"/>
        <v>-3416858.3260788647</v>
      </c>
      <c r="L354" s="21">
        <f t="shared" si="40"/>
        <v>12866858.326078858</v>
      </c>
    </row>
    <row r="355" spans="3:12" ht="18" x14ac:dyDescent="0.25">
      <c r="C355" s="27">
        <f t="shared" si="35"/>
        <v>2051</v>
      </c>
      <c r="D355" s="27">
        <f t="shared" si="36"/>
        <v>10</v>
      </c>
      <c r="E355" s="14"/>
      <c r="F355" s="26"/>
      <c r="G355" s="28">
        <v>347</v>
      </c>
      <c r="H355" s="24">
        <f t="shared" si="41"/>
        <v>55427</v>
      </c>
      <c r="I355" s="21">
        <f t="shared" si="38"/>
        <v>84510.967216788747</v>
      </c>
      <c r="J355" s="20">
        <f t="shared" si="37"/>
        <v>-19219.828084193618</v>
      </c>
      <c r="K355" s="21">
        <f t="shared" si="39"/>
        <v>-3501369.2932956535</v>
      </c>
      <c r="L355" s="21">
        <f t="shared" si="40"/>
        <v>12951369.293295646</v>
      </c>
    </row>
    <row r="356" spans="3:12" ht="18" x14ac:dyDescent="0.25">
      <c r="C356" s="27">
        <f t="shared" si="35"/>
        <v>2051</v>
      </c>
      <c r="D356" s="27">
        <f t="shared" si="36"/>
        <v>11</v>
      </c>
      <c r="E356" s="14"/>
      <c r="F356" s="26"/>
      <c r="G356" s="28">
        <v>348</v>
      </c>
      <c r="H356" s="24">
        <f t="shared" si="41"/>
        <v>55458</v>
      </c>
      <c r="I356" s="21">
        <f t="shared" si="38"/>
        <v>84986.341407383181</v>
      </c>
      <c r="J356" s="20">
        <f t="shared" si="37"/>
        <v>-19695.202274788051</v>
      </c>
      <c r="K356" s="21">
        <f t="shared" si="39"/>
        <v>-3586355.6347030369</v>
      </c>
      <c r="L356" s="21">
        <f t="shared" si="40"/>
        <v>13036355.634703029</v>
      </c>
    </row>
    <row r="357" spans="3:12" ht="18" x14ac:dyDescent="0.25">
      <c r="C357" s="27">
        <f t="shared" si="35"/>
        <v>2051</v>
      </c>
      <c r="D357" s="27">
        <f t="shared" si="36"/>
        <v>12</v>
      </c>
      <c r="E357" s="14"/>
      <c r="F357" s="26"/>
      <c r="G357" s="28">
        <v>349</v>
      </c>
      <c r="H357" s="24">
        <f t="shared" si="41"/>
        <v>55488</v>
      </c>
      <c r="I357" s="21">
        <f t="shared" si="38"/>
        <v>85464.38957779971</v>
      </c>
      <c r="J357" s="20">
        <f t="shared" si="37"/>
        <v>-20173.250445204583</v>
      </c>
      <c r="K357" s="21">
        <f t="shared" si="39"/>
        <v>-3671820.0242808368</v>
      </c>
      <c r="L357" s="21">
        <f t="shared" si="40"/>
        <v>13121820.024280829</v>
      </c>
    </row>
    <row r="358" spans="3:12" ht="18" x14ac:dyDescent="0.25">
      <c r="C358" s="27">
        <f t="shared" si="35"/>
        <v>2052</v>
      </c>
      <c r="D358" s="27">
        <f t="shared" si="36"/>
        <v>1</v>
      </c>
      <c r="E358" s="14"/>
      <c r="F358" s="26"/>
      <c r="G358" s="28">
        <v>350</v>
      </c>
      <c r="H358" s="24">
        <f t="shared" si="41"/>
        <v>55519</v>
      </c>
      <c r="I358" s="21">
        <f t="shared" si="38"/>
        <v>85945.126769174836</v>
      </c>
      <c r="J358" s="20">
        <f t="shared" si="37"/>
        <v>-20653.987636579706</v>
      </c>
      <c r="K358" s="21">
        <f t="shared" si="39"/>
        <v>-3757765.1510500116</v>
      </c>
      <c r="L358" s="21">
        <f t="shared" si="40"/>
        <v>13207765.151050005</v>
      </c>
    </row>
    <row r="359" spans="3:12" ht="18" x14ac:dyDescent="0.25">
      <c r="C359" s="27">
        <f t="shared" si="35"/>
        <v>2052</v>
      </c>
      <c r="D359" s="27">
        <f t="shared" si="36"/>
        <v>2</v>
      </c>
      <c r="E359" s="14"/>
      <c r="F359" s="26"/>
      <c r="G359" s="28">
        <v>351</v>
      </c>
      <c r="H359" s="24">
        <f t="shared" si="41"/>
        <v>55550</v>
      </c>
      <c r="I359" s="21">
        <f t="shared" si="38"/>
        <v>86428.568107251442</v>
      </c>
      <c r="J359" s="20">
        <f t="shared" si="37"/>
        <v>-21137.428974656319</v>
      </c>
      <c r="K359" s="21">
        <f t="shared" si="39"/>
        <v>-3844193.7191572632</v>
      </c>
      <c r="L359" s="21">
        <f t="shared" si="40"/>
        <v>13294193.719157256</v>
      </c>
    </row>
    <row r="360" spans="3:12" ht="18" x14ac:dyDescent="0.25">
      <c r="C360" s="27">
        <f t="shared" si="35"/>
        <v>2052</v>
      </c>
      <c r="D360" s="27">
        <f t="shared" si="36"/>
        <v>3</v>
      </c>
      <c r="E360" s="14"/>
      <c r="F360" s="26"/>
      <c r="G360" s="28">
        <v>352</v>
      </c>
      <c r="H360" s="24">
        <f t="shared" si="41"/>
        <v>55579</v>
      </c>
      <c r="I360" s="21">
        <f t="shared" si="38"/>
        <v>86914.728802854734</v>
      </c>
      <c r="J360" s="20">
        <f t="shared" si="37"/>
        <v>-21623.589670259607</v>
      </c>
      <c r="K360" s="21">
        <f t="shared" si="39"/>
        <v>-3931108.4479601178</v>
      </c>
      <c r="L360" s="21">
        <f t="shared" si="40"/>
        <v>13381108.44796011</v>
      </c>
    </row>
    <row r="361" spans="3:12" ht="18" x14ac:dyDescent="0.25">
      <c r="C361" s="27">
        <f t="shared" si="35"/>
        <v>2052</v>
      </c>
      <c r="D361" s="27">
        <f t="shared" si="36"/>
        <v>4</v>
      </c>
      <c r="E361" s="14"/>
      <c r="F361" s="26"/>
      <c r="G361" s="28">
        <v>353</v>
      </c>
      <c r="H361" s="24">
        <f t="shared" si="41"/>
        <v>55610</v>
      </c>
      <c r="I361" s="21">
        <f t="shared" si="38"/>
        <v>87403.624152370787</v>
      </c>
      <c r="J361" s="20">
        <f t="shared" si="37"/>
        <v>-22112.485019775664</v>
      </c>
      <c r="K361" s="21">
        <f t="shared" si="39"/>
        <v>-4018512.0721124886</v>
      </c>
      <c r="L361" s="21">
        <f t="shared" si="40"/>
        <v>13468512.072112482</v>
      </c>
    </row>
    <row r="362" spans="3:12" ht="18" x14ac:dyDescent="0.25">
      <c r="C362" s="27">
        <f t="shared" si="35"/>
        <v>2052</v>
      </c>
      <c r="D362" s="27">
        <f t="shared" si="36"/>
        <v>5</v>
      </c>
      <c r="E362" s="14"/>
      <c r="F362" s="26"/>
      <c r="G362" s="28">
        <v>354</v>
      </c>
      <c r="H362" s="24">
        <f t="shared" si="41"/>
        <v>55640</v>
      </c>
      <c r="I362" s="21">
        <f t="shared" si="38"/>
        <v>87895.269538227876</v>
      </c>
      <c r="J362" s="20">
        <f t="shared" si="37"/>
        <v>-22604.13040563275</v>
      </c>
      <c r="K362" s="21">
        <f t="shared" si="39"/>
        <v>-4106407.3416507165</v>
      </c>
      <c r="L362" s="21">
        <f t="shared" si="40"/>
        <v>13556407.34165071</v>
      </c>
    </row>
    <row r="363" spans="3:12" ht="18" x14ac:dyDescent="0.25">
      <c r="C363" s="27">
        <f t="shared" si="35"/>
        <v>2052</v>
      </c>
      <c r="D363" s="27">
        <f t="shared" si="36"/>
        <v>6</v>
      </c>
      <c r="E363" s="14"/>
      <c r="F363" s="26"/>
      <c r="G363" s="28">
        <v>355</v>
      </c>
      <c r="H363" s="24">
        <f t="shared" si="41"/>
        <v>55671</v>
      </c>
      <c r="I363" s="21">
        <f t="shared" si="38"/>
        <v>88389.680429380402</v>
      </c>
      <c r="J363" s="20">
        <f t="shared" si="37"/>
        <v>-23098.541296785279</v>
      </c>
      <c r="K363" s="21">
        <f t="shared" si="39"/>
        <v>-4194797.0220800973</v>
      </c>
      <c r="L363" s="21">
        <f t="shared" si="40"/>
        <v>13644797.02208009</v>
      </c>
    </row>
    <row r="364" spans="3:12" ht="18" x14ac:dyDescent="0.25">
      <c r="C364" s="27">
        <f t="shared" si="35"/>
        <v>2052</v>
      </c>
      <c r="D364" s="27">
        <f t="shared" si="36"/>
        <v>7</v>
      </c>
      <c r="E364" s="14"/>
      <c r="F364" s="26"/>
      <c r="G364" s="28">
        <v>356</v>
      </c>
      <c r="H364" s="24">
        <f t="shared" si="41"/>
        <v>55701</v>
      </c>
      <c r="I364" s="21">
        <f t="shared" si="38"/>
        <v>88886.872381795678</v>
      </c>
      <c r="J364" s="20">
        <f t="shared" si="37"/>
        <v>-23595.733249200548</v>
      </c>
      <c r="K364" s="21">
        <f t="shared" si="39"/>
        <v>-4283683.8944618935</v>
      </c>
      <c r="L364" s="21">
        <f t="shared" si="40"/>
        <v>13733683.894461885</v>
      </c>
    </row>
    <row r="365" spans="3:12" ht="18" x14ac:dyDescent="0.25">
      <c r="C365" s="27">
        <f t="shared" si="35"/>
        <v>2052</v>
      </c>
      <c r="D365" s="27">
        <f t="shared" si="36"/>
        <v>8</v>
      </c>
      <c r="E365" s="14"/>
      <c r="F365" s="26"/>
      <c r="G365" s="28">
        <v>357</v>
      </c>
      <c r="H365" s="24">
        <f t="shared" si="41"/>
        <v>55732</v>
      </c>
      <c r="I365" s="21">
        <f t="shared" si="38"/>
        <v>89386.861038943272</v>
      </c>
      <c r="J365" s="20">
        <f t="shared" si="37"/>
        <v>-24095.72190634815</v>
      </c>
      <c r="K365" s="21">
        <f t="shared" si="39"/>
        <v>-4373070.7555008363</v>
      </c>
      <c r="L365" s="21">
        <f t="shared" si="40"/>
        <v>13823070.755500829</v>
      </c>
    </row>
    <row r="366" spans="3:12" ht="18" x14ac:dyDescent="0.25">
      <c r="C366" s="27">
        <f t="shared" si="35"/>
        <v>2052</v>
      </c>
      <c r="D366" s="27">
        <f t="shared" si="36"/>
        <v>9</v>
      </c>
      <c r="E366" s="14"/>
      <c r="F366" s="26"/>
      <c r="G366" s="28">
        <v>358</v>
      </c>
      <c r="H366" s="24">
        <f t="shared" si="41"/>
        <v>55763</v>
      </c>
      <c r="I366" s="21">
        <f t="shared" si="38"/>
        <v>89889.662132287325</v>
      </c>
      <c r="J366" s="20">
        <f t="shared" si="37"/>
        <v>-24598.522999692203</v>
      </c>
      <c r="K366" s="21">
        <f t="shared" si="39"/>
        <v>-4462960.4176331237</v>
      </c>
      <c r="L366" s="21">
        <f t="shared" si="40"/>
        <v>13912960.417633116</v>
      </c>
    </row>
    <row r="367" spans="3:12" ht="18" x14ac:dyDescent="0.25">
      <c r="C367" s="27">
        <f t="shared" si="35"/>
        <v>2052</v>
      </c>
      <c r="D367" s="27">
        <f t="shared" si="36"/>
        <v>10</v>
      </c>
      <c r="E367" s="14"/>
      <c r="F367" s="26"/>
      <c r="G367" s="28">
        <v>359</v>
      </c>
      <c r="H367" s="24">
        <f t="shared" si="41"/>
        <v>55793</v>
      </c>
      <c r="I367" s="21">
        <f t="shared" si="38"/>
        <v>90395.291481781445</v>
      </c>
      <c r="J367" s="20">
        <f t="shared" si="37"/>
        <v>-25104.152349186323</v>
      </c>
      <c r="K367" s="21">
        <f t="shared" si="39"/>
        <v>-4553355.7091149054</v>
      </c>
      <c r="L367" s="21">
        <f t="shared" si="40"/>
        <v>14003355.709114898</v>
      </c>
    </row>
    <row r="368" spans="3:12" ht="18" x14ac:dyDescent="0.25">
      <c r="C368" s="27">
        <f t="shared" si="35"/>
        <v>2052</v>
      </c>
      <c r="D368" s="27">
        <f t="shared" si="36"/>
        <v>11</v>
      </c>
      <c r="E368" s="14"/>
      <c r="F368" s="26"/>
      <c r="G368" s="28">
        <v>360</v>
      </c>
      <c r="H368" s="24">
        <f t="shared" si="41"/>
        <v>55824</v>
      </c>
      <c r="I368" s="21">
        <f t="shared" si="38"/>
        <v>90903.764996366473</v>
      </c>
      <c r="J368" s="20">
        <f t="shared" si="37"/>
        <v>-25612.625863771347</v>
      </c>
      <c r="K368" s="21">
        <f t="shared" si="39"/>
        <v>-4644259.474111272</v>
      </c>
      <c r="L368" s="21">
        <f t="shared" si="40"/>
        <v>14094259.474111265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2"/>
  <sheetViews>
    <sheetView topLeftCell="A10" workbookViewId="0">
      <selection activeCell="O25" sqref="O25"/>
    </sheetView>
  </sheetViews>
  <sheetFormatPr defaultRowHeight="15" x14ac:dyDescent="0.25"/>
  <cols>
    <col min="1" max="1" width="36.7109375" customWidth="1"/>
    <col min="2" max="2" width="16" customWidth="1"/>
    <col min="3" max="3" width="16.7109375" customWidth="1"/>
    <col min="4" max="4" width="15.28515625" customWidth="1"/>
    <col min="5" max="5" width="12.5703125" customWidth="1"/>
    <col min="6" max="6" width="12.7109375" customWidth="1"/>
    <col min="7" max="7" width="14.5703125" customWidth="1"/>
    <col min="8" max="8" width="19.7109375" customWidth="1"/>
    <col min="9" max="9" width="14.7109375" customWidth="1"/>
  </cols>
  <sheetData>
    <row r="2" spans="1:9" x14ac:dyDescent="0.25">
      <c r="A2" t="s">
        <v>13</v>
      </c>
      <c r="B2" s="3"/>
      <c r="C2" s="3">
        <v>200000000</v>
      </c>
      <c r="D2" s="3">
        <v>150000000</v>
      </c>
    </row>
    <row r="3" spans="1:9" x14ac:dyDescent="0.25">
      <c r="A3" t="s">
        <v>43</v>
      </c>
      <c r="B3" s="3">
        <f>B2-B4</f>
        <v>0</v>
      </c>
      <c r="C3" s="3">
        <f>(C2-C4)+C4*0.05</f>
        <v>105000000</v>
      </c>
      <c r="D3" s="3">
        <f>(D2-D4)+D4*0.05</f>
        <v>78750000</v>
      </c>
    </row>
    <row r="4" spans="1:9" x14ac:dyDescent="0.25">
      <c r="A4" t="s">
        <v>44</v>
      </c>
      <c r="B4" s="3">
        <f>SUM(B2*B5)</f>
        <v>0</v>
      </c>
      <c r="C4" s="3">
        <f>C2*C5</f>
        <v>100000000</v>
      </c>
      <c r="D4" s="3">
        <f>SUM(D2*D5)</f>
        <v>75000000</v>
      </c>
    </row>
    <row r="5" spans="1:9" x14ac:dyDescent="0.25">
      <c r="A5" t="s">
        <v>22</v>
      </c>
      <c r="B5" s="5">
        <v>0.8</v>
      </c>
      <c r="C5" s="5">
        <v>0.5</v>
      </c>
      <c r="D5" s="5">
        <v>0.5</v>
      </c>
    </row>
    <row r="7" spans="1:9" x14ac:dyDescent="0.25">
      <c r="C7" s="5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40</v>
      </c>
      <c r="I7" s="3"/>
    </row>
    <row r="8" spans="1:9" x14ac:dyDescent="0.25">
      <c r="C8" s="3"/>
      <c r="D8" s="3"/>
      <c r="E8" s="3"/>
      <c r="F8" s="3"/>
      <c r="G8" s="3"/>
      <c r="H8" s="3"/>
      <c r="I8" s="3"/>
    </row>
    <row r="9" spans="1:9" x14ac:dyDescent="0.25">
      <c r="A9" t="s">
        <v>5</v>
      </c>
      <c r="C9" s="3">
        <f>D2*0.1</f>
        <v>15000000</v>
      </c>
      <c r="D9" s="3">
        <f>C9*1*1.01</f>
        <v>15150000</v>
      </c>
      <c r="E9" s="3">
        <f>(D9*1)*1.01</f>
        <v>15301500</v>
      </c>
      <c r="F9" s="3">
        <f>E9*1*1.01</f>
        <v>15454515</v>
      </c>
      <c r="G9" s="3">
        <f>(F9*1)*1.01</f>
        <v>15609060.15</v>
      </c>
      <c r="H9" s="3">
        <f>G9*1.01</f>
        <v>15765150.751500001</v>
      </c>
      <c r="I9" s="3"/>
    </row>
    <row r="10" spans="1:9" x14ac:dyDescent="0.25">
      <c r="A10" t="s">
        <v>6</v>
      </c>
      <c r="C10" s="3">
        <f>0.5*C9</f>
        <v>7500000</v>
      </c>
      <c r="D10" s="3">
        <f>0.03*D9</f>
        <v>454500</v>
      </c>
      <c r="E10" s="3">
        <f>0.03*E9</f>
        <v>459045</v>
      </c>
      <c r="F10" s="3">
        <f>0.03*F9</f>
        <v>463635.45</v>
      </c>
      <c r="G10" s="3">
        <f>0.03*G9</f>
        <v>468271.80449999997</v>
      </c>
      <c r="H10" s="3">
        <f>0.03*H9</f>
        <v>472954.52254500001</v>
      </c>
      <c r="I10" s="3"/>
    </row>
    <row r="11" spans="1:9" x14ac:dyDescent="0.25">
      <c r="A11" t="s">
        <v>7</v>
      </c>
      <c r="C11" s="3">
        <f t="shared" ref="C11:H11" si="0">SUM(C9-C10)</f>
        <v>7500000</v>
      </c>
      <c r="D11" s="3">
        <f t="shared" si="0"/>
        <v>14695500</v>
      </c>
      <c r="E11" s="3">
        <f t="shared" si="0"/>
        <v>14842455</v>
      </c>
      <c r="F11" s="3">
        <f t="shared" si="0"/>
        <v>14990879.550000001</v>
      </c>
      <c r="G11" s="3">
        <f t="shared" si="0"/>
        <v>15140788.3455</v>
      </c>
      <c r="H11" s="3">
        <f t="shared" si="0"/>
        <v>15292196.228955001</v>
      </c>
      <c r="I11" s="3"/>
    </row>
    <row r="12" spans="1:9" x14ac:dyDescent="0.25">
      <c r="A12" t="s">
        <v>8</v>
      </c>
      <c r="C12" s="3">
        <f t="shared" ref="C12:H12" si="1">0.3*C11</f>
        <v>2250000</v>
      </c>
      <c r="D12" s="3">
        <f t="shared" si="1"/>
        <v>4408650</v>
      </c>
      <c r="E12" s="3">
        <f t="shared" si="1"/>
        <v>4452736.5</v>
      </c>
      <c r="F12" s="3">
        <f t="shared" si="1"/>
        <v>4497263.8650000002</v>
      </c>
      <c r="G12" s="3">
        <f t="shared" si="1"/>
        <v>4542236.5036499994</v>
      </c>
      <c r="H12" s="3">
        <f t="shared" si="1"/>
        <v>4587658.8686865</v>
      </c>
      <c r="I12" s="3"/>
    </row>
    <row r="13" spans="1:9" x14ac:dyDescent="0.25">
      <c r="A13" t="s">
        <v>9</v>
      </c>
      <c r="C13" s="3">
        <f t="shared" ref="C13:H13" si="2">0.15*C11</f>
        <v>1125000</v>
      </c>
      <c r="D13" s="3">
        <f t="shared" si="2"/>
        <v>2204325</v>
      </c>
      <c r="E13" s="3">
        <f t="shared" si="2"/>
        <v>2226368.25</v>
      </c>
      <c r="F13" s="3">
        <f t="shared" si="2"/>
        <v>2248631.9325000001</v>
      </c>
      <c r="G13" s="3">
        <f t="shared" si="2"/>
        <v>2271118.2518249997</v>
      </c>
      <c r="H13" s="3">
        <f t="shared" si="2"/>
        <v>2293829.43434325</v>
      </c>
      <c r="I13" s="3"/>
    </row>
    <row r="14" spans="1:9" x14ac:dyDescent="0.25">
      <c r="A14" t="s">
        <v>10</v>
      </c>
      <c r="C14" s="3">
        <f t="shared" ref="C14:H14" si="3">SUM(C11-C12-C13)</f>
        <v>4125000</v>
      </c>
      <c r="D14" s="3">
        <f t="shared" si="3"/>
        <v>8082525</v>
      </c>
      <c r="E14" s="3">
        <f t="shared" si="3"/>
        <v>8163350.25</v>
      </c>
      <c r="F14" s="3">
        <f t="shared" si="3"/>
        <v>8244983.7525000004</v>
      </c>
      <c r="G14" s="3">
        <f t="shared" si="3"/>
        <v>8327433.5900250021</v>
      </c>
      <c r="H14" s="3">
        <f t="shared" si="3"/>
        <v>8410707.9259252492</v>
      </c>
      <c r="I14" s="3"/>
    </row>
    <row r="15" spans="1:9" x14ac:dyDescent="0.25">
      <c r="A15" t="s">
        <v>11</v>
      </c>
      <c r="C15" s="3">
        <v>4831000</v>
      </c>
      <c r="D15" s="3">
        <v>4831000</v>
      </c>
      <c r="E15" s="3">
        <v>4831000</v>
      </c>
      <c r="F15" s="3">
        <v>4831000</v>
      </c>
      <c r="G15" s="3">
        <v>4831000</v>
      </c>
      <c r="H15" s="3">
        <v>4831000</v>
      </c>
      <c r="I15" s="3"/>
    </row>
    <row r="16" spans="1:9" x14ac:dyDescent="0.25">
      <c r="A16" t="s">
        <v>12</v>
      </c>
      <c r="C16" s="3">
        <f t="shared" ref="C16:H16" si="4">SUM(C14-C15)</f>
        <v>-706000</v>
      </c>
      <c r="D16" s="3">
        <f t="shared" si="4"/>
        <v>3251525</v>
      </c>
      <c r="E16" s="3">
        <f t="shared" si="4"/>
        <v>3332350.25</v>
      </c>
      <c r="F16" s="3">
        <f t="shared" si="4"/>
        <v>3413983.7525000004</v>
      </c>
      <c r="G16" s="3">
        <f t="shared" si="4"/>
        <v>3496433.5900250021</v>
      </c>
      <c r="H16" s="3">
        <f t="shared" si="4"/>
        <v>3579707.9259252492</v>
      </c>
      <c r="I16" s="3"/>
    </row>
    <row r="17" spans="1:9" x14ac:dyDescent="0.25">
      <c r="C17" s="3"/>
      <c r="D17" s="3"/>
      <c r="E17" s="3"/>
      <c r="F17" s="3"/>
      <c r="G17" s="3"/>
      <c r="H17" s="3"/>
      <c r="I17" s="3"/>
    </row>
    <row r="18" spans="1:9" x14ac:dyDescent="0.25">
      <c r="A18" t="s">
        <v>26</v>
      </c>
      <c r="C18" s="3">
        <f>NPV(0.18,C16)</f>
        <v>-598305.08474576275</v>
      </c>
      <c r="D18" s="3">
        <f>NPV(0.18,0,D16)</f>
        <v>2335194.6279804655</v>
      </c>
      <c r="E18" s="3">
        <f>NPV(0.18,0,0,E16)</f>
        <v>2028171.2407305522</v>
      </c>
      <c r="F18" s="3">
        <f>NPV(0.18,0,0,0,F16)</f>
        <v>1760894.8394889783</v>
      </c>
      <c r="G18" s="3">
        <f>NPV(0.18,0,0,0,0,G16)</f>
        <v>1528323.3461376773</v>
      </c>
      <c r="H18" s="2">
        <f>NPV(0.18,0,0,0,0,0,H16)</f>
        <v>1326036.716809446</v>
      </c>
      <c r="I18" s="3"/>
    </row>
    <row r="19" spans="1:9" x14ac:dyDescent="0.25">
      <c r="A19" t="s">
        <v>28</v>
      </c>
      <c r="C19" s="3"/>
      <c r="D19" s="3"/>
      <c r="E19" s="3"/>
      <c r="F19" s="3"/>
      <c r="G19" s="3">
        <f>G27-68872000</f>
        <v>76403864.175072461</v>
      </c>
      <c r="H19" s="3">
        <v>15782018</v>
      </c>
      <c r="I19" s="3">
        <f>SUM(G19-H19)</f>
        <v>60621846.175072461</v>
      </c>
    </row>
    <row r="20" spans="1:9" x14ac:dyDescent="0.25">
      <c r="A20" t="s">
        <v>27</v>
      </c>
      <c r="C20" s="3"/>
      <c r="D20" s="3"/>
      <c r="E20" s="3"/>
      <c r="F20" s="3"/>
      <c r="G20" s="3">
        <f>NPV(0.18,0,0,0,0,G19)</f>
        <v>33396833.18654434</v>
      </c>
      <c r="H20" s="3"/>
      <c r="I20" s="3"/>
    </row>
    <row r="21" spans="1:9" x14ac:dyDescent="0.25">
      <c r="A21" t="s">
        <v>23</v>
      </c>
      <c r="B21" s="4">
        <f>-C3</f>
        <v>-105000000</v>
      </c>
      <c r="C21" s="3">
        <f>C16</f>
        <v>-706000</v>
      </c>
      <c r="D21" s="3">
        <f>D16</f>
        <v>3251525</v>
      </c>
      <c r="E21" s="3">
        <f>E16</f>
        <v>3332350.25</v>
      </c>
      <c r="F21" s="3">
        <f>F16</f>
        <v>3413983.7525000004</v>
      </c>
      <c r="G21" s="3">
        <f>G16+G19</f>
        <v>79900297.765097469</v>
      </c>
      <c r="H21" s="6">
        <f>IRR(B21:G21)</f>
        <v>-3.3318452632429496E-2</v>
      </c>
      <c r="I21" s="10">
        <f>IRR(B21:G21)</f>
        <v>-3.3318452632429496E-2</v>
      </c>
    </row>
    <row r="22" spans="1:9" x14ac:dyDescent="0.25">
      <c r="A22" t="s">
        <v>29</v>
      </c>
      <c r="C22" s="3">
        <f>+SUM(C18:G18,G20)</f>
        <v>40451112.156136252</v>
      </c>
      <c r="D22" s="3">
        <f>C3</f>
        <v>105000000</v>
      </c>
      <c r="E22" s="3"/>
      <c r="F22" s="3"/>
      <c r="G22" s="3">
        <f>SUM(C22-D22)</f>
        <v>-64548887.843863748</v>
      </c>
      <c r="H22" s="3"/>
      <c r="I22" s="7"/>
    </row>
    <row r="23" spans="1:9" x14ac:dyDescent="0.25">
      <c r="A23" t="s">
        <v>25</v>
      </c>
      <c r="C23" s="3">
        <f>NPV(0.1,C14)</f>
        <v>3749999.9999999995</v>
      </c>
      <c r="D23" s="3">
        <f>NPV(0.1,0,D14)</f>
        <v>6679772.7272727257</v>
      </c>
      <c r="E23" s="3">
        <f>NPV(0.1,0,0,E14)</f>
        <v>6133245.8677685931</v>
      </c>
      <c r="F23" s="3">
        <f>NPV(0.1,0,0,0,F14)</f>
        <v>5631434.8422238892</v>
      </c>
      <c r="G23" s="3">
        <f>NPV(0.1,0,0,0,0,G14)</f>
        <v>5170681.0824055718</v>
      </c>
      <c r="H23" s="3"/>
      <c r="I23" s="3"/>
    </row>
    <row r="24" spans="1:9" x14ac:dyDescent="0.25">
      <c r="A24" t="s">
        <v>41</v>
      </c>
      <c r="C24" s="3"/>
      <c r="D24" s="3"/>
      <c r="E24" s="3"/>
      <c r="F24" s="3"/>
      <c r="G24" s="3"/>
      <c r="H24" s="3"/>
      <c r="I24" s="3">
        <f>SUM(C23:G23)+G28</f>
        <v>117570016.31181884</v>
      </c>
    </row>
    <row r="25" spans="1:9" x14ac:dyDescent="0.25">
      <c r="A25" t="s">
        <v>30</v>
      </c>
      <c r="C25" s="3"/>
      <c r="D25" s="3"/>
      <c r="E25" s="3"/>
      <c r="F25" s="3"/>
      <c r="G25" s="3">
        <f>SUM(H14/C36)</f>
        <v>152921962.28954998</v>
      </c>
      <c r="H25" s="3"/>
      <c r="I25" s="3">
        <f>SUM(C24,D24,E24,F24,G24,G26)</f>
        <v>94952507.149629563</v>
      </c>
    </row>
    <row r="26" spans="1:9" x14ac:dyDescent="0.25">
      <c r="A26" t="s">
        <v>31</v>
      </c>
      <c r="C26" s="3"/>
      <c r="D26" s="3"/>
      <c r="E26" s="3"/>
      <c r="F26" s="3"/>
      <c r="G26" s="3">
        <f>NPV(0.1,0,0,0,0,G25)</f>
        <v>94952507.149629563</v>
      </c>
      <c r="H26" s="3"/>
      <c r="I26" s="3"/>
    </row>
    <row r="27" spans="1:9" x14ac:dyDescent="0.25">
      <c r="A27" t="s">
        <v>38</v>
      </c>
      <c r="C27" s="3"/>
      <c r="D27" s="3"/>
      <c r="E27" s="3"/>
      <c r="F27" s="3"/>
      <c r="G27" s="3">
        <f>SUM(G25*0.95)</f>
        <v>145275864.17507246</v>
      </c>
      <c r="H27" s="3"/>
      <c r="I27" s="3"/>
    </row>
    <row r="28" spans="1:9" x14ac:dyDescent="0.25">
      <c r="A28" t="s">
        <v>39</v>
      </c>
      <c r="C28" s="3"/>
      <c r="D28" s="3"/>
      <c r="E28" s="3"/>
      <c r="F28" s="3"/>
      <c r="G28" s="3">
        <f>NPV(0.1,0,0,0,0,G27)</f>
        <v>90204881.792148069</v>
      </c>
      <c r="H28" s="3"/>
      <c r="I28" s="3">
        <f>SUM(C23,D23,E23,F23,G23,G28)</f>
        <v>117570016.31181884</v>
      </c>
    </row>
    <row r="29" spans="1:9" x14ac:dyDescent="0.25">
      <c r="A29" t="s">
        <v>24</v>
      </c>
      <c r="C29" s="7">
        <f>(C14/C2)</f>
        <v>2.0625000000000001E-2</v>
      </c>
      <c r="D29" s="3"/>
      <c r="E29" s="3"/>
      <c r="F29" s="3"/>
      <c r="G29" s="3"/>
      <c r="H29" s="3"/>
      <c r="I29" s="3"/>
    </row>
    <row r="30" spans="1:9" x14ac:dyDescent="0.25">
      <c r="A30" t="s">
        <v>16</v>
      </c>
      <c r="C30" s="7">
        <f>(C16/C3)</f>
        <v>-6.7238095238095234E-3</v>
      </c>
    </row>
    <row r="31" spans="1:9" x14ac:dyDescent="0.25">
      <c r="A31" t="s">
        <v>17</v>
      </c>
      <c r="C31" s="8">
        <f>(C2/C11)</f>
        <v>26.666666666666668</v>
      </c>
    </row>
    <row r="32" spans="1:9" x14ac:dyDescent="0.25">
      <c r="A32" t="s">
        <v>18</v>
      </c>
      <c r="C32" s="5">
        <f>(C12/C11)</f>
        <v>0.3</v>
      </c>
    </row>
    <row r="33" spans="1:3" x14ac:dyDescent="0.25">
      <c r="A33" t="s">
        <v>19</v>
      </c>
      <c r="C33" s="8">
        <f>(C14/C15)</f>
        <v>0.85386048437176565</v>
      </c>
    </row>
    <row r="34" spans="1:3" x14ac:dyDescent="0.25">
      <c r="A34" t="s">
        <v>20</v>
      </c>
      <c r="C34" s="6">
        <f>(C14/C4)</f>
        <v>4.1250000000000002E-2</v>
      </c>
    </row>
    <row r="35" spans="1:3" x14ac:dyDescent="0.25">
      <c r="A35" t="s">
        <v>21</v>
      </c>
      <c r="C35" s="9">
        <f>(C2/C14)</f>
        <v>48.484848484848484</v>
      </c>
    </row>
    <row r="36" spans="1:3" x14ac:dyDescent="0.25">
      <c r="A36" t="s">
        <v>32</v>
      </c>
      <c r="C36" s="1">
        <v>5.5E-2</v>
      </c>
    </row>
    <row r="38" spans="1:3" x14ac:dyDescent="0.25">
      <c r="A38" t="s">
        <v>35</v>
      </c>
    </row>
    <row r="39" spans="1:3" x14ac:dyDescent="0.25">
      <c r="A39" t="s">
        <v>33</v>
      </c>
      <c r="C39" s="11">
        <f>SUM(C14/C29)</f>
        <v>200000000</v>
      </c>
    </row>
    <row r="40" spans="1:3" x14ac:dyDescent="0.25">
      <c r="A40" t="s">
        <v>34</v>
      </c>
      <c r="C40" s="11">
        <f>SUM(H14/C36)</f>
        <v>152921962.28954998</v>
      </c>
    </row>
    <row r="41" spans="1:3" x14ac:dyDescent="0.25">
      <c r="A41" t="s">
        <v>36</v>
      </c>
      <c r="B41" s="6">
        <f>C2/C11</f>
        <v>26.666666666666668</v>
      </c>
      <c r="C41" s="12">
        <f>SUM(C11*B41)</f>
        <v>200000000</v>
      </c>
    </row>
    <row r="42" spans="1:3" x14ac:dyDescent="0.25">
      <c r="A42" t="s">
        <v>37</v>
      </c>
      <c r="C42" s="2">
        <f>(C35*C14)</f>
        <v>200000000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zoomScale="110" zoomScaleNormal="110" workbookViewId="0">
      <selection activeCell="C24" sqref="C24"/>
    </sheetView>
  </sheetViews>
  <sheetFormatPr defaultRowHeight="15" x14ac:dyDescent="0.25"/>
  <cols>
    <col min="1" max="1" width="16.7109375" customWidth="1"/>
    <col min="2" max="2" width="32.7109375" customWidth="1"/>
    <col min="3" max="3" width="16.28515625" customWidth="1"/>
    <col min="4" max="4" width="14.85546875" customWidth="1"/>
    <col min="5" max="5" width="14.7109375" customWidth="1"/>
    <col min="6" max="6" width="15.42578125" customWidth="1"/>
    <col min="7" max="7" width="16.28515625" customWidth="1"/>
    <col min="8" max="8" width="15.7109375" customWidth="1"/>
    <col min="9" max="9" width="23" customWidth="1"/>
  </cols>
  <sheetData>
    <row r="1" spans="1:14" x14ac:dyDescent="0.25">
      <c r="A1" t="s">
        <v>13</v>
      </c>
      <c r="C1" s="3">
        <v>4000000</v>
      </c>
      <c r="D1" s="3"/>
      <c r="E1" s="3"/>
      <c r="F1" s="3"/>
      <c r="G1" s="3"/>
      <c r="H1" s="3"/>
      <c r="I1" s="3" t="s">
        <v>42</v>
      </c>
    </row>
    <row r="2" spans="1:14" x14ac:dyDescent="0.25">
      <c r="A2" t="s">
        <v>14</v>
      </c>
      <c r="C2" s="3">
        <f>SUM(C1*(1-C4)+C3*0.03)</f>
        <v>1672000</v>
      </c>
      <c r="D2" s="3"/>
      <c r="E2" s="3"/>
      <c r="F2" s="3"/>
      <c r="G2" s="3"/>
      <c r="H2" s="3"/>
      <c r="I2" s="3">
        <f>H13/C35</f>
        <v>48819142.857142843</v>
      </c>
    </row>
    <row r="3" spans="1:14" x14ac:dyDescent="0.25">
      <c r="A3" t="s">
        <v>15</v>
      </c>
      <c r="C3" s="3">
        <f>(C1*C4)</f>
        <v>2400000</v>
      </c>
      <c r="D3" s="3"/>
      <c r="E3" s="3"/>
      <c r="F3" s="3"/>
      <c r="G3" s="3"/>
      <c r="H3" s="3"/>
      <c r="I3" s="3"/>
    </row>
    <row r="4" spans="1:14" x14ac:dyDescent="0.25">
      <c r="A4" t="s">
        <v>22</v>
      </c>
      <c r="C4" s="5">
        <v>0.6</v>
      </c>
      <c r="D4" s="3"/>
      <c r="E4" s="3"/>
      <c r="F4" s="3"/>
      <c r="G4" s="3"/>
      <c r="H4" s="3"/>
      <c r="I4" s="3"/>
    </row>
    <row r="5" spans="1:14" x14ac:dyDescent="0.25">
      <c r="C5" s="5"/>
      <c r="D5" s="3"/>
      <c r="E5" s="3"/>
      <c r="F5" s="3"/>
      <c r="G5" s="3"/>
      <c r="H5" s="3"/>
      <c r="I5" s="3"/>
    </row>
    <row r="6" spans="1:14" x14ac:dyDescent="0.25">
      <c r="C6" s="5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40</v>
      </c>
      <c r="I6" s="3"/>
    </row>
    <row r="7" spans="1:14" x14ac:dyDescent="0.25">
      <c r="C7" s="3"/>
      <c r="D7" s="3"/>
      <c r="E7" s="3"/>
      <c r="F7" s="3"/>
      <c r="G7" s="3"/>
      <c r="H7" s="3"/>
      <c r="I7" s="3"/>
    </row>
    <row r="8" spans="1:14" x14ac:dyDescent="0.25">
      <c r="A8" t="s">
        <v>5</v>
      </c>
      <c r="C8" s="3">
        <f>J9*4*12</f>
        <v>2880000</v>
      </c>
      <c r="D8" s="3">
        <f>C8</f>
        <v>2880000</v>
      </c>
      <c r="E8" s="3">
        <f>D8*1.15</f>
        <v>3311999.9999999995</v>
      </c>
      <c r="F8" s="3">
        <f>E8</f>
        <v>3311999.9999999995</v>
      </c>
      <c r="G8" s="3">
        <f>F8*1.15</f>
        <v>3808799.9999999991</v>
      </c>
      <c r="H8" s="3">
        <f>G8*1</f>
        <v>3808799.9999999991</v>
      </c>
      <c r="I8" s="3"/>
      <c r="J8" t="s">
        <v>63</v>
      </c>
    </row>
    <row r="9" spans="1:14" x14ac:dyDescent="0.25">
      <c r="A9" t="s">
        <v>6</v>
      </c>
      <c r="C9" s="3">
        <f>0.05*C8</f>
        <v>144000</v>
      </c>
      <c r="D9" s="3">
        <f>C9</f>
        <v>144000</v>
      </c>
      <c r="E9" s="3">
        <f>0.05*E8</f>
        <v>165600</v>
      </c>
      <c r="F9" s="3">
        <f>E9</f>
        <v>165600</v>
      </c>
      <c r="G9" s="3">
        <f>0.05*G8</f>
        <v>190439.99999999997</v>
      </c>
      <c r="H9" s="3">
        <f>G9</f>
        <v>190439.99999999997</v>
      </c>
      <c r="I9" s="3"/>
      <c r="J9">
        <v>60000</v>
      </c>
    </row>
    <row r="10" spans="1:14" x14ac:dyDescent="0.25">
      <c r="A10" t="s">
        <v>7</v>
      </c>
      <c r="C10" s="3">
        <f t="shared" ref="C10:H10" si="0">SUM(C8-C9)</f>
        <v>2736000</v>
      </c>
      <c r="D10" s="3">
        <f t="shared" si="0"/>
        <v>2736000</v>
      </c>
      <c r="E10" s="3">
        <f t="shared" si="0"/>
        <v>3146399.9999999995</v>
      </c>
      <c r="F10" s="3">
        <f t="shared" si="0"/>
        <v>3146399.9999999995</v>
      </c>
      <c r="G10" s="3">
        <f t="shared" si="0"/>
        <v>3618359.9999999991</v>
      </c>
      <c r="H10" s="3">
        <f t="shared" si="0"/>
        <v>3618359.9999999991</v>
      </c>
      <c r="I10" s="3"/>
    </row>
    <row r="11" spans="1:14" x14ac:dyDescent="0.25">
      <c r="A11" t="s">
        <v>8</v>
      </c>
      <c r="C11" s="3">
        <f t="shared" ref="C11:H11" si="1">0.1*C10</f>
        <v>273600</v>
      </c>
      <c r="D11" s="3">
        <f t="shared" si="1"/>
        <v>273600</v>
      </c>
      <c r="E11" s="3">
        <f t="shared" si="1"/>
        <v>314640</v>
      </c>
      <c r="F11" s="3">
        <f t="shared" si="1"/>
        <v>314640</v>
      </c>
      <c r="G11" s="3">
        <f t="shared" si="1"/>
        <v>361835.99999999994</v>
      </c>
      <c r="H11" s="3">
        <f t="shared" si="1"/>
        <v>361835.99999999994</v>
      </c>
      <c r="I11" s="3"/>
    </row>
    <row r="12" spans="1:14" x14ac:dyDescent="0.25">
      <c r="A12" t="s">
        <v>9</v>
      </c>
      <c r="C12" s="3">
        <f t="shared" ref="C12:H12" si="2">0.05*C10</f>
        <v>136800</v>
      </c>
      <c r="D12" s="3">
        <f t="shared" si="2"/>
        <v>136800</v>
      </c>
      <c r="E12" s="3">
        <f t="shared" si="2"/>
        <v>157320</v>
      </c>
      <c r="F12" s="3">
        <f t="shared" si="2"/>
        <v>157320</v>
      </c>
      <c r="G12" s="3">
        <f t="shared" si="2"/>
        <v>180917.99999999997</v>
      </c>
      <c r="H12" s="3">
        <f t="shared" si="2"/>
        <v>180917.99999999997</v>
      </c>
      <c r="I12" s="3"/>
    </row>
    <row r="13" spans="1:14" x14ac:dyDescent="0.25">
      <c r="A13" t="s">
        <v>10</v>
      </c>
      <c r="C13" s="3">
        <f t="shared" ref="C13:H13" si="3">SUM(C10-C11-C12)</f>
        <v>2325600</v>
      </c>
      <c r="D13" s="3">
        <f t="shared" si="3"/>
        <v>2325600</v>
      </c>
      <c r="E13" s="3">
        <f t="shared" si="3"/>
        <v>2674439.9999999995</v>
      </c>
      <c r="F13" s="3">
        <f t="shared" si="3"/>
        <v>2674439.9999999995</v>
      </c>
      <c r="G13" s="3">
        <f t="shared" si="3"/>
        <v>3075605.9999999991</v>
      </c>
      <c r="H13" s="3">
        <f t="shared" si="3"/>
        <v>3075605.9999999991</v>
      </c>
      <c r="I13" s="3"/>
    </row>
    <row r="14" spans="1:14" x14ac:dyDescent="0.25">
      <c r="A14" t="s">
        <v>11</v>
      </c>
      <c r="C14" s="13">
        <f>'Amortization schedule'!L4</f>
        <v>783493.66959114152</v>
      </c>
      <c r="D14" s="13">
        <f>C14</f>
        <v>783493.66959114152</v>
      </c>
      <c r="E14" s="13">
        <f>C14</f>
        <v>783493.66959114152</v>
      </c>
      <c r="F14" s="13">
        <f>C14</f>
        <v>783493.66959114152</v>
      </c>
      <c r="G14" s="13">
        <f>C14</f>
        <v>783493.66959114152</v>
      </c>
      <c r="H14" s="13">
        <f>C14</f>
        <v>783493.66959114152</v>
      </c>
      <c r="I14" s="3"/>
    </row>
    <row r="15" spans="1:14" x14ac:dyDescent="0.25">
      <c r="A15" t="s">
        <v>12</v>
      </c>
      <c r="C15" s="3">
        <f t="shared" ref="C15:H15" si="4">SUM(C13-C14)</f>
        <v>1542106.3304088586</v>
      </c>
      <c r="D15" s="3">
        <f t="shared" si="4"/>
        <v>1542106.3304088586</v>
      </c>
      <c r="E15" s="3">
        <f t="shared" si="4"/>
        <v>1890946.3304088581</v>
      </c>
      <c r="F15" s="3">
        <f t="shared" si="4"/>
        <v>1890946.3304088581</v>
      </c>
      <c r="G15" s="3">
        <f t="shared" si="4"/>
        <v>2292112.3304088577</v>
      </c>
      <c r="H15" s="3">
        <f t="shared" si="4"/>
        <v>2292112.3304088577</v>
      </c>
      <c r="I15" s="3"/>
      <c r="N15">
        <f>P15</f>
        <v>0</v>
      </c>
    </row>
    <row r="16" spans="1:14" x14ac:dyDescent="0.25">
      <c r="C16" s="3"/>
      <c r="D16" s="3"/>
      <c r="E16" s="3"/>
      <c r="F16" s="3"/>
      <c r="G16" s="3"/>
      <c r="H16" s="3"/>
      <c r="I16" s="3"/>
    </row>
    <row r="17" spans="1:9" x14ac:dyDescent="0.25">
      <c r="A17" t="s">
        <v>26</v>
      </c>
      <c r="C17" s="3">
        <f>NPV(0.09,C15)</f>
        <v>1414776.449916384</v>
      </c>
      <c r="D17" s="3">
        <f>NPV(0.09,0,D15)</f>
        <v>1297960.0457948477</v>
      </c>
      <c r="E17" s="3">
        <f>NPV(0.09,0,0,E15)</f>
        <v>1460157.518023811</v>
      </c>
      <c r="F17" s="3">
        <f>NPV(0.09,0,0,0,F15)</f>
        <v>1339594.0532328538</v>
      </c>
      <c r="G17" s="3">
        <f>NPV(0.09,0,0,0,0,G15)</f>
        <v>1489715.7444541599</v>
      </c>
      <c r="H17" s="3">
        <f>NPV(0.09,0,0,0,0,0,H15)</f>
        <v>1366711.6921597794</v>
      </c>
      <c r="I17" s="3"/>
    </row>
    <row r="18" spans="1:9" x14ac:dyDescent="0.25">
      <c r="A18" t="s">
        <v>28</v>
      </c>
      <c r="C18" s="3"/>
      <c r="D18" s="3"/>
      <c r="E18" s="3"/>
      <c r="F18" s="3"/>
      <c r="G18" s="13">
        <f>G26-'Amortization schedule'!K68</f>
        <v>37791359.10304971</v>
      </c>
      <c r="H18" s="3"/>
      <c r="I18" s="3"/>
    </row>
    <row r="19" spans="1:9" x14ac:dyDescent="0.25">
      <c r="A19" t="s">
        <v>27</v>
      </c>
      <c r="C19" s="3"/>
      <c r="D19" s="3"/>
      <c r="E19" s="3"/>
      <c r="F19" s="3"/>
      <c r="G19" s="3">
        <f>NPV(0.09,0,0,0,0,0,G18)</f>
        <v>22533752.671507969</v>
      </c>
      <c r="H19" s="3"/>
      <c r="I19" s="3"/>
    </row>
    <row r="20" spans="1:9" x14ac:dyDescent="0.25">
      <c r="A20" t="s">
        <v>23</v>
      </c>
      <c r="B20">
        <f>(-C2)</f>
        <v>-1672000</v>
      </c>
      <c r="C20" s="3">
        <f>C15</f>
        <v>1542106.3304088586</v>
      </c>
      <c r="D20" s="3">
        <f>D15</f>
        <v>1542106.3304088586</v>
      </c>
      <c r="E20" s="3">
        <f>E15</f>
        <v>1890946.3304088581</v>
      </c>
      <c r="F20" s="3">
        <f>F15</f>
        <v>1890946.3304088581</v>
      </c>
      <c r="G20" s="3">
        <f>G15+G18</f>
        <v>40083471.433458567</v>
      </c>
      <c r="H20" s="6">
        <f>IRR(B20:G20)</f>
        <v>1.3654755917132291</v>
      </c>
      <c r="I20" s="10">
        <f>IRR(B20:G20)</f>
        <v>1.3654755917132291</v>
      </c>
    </row>
    <row r="21" spans="1:9" x14ac:dyDescent="0.25">
      <c r="A21" t="s">
        <v>29</v>
      </c>
      <c r="C21" s="3">
        <f>+SUM(C17:G17,G19)</f>
        <v>29535956.482930027</v>
      </c>
      <c r="D21" s="3">
        <f>C2</f>
        <v>1672000</v>
      </c>
      <c r="E21" s="3"/>
      <c r="F21" s="3"/>
      <c r="G21" s="3">
        <f>SUM(C21-D21)</f>
        <v>27863956.482930027</v>
      </c>
      <c r="H21" s="3"/>
      <c r="I21" s="7"/>
    </row>
    <row r="22" spans="1:9" x14ac:dyDescent="0.25">
      <c r="A22" t="s">
        <v>25</v>
      </c>
      <c r="C22" s="3">
        <f>NPV(0.09,C13)</f>
        <v>2133577.981651376</v>
      </c>
      <c r="D22" s="3">
        <f>NPV(0.09,0,D13)</f>
        <v>1957410.9923407119</v>
      </c>
      <c r="E22" s="3">
        <f>NPV(0.09,0,0,E13)</f>
        <v>2065158.3864145121</v>
      </c>
      <c r="F22" s="3">
        <f>NPV(0.09,0,0,0,F13)</f>
        <v>1894640.7214812036</v>
      </c>
      <c r="G22" s="3">
        <f>NPV(0.09,0,0,0,0,G13)</f>
        <v>1998932.8712875082</v>
      </c>
      <c r="H22" s="3"/>
      <c r="I22" s="3"/>
    </row>
    <row r="23" spans="1:9" x14ac:dyDescent="0.25">
      <c r="A23" t="s">
        <v>41</v>
      </c>
      <c r="C23" s="3"/>
      <c r="D23" s="3"/>
      <c r="E23" s="3"/>
      <c r="F23" s="3"/>
      <c r="G23" s="3"/>
      <c r="H23" s="3"/>
      <c r="I23" s="3">
        <f>SUM(C22:G22)+G25</f>
        <v>41778814.148215123</v>
      </c>
    </row>
    <row r="24" spans="1:9" x14ac:dyDescent="0.25">
      <c r="A24" t="s">
        <v>30</v>
      </c>
      <c r="C24" s="3"/>
      <c r="D24" s="3"/>
      <c r="E24" s="3"/>
      <c r="F24" s="3"/>
      <c r="G24" s="3">
        <f>SUM(H13/C35)</f>
        <v>48819142.857142843</v>
      </c>
      <c r="H24" s="3"/>
      <c r="I24" s="3">
        <f>SUM(C23,D23,E23,F23,G23,G25)</f>
        <v>31729093.195039812</v>
      </c>
    </row>
    <row r="25" spans="1:9" x14ac:dyDescent="0.25">
      <c r="A25" t="s">
        <v>31</v>
      </c>
      <c r="C25" s="3"/>
      <c r="D25" s="3"/>
      <c r="E25" s="3"/>
      <c r="F25" s="3"/>
      <c r="G25" s="3">
        <f>NPV(0.09,0,0,0,0,G24)</f>
        <v>31729093.195039812</v>
      </c>
      <c r="H25" s="3"/>
      <c r="I25" s="3"/>
    </row>
    <row r="26" spans="1:9" x14ac:dyDescent="0.25">
      <c r="A26" t="s">
        <v>38</v>
      </c>
      <c r="C26" s="3"/>
      <c r="D26" s="3"/>
      <c r="E26" s="3"/>
      <c r="F26" s="3"/>
      <c r="G26" s="3">
        <f>SUM(G24*0.95)</f>
        <v>46378185.714285702</v>
      </c>
      <c r="H26" s="3"/>
      <c r="I26" s="3"/>
    </row>
    <row r="27" spans="1:9" x14ac:dyDescent="0.25">
      <c r="A27" t="s">
        <v>39</v>
      </c>
      <c r="C27" s="3"/>
      <c r="D27" s="3"/>
      <c r="E27" s="3"/>
      <c r="F27" s="3"/>
      <c r="G27" s="3">
        <f>NPV(0.09,0,0,0,0,G26)</f>
        <v>30142638.53528782</v>
      </c>
      <c r="H27" s="3"/>
      <c r="I27" s="3">
        <f>SUM(C22,D22,E22,F22,G22,G27)</f>
        <v>40192359.488463134</v>
      </c>
    </row>
    <row r="28" spans="1:9" x14ac:dyDescent="0.25">
      <c r="A28" t="s">
        <v>24</v>
      </c>
      <c r="C28" s="7">
        <f>(C13/C1)</f>
        <v>0.58140000000000003</v>
      </c>
      <c r="D28" s="3"/>
      <c r="E28" s="3"/>
      <c r="F28" s="3"/>
      <c r="G28" s="3"/>
      <c r="H28" s="3"/>
      <c r="I28" s="3"/>
    </row>
    <row r="29" spans="1:9" x14ac:dyDescent="0.25">
      <c r="A29" t="s">
        <v>16</v>
      </c>
      <c r="C29" s="7">
        <f>(C15/C2)</f>
        <v>0.92231239856989156</v>
      </c>
    </row>
    <row r="30" spans="1:9" x14ac:dyDescent="0.25">
      <c r="A30" t="s">
        <v>17</v>
      </c>
      <c r="C30" s="8">
        <f>(C1/C10)</f>
        <v>1.4619883040935673</v>
      </c>
    </row>
    <row r="31" spans="1:9" x14ac:dyDescent="0.25">
      <c r="A31" t="s">
        <v>18</v>
      </c>
      <c r="C31" s="5">
        <f>(C11/C10)</f>
        <v>0.1</v>
      </c>
    </row>
    <row r="32" spans="1:9" x14ac:dyDescent="0.25">
      <c r="A32" t="s">
        <v>19</v>
      </c>
      <c r="C32" s="8">
        <f>(C13/C14)</f>
        <v>2.9682435101404092</v>
      </c>
    </row>
    <row r="33" spans="1:3" x14ac:dyDescent="0.25">
      <c r="A33" t="s">
        <v>20</v>
      </c>
      <c r="C33" s="6">
        <f>(C13/C3)</f>
        <v>0.96899999999999997</v>
      </c>
    </row>
    <row r="34" spans="1:3" x14ac:dyDescent="0.25">
      <c r="A34" t="s">
        <v>21</v>
      </c>
      <c r="C34" s="9">
        <f>(C1/C13)</f>
        <v>1.7199862401100792</v>
      </c>
    </row>
    <row r="35" spans="1:3" x14ac:dyDescent="0.25">
      <c r="A35" t="s">
        <v>32</v>
      </c>
      <c r="C35" s="1">
        <v>6.3E-2</v>
      </c>
    </row>
    <row r="37" spans="1:3" x14ac:dyDescent="0.25">
      <c r="A37" t="s">
        <v>35</v>
      </c>
    </row>
    <row r="38" spans="1:3" x14ac:dyDescent="0.25">
      <c r="A38" t="s">
        <v>33</v>
      </c>
      <c r="C38" s="11">
        <f>SUM(C13/C28)</f>
        <v>4000000</v>
      </c>
    </row>
    <row r="39" spans="1:3" x14ac:dyDescent="0.25">
      <c r="A39" t="s">
        <v>34</v>
      </c>
      <c r="C39" s="11">
        <f>SUM(H13/C35)</f>
        <v>48819142.857142843</v>
      </c>
    </row>
    <row r="40" spans="1:3" x14ac:dyDescent="0.25">
      <c r="A40" t="s">
        <v>36</v>
      </c>
      <c r="B40" s="6">
        <f>C1/C10</f>
        <v>1.4619883040935673</v>
      </c>
      <c r="C40" s="12">
        <f>SUM(C10*B40)</f>
        <v>4000000</v>
      </c>
    </row>
    <row r="41" spans="1:3" x14ac:dyDescent="0.25">
      <c r="A41" t="s">
        <v>37</v>
      </c>
      <c r="C41" s="2">
        <f>(C34*C13)</f>
        <v>4000000</v>
      </c>
    </row>
    <row r="42" spans="1:3" x14ac:dyDescent="0.25">
      <c r="A42" t="s">
        <v>41</v>
      </c>
      <c r="C42" s="4">
        <f>SUM(C22:G22,G25)</f>
        <v>41778814.148215123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zoomScale="107" zoomScaleNormal="107" workbookViewId="0">
      <selection activeCell="A10" sqref="A10:XFD10"/>
    </sheetView>
  </sheetViews>
  <sheetFormatPr defaultRowHeight="15" x14ac:dyDescent="0.25"/>
  <cols>
    <col min="1" max="1" width="19.85546875" customWidth="1"/>
    <col min="2" max="2" width="1.7109375" customWidth="1"/>
    <col min="3" max="3" width="18.7109375" customWidth="1"/>
    <col min="4" max="4" width="1.28515625" customWidth="1"/>
    <col min="5" max="5" width="27.42578125" customWidth="1"/>
    <col min="6" max="6" width="1.42578125" customWidth="1"/>
    <col min="7" max="7" width="15.28515625" bestFit="1" customWidth="1"/>
    <col min="9" max="9" width="1.7109375" customWidth="1"/>
    <col min="10" max="10" width="11.5703125" bestFit="1" customWidth="1"/>
  </cols>
  <sheetData>
    <row r="1" spans="1:10" x14ac:dyDescent="0.25">
      <c r="A1" t="s">
        <v>144</v>
      </c>
    </row>
    <row r="2" spans="1:10" x14ac:dyDescent="0.25">
      <c r="A2" t="s">
        <v>134</v>
      </c>
      <c r="C2" t="s">
        <v>135</v>
      </c>
      <c r="E2" t="s">
        <v>136</v>
      </c>
      <c r="G2" t="s">
        <v>137</v>
      </c>
      <c r="J2" t="s">
        <v>138</v>
      </c>
    </row>
    <row r="3" spans="1:10" x14ac:dyDescent="0.25">
      <c r="A3" t="s">
        <v>139</v>
      </c>
      <c r="C3" t="s">
        <v>140</v>
      </c>
      <c r="E3" t="s">
        <v>141</v>
      </c>
      <c r="G3" t="s">
        <v>142</v>
      </c>
      <c r="J3" t="s">
        <v>143</v>
      </c>
    </row>
    <row r="4" spans="1:10" x14ac:dyDescent="0.25">
      <c r="A4" s="13">
        <f>C4*(E4+G4)/(E4+J4)</f>
        <v>4.0000125000000004</v>
      </c>
      <c r="C4" s="13">
        <v>5</v>
      </c>
      <c r="E4" s="84">
        <v>800000</v>
      </c>
      <c r="G4" s="33">
        <v>2.5</v>
      </c>
      <c r="J4" s="84">
        <v>200000</v>
      </c>
    </row>
    <row r="9" spans="1:10" x14ac:dyDescent="0.25">
      <c r="A9" s="85">
        <f>4/1000000</f>
        <v>3.9999999999999998E-6</v>
      </c>
    </row>
    <row r="10" spans="1:10" x14ac:dyDescent="0.25">
      <c r="A10">
        <f>5/800000</f>
        <v>6.2500000000000003E-6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Assumptions</vt:lpstr>
      <vt:lpstr>Nov 29</vt:lpstr>
      <vt:lpstr>Amortization schedule</vt:lpstr>
      <vt:lpstr>Sheet2</vt:lpstr>
      <vt:lpstr>Sensitivity Analysis</vt:lpstr>
      <vt:lpstr>Weighted average 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Stoddard</dc:creator>
  <cp:lastModifiedBy>Stoddard, Jeffrey A</cp:lastModifiedBy>
  <dcterms:created xsi:type="dcterms:W3CDTF">2017-11-20T17:58:02Z</dcterms:created>
  <dcterms:modified xsi:type="dcterms:W3CDTF">2023-04-25T19:36:07Z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85b111cd-f61e-4b49-9fd6-a258f5b0a953</vt:lpwstr>
  </property>
</Properties>
</file>