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6"/>
  <workbookPr/>
  <mc:AlternateContent xmlns:mc="http://schemas.openxmlformats.org/markup-compatibility/2006">
    <mc:Choice Requires="x15">
      <x15ac:absPath xmlns:x15ac="http://schemas.microsoft.com/office/spreadsheetml/2010/11/ac" url="/Users/chengyixu/Desktop/Exams new/0330/"/>
    </mc:Choice>
  </mc:AlternateContent>
  <xr:revisionPtr revIDLastSave="0" documentId="13_ncr:1_{B1554499-79CA-E449-84CA-22890D6DF963}" xr6:coauthVersionLast="47" xr6:coauthVersionMax="47" xr10:uidLastSave="{00000000-0000-0000-0000-000000000000}"/>
  <bookViews>
    <workbookView xWindow="14600" yWindow="1300" windowWidth="15380" windowHeight="15380" tabRatio="912" activeTab="4" xr2:uid="{00000000-000D-0000-FFFF-FFFF00000000}"/>
  </bookViews>
  <sheets>
    <sheet name="Income Statement" sheetId="3" r:id="rId1"/>
    <sheet name=" Working Capital - Fixed Assets" sheetId="1" r:id="rId2"/>
    <sheet name="BS 12.31.2022" sheetId="15" r:id="rId3"/>
    <sheet name="WACC" sheetId="12" r:id="rId4"/>
    <sheet name="DCFCF" sheetId="13" r:id="rId5"/>
    <sheet name="CAPITAL IQ ---&gt;" sheetId="23" r:id="rId6"/>
    <sheet name="Income Statement (2)" sheetId="62" r:id="rId7"/>
    <sheet name="Balance Sheet" sheetId="63" r:id="rId8"/>
    <sheet name="Cash Flow" sheetId="64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43509.6278009259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 Working Capital - Fixed Assets'!$A$1:$M$30</definedName>
    <definedName name="_xlnm.Print_Area" localSheetId="2">'BS 12.31.2022'!$A$1:$D$33</definedName>
    <definedName name="_xlnm.Print_Area" localSheetId="4">DCFCF!$A$1:$H$42</definedName>
    <definedName name="_xlnm.Print_Area" localSheetId="0">'Income Statement'!$A$1:$M$32</definedName>
    <definedName name="_xlnm.Print_Area" localSheetId="3">WACC!$A$1:$M$28</definedName>
    <definedName name="_xlnm.Print_Titles" localSheetId="7">'Balance Sheet'!$1:$3</definedName>
    <definedName name="_xlnm.Print_Titles" localSheetId="8">'Cash Flow'!$1:$3</definedName>
    <definedName name="_xlnm.Print_Titles" localSheetId="6">'Income Statement (2)'!$1:$3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3" l="1"/>
  <c r="C36" i="13"/>
  <c r="C35" i="13"/>
  <c r="C34" i="13"/>
  <c r="C33" i="13"/>
  <c r="C32" i="13"/>
  <c r="C31" i="13"/>
  <c r="H16" i="13"/>
  <c r="H15" i="13"/>
  <c r="H9" i="13"/>
  <c r="H8" i="13"/>
  <c r="D23" i="13"/>
  <c r="E23" i="13"/>
  <c r="F23" i="13"/>
  <c r="G23" i="13"/>
  <c r="G28" i="13" s="1"/>
  <c r="D28" i="13"/>
  <c r="E28" i="13"/>
  <c r="F28" i="13"/>
  <c r="C28" i="13"/>
  <c r="D26" i="13"/>
  <c r="E26" i="13"/>
  <c r="F26" i="13"/>
  <c r="G26" i="13"/>
  <c r="H26" i="13"/>
  <c r="H25" i="13"/>
  <c r="E25" i="13"/>
  <c r="F25" i="13"/>
  <c r="G25" i="13"/>
  <c r="H20" i="13"/>
  <c r="H21" i="13" s="1"/>
  <c r="H19" i="13"/>
  <c r="C26" i="13"/>
  <c r="D25" i="13"/>
  <c r="C23" i="13"/>
  <c r="D16" i="13"/>
  <c r="E16" i="13"/>
  <c r="F16" i="13"/>
  <c r="G16" i="13"/>
  <c r="C16" i="13"/>
  <c r="D15" i="13"/>
  <c r="E15" i="13"/>
  <c r="F15" i="13"/>
  <c r="G15" i="13"/>
  <c r="C15" i="13"/>
  <c r="D14" i="13"/>
  <c r="E14" i="13"/>
  <c r="F14" i="13"/>
  <c r="G14" i="13"/>
  <c r="H14" i="13"/>
  <c r="C14" i="13"/>
  <c r="H10" i="13"/>
  <c r="H11" i="13" s="1"/>
  <c r="D12" i="13"/>
  <c r="E12" i="13"/>
  <c r="F12" i="13"/>
  <c r="G12" i="13"/>
  <c r="C12" i="13"/>
  <c r="D11" i="13"/>
  <c r="E11" i="13"/>
  <c r="F11" i="13"/>
  <c r="G11" i="13"/>
  <c r="C11" i="13"/>
  <c r="D10" i="13"/>
  <c r="E10" i="13"/>
  <c r="F10" i="13"/>
  <c r="G10" i="13"/>
  <c r="C10" i="13"/>
  <c r="D9" i="13"/>
  <c r="E9" i="13"/>
  <c r="F9" i="13"/>
  <c r="G9" i="13"/>
  <c r="C9" i="13"/>
  <c r="D8" i="13"/>
  <c r="E8" i="13"/>
  <c r="F8" i="13"/>
  <c r="G8" i="13"/>
  <c r="C8" i="13"/>
  <c r="E26" i="12"/>
  <c r="E24" i="12"/>
  <c r="E23" i="12"/>
  <c r="D24" i="12"/>
  <c r="D23" i="12"/>
  <c r="C25" i="12"/>
  <c r="C24" i="12"/>
  <c r="C23" i="12"/>
  <c r="B25" i="12"/>
  <c r="E20" i="12"/>
  <c r="B12" i="12"/>
  <c r="B9" i="12"/>
  <c r="C29" i="15"/>
  <c r="C27" i="15"/>
  <c r="C25" i="15"/>
  <c r="C23" i="15"/>
  <c r="C24" i="15"/>
  <c r="C22" i="15"/>
  <c r="C20" i="15"/>
  <c r="C19" i="15"/>
  <c r="C18" i="15"/>
  <c r="C17" i="15"/>
  <c r="C15" i="15"/>
  <c r="C13" i="15"/>
  <c r="C12" i="15"/>
  <c r="C11" i="15"/>
  <c r="C9" i="15"/>
  <c r="C8" i="15"/>
  <c r="C7" i="15"/>
  <c r="C6" i="15"/>
  <c r="C5" i="15"/>
  <c r="I29" i="1"/>
  <c r="I28" i="1" s="1"/>
  <c r="J29" i="1"/>
  <c r="J28" i="1" s="1"/>
  <c r="K29" i="1"/>
  <c r="K28" i="1" s="1"/>
  <c r="L29" i="1"/>
  <c r="L28" i="1" s="1"/>
  <c r="H29" i="1"/>
  <c r="H28" i="1"/>
  <c r="I20" i="1"/>
  <c r="I11" i="1" s="1"/>
  <c r="I13" i="1" s="1"/>
  <c r="J20" i="1"/>
  <c r="J12" i="1" s="1"/>
  <c r="K20" i="1"/>
  <c r="K12" i="1" s="1"/>
  <c r="L20" i="1"/>
  <c r="H20" i="1"/>
  <c r="I19" i="1"/>
  <c r="J19" i="1"/>
  <c r="J8" i="1" s="1"/>
  <c r="K19" i="1"/>
  <c r="K8" i="1" s="1"/>
  <c r="L19" i="1"/>
  <c r="H19" i="1"/>
  <c r="I12" i="1"/>
  <c r="L12" i="1"/>
  <c r="H12" i="1"/>
  <c r="J11" i="1"/>
  <c r="K11" i="1"/>
  <c r="K13" i="1" s="1"/>
  <c r="L11" i="1"/>
  <c r="L13" i="1" s="1"/>
  <c r="H11" i="1"/>
  <c r="H13" i="1" s="1"/>
  <c r="I8" i="1"/>
  <c r="L8" i="1"/>
  <c r="H8" i="1"/>
  <c r="J7" i="1"/>
  <c r="K7" i="1"/>
  <c r="L7" i="1"/>
  <c r="H7" i="1"/>
  <c r="I6" i="1"/>
  <c r="J6" i="1"/>
  <c r="L6" i="1"/>
  <c r="H6" i="1"/>
  <c r="D30" i="1"/>
  <c r="E30" i="1"/>
  <c r="F30" i="1"/>
  <c r="G30" i="1"/>
  <c r="C30" i="1"/>
  <c r="D29" i="1"/>
  <c r="E29" i="1"/>
  <c r="F29" i="1"/>
  <c r="G29" i="1"/>
  <c r="C29" i="1"/>
  <c r="D28" i="1"/>
  <c r="E28" i="1"/>
  <c r="F28" i="1"/>
  <c r="G28" i="1"/>
  <c r="C28" i="1"/>
  <c r="D25" i="1"/>
  <c r="E25" i="1"/>
  <c r="F25" i="1"/>
  <c r="G25" i="1"/>
  <c r="C25" i="1"/>
  <c r="D24" i="1"/>
  <c r="E24" i="1"/>
  <c r="F24" i="1"/>
  <c r="G24" i="1"/>
  <c r="C24" i="1"/>
  <c r="D23" i="1"/>
  <c r="E23" i="1"/>
  <c r="F23" i="1"/>
  <c r="G23" i="1"/>
  <c r="C23" i="1"/>
  <c r="D22" i="1"/>
  <c r="E22" i="1"/>
  <c r="F22" i="1"/>
  <c r="G22" i="1"/>
  <c r="C22" i="1"/>
  <c r="D21" i="1"/>
  <c r="E21" i="1"/>
  <c r="F21" i="1"/>
  <c r="G21" i="1"/>
  <c r="C21" i="1"/>
  <c r="D20" i="1"/>
  <c r="E20" i="1"/>
  <c r="F20" i="1"/>
  <c r="G20" i="1"/>
  <c r="C20" i="1"/>
  <c r="D19" i="1"/>
  <c r="E19" i="1"/>
  <c r="F19" i="1"/>
  <c r="G19" i="1"/>
  <c r="C19" i="1"/>
  <c r="E16" i="1"/>
  <c r="F16" i="1"/>
  <c r="G16" i="1"/>
  <c r="D16" i="1"/>
  <c r="D15" i="1"/>
  <c r="E15" i="1"/>
  <c r="F15" i="1"/>
  <c r="G15" i="1"/>
  <c r="C15" i="1"/>
  <c r="D13" i="1"/>
  <c r="E13" i="1"/>
  <c r="F13" i="1"/>
  <c r="G13" i="1"/>
  <c r="C13" i="1"/>
  <c r="D12" i="1"/>
  <c r="E12" i="1"/>
  <c r="F12" i="1"/>
  <c r="G12" i="1"/>
  <c r="C12" i="1"/>
  <c r="D11" i="1"/>
  <c r="E11" i="1"/>
  <c r="F11" i="1"/>
  <c r="G11" i="1"/>
  <c r="C11" i="1"/>
  <c r="D9" i="1"/>
  <c r="E9" i="1"/>
  <c r="F9" i="1"/>
  <c r="G9" i="1"/>
  <c r="C9" i="1"/>
  <c r="D8" i="1"/>
  <c r="E8" i="1"/>
  <c r="F8" i="1"/>
  <c r="G8" i="1"/>
  <c r="C8" i="1"/>
  <c r="D7" i="1"/>
  <c r="E7" i="1"/>
  <c r="F7" i="1"/>
  <c r="G7" i="1"/>
  <c r="C7" i="1"/>
  <c r="D6" i="1"/>
  <c r="E6" i="1"/>
  <c r="F6" i="1"/>
  <c r="G6" i="1"/>
  <c r="C6" i="1"/>
  <c r="I17" i="3"/>
  <c r="J17" i="3"/>
  <c r="K17" i="3"/>
  <c r="L17" i="3"/>
  <c r="H17" i="3"/>
  <c r="I16" i="3"/>
  <c r="J16" i="3"/>
  <c r="K16" i="3"/>
  <c r="L16" i="3"/>
  <c r="H16" i="3"/>
  <c r="H15" i="3"/>
  <c r="I15" i="3"/>
  <c r="J15" i="3"/>
  <c r="J28" i="3" s="1"/>
  <c r="K15" i="3"/>
  <c r="L15" i="3"/>
  <c r="L28" i="3" s="1"/>
  <c r="I14" i="3"/>
  <c r="J14" i="3"/>
  <c r="K14" i="3"/>
  <c r="L14" i="3"/>
  <c r="H14" i="3"/>
  <c r="I12" i="3"/>
  <c r="J12" i="3"/>
  <c r="K12" i="3"/>
  <c r="L12" i="3"/>
  <c r="H12" i="3"/>
  <c r="I11" i="3"/>
  <c r="J11" i="3"/>
  <c r="K11" i="3"/>
  <c r="L11" i="3"/>
  <c r="H11" i="3"/>
  <c r="I8" i="3"/>
  <c r="J8" i="3"/>
  <c r="K8" i="3"/>
  <c r="L8" i="3"/>
  <c r="H8" i="3"/>
  <c r="H10" i="3" s="1"/>
  <c r="H13" i="3" s="1"/>
  <c r="H27" i="3" s="1"/>
  <c r="H7" i="3"/>
  <c r="I7" i="3"/>
  <c r="J7" i="3"/>
  <c r="K7" i="3"/>
  <c r="L7" i="3"/>
  <c r="I6" i="3"/>
  <c r="J6" i="3"/>
  <c r="K6" i="3"/>
  <c r="L6" i="3"/>
  <c r="L30" i="3" s="1"/>
  <c r="H6" i="3"/>
  <c r="I30" i="3"/>
  <c r="J30" i="3"/>
  <c r="K30" i="3"/>
  <c r="H30" i="3"/>
  <c r="H28" i="3"/>
  <c r="I28" i="3"/>
  <c r="K28" i="3"/>
  <c r="D28" i="3"/>
  <c r="E28" i="3"/>
  <c r="F28" i="3"/>
  <c r="G28" i="3"/>
  <c r="C28" i="3"/>
  <c r="D26" i="3"/>
  <c r="E26" i="3"/>
  <c r="F26" i="3"/>
  <c r="G26" i="3"/>
  <c r="C26" i="3"/>
  <c r="D25" i="3"/>
  <c r="E25" i="3"/>
  <c r="F25" i="3"/>
  <c r="G25" i="3"/>
  <c r="C25" i="3"/>
  <c r="D24" i="3"/>
  <c r="E24" i="3"/>
  <c r="F24" i="3"/>
  <c r="G24" i="3"/>
  <c r="C24" i="3"/>
  <c r="D23" i="3"/>
  <c r="E23" i="3"/>
  <c r="F23" i="3"/>
  <c r="G23" i="3"/>
  <c r="H23" i="3"/>
  <c r="I23" i="3"/>
  <c r="J23" i="3"/>
  <c r="K23" i="3"/>
  <c r="L23" i="3"/>
  <c r="C23" i="3"/>
  <c r="C27" i="3"/>
  <c r="D27" i="3"/>
  <c r="E27" i="3"/>
  <c r="F27" i="3"/>
  <c r="G27" i="3"/>
  <c r="D22" i="3"/>
  <c r="E22" i="3"/>
  <c r="F22" i="3"/>
  <c r="G22" i="3"/>
  <c r="C22" i="3"/>
  <c r="E21" i="3"/>
  <c r="F21" i="3"/>
  <c r="G21" i="3"/>
  <c r="D21" i="3"/>
  <c r="D20" i="3"/>
  <c r="E20" i="3"/>
  <c r="F20" i="3"/>
  <c r="G20" i="3"/>
  <c r="C20" i="3"/>
  <c r="D15" i="3"/>
  <c r="E15" i="3"/>
  <c r="F15" i="3"/>
  <c r="G15" i="3"/>
  <c r="C15" i="3"/>
  <c r="D13" i="3"/>
  <c r="E13" i="3"/>
  <c r="F13" i="3"/>
  <c r="G13" i="3"/>
  <c r="C13" i="3"/>
  <c r="I10" i="3"/>
  <c r="J10" i="3"/>
  <c r="D12" i="3"/>
  <c r="E12" i="3"/>
  <c r="F12" i="3"/>
  <c r="G12" i="3"/>
  <c r="C12" i="3"/>
  <c r="D11" i="3"/>
  <c r="E11" i="3"/>
  <c r="F11" i="3"/>
  <c r="G11" i="3"/>
  <c r="C11" i="3"/>
  <c r="D10" i="3"/>
  <c r="E10" i="3"/>
  <c r="F10" i="3"/>
  <c r="G10" i="3"/>
  <c r="C10" i="3"/>
  <c r="D8" i="3"/>
  <c r="E8" i="3"/>
  <c r="F8" i="3"/>
  <c r="G8" i="3"/>
  <c r="C8" i="3"/>
  <c r="E7" i="3"/>
  <c r="F7" i="3"/>
  <c r="G7" i="3"/>
  <c r="D7" i="3"/>
  <c r="E6" i="3"/>
  <c r="F6" i="3"/>
  <c r="G6" i="3"/>
  <c r="D6" i="3"/>
  <c r="C6" i="3"/>
  <c r="H12" i="13" l="1"/>
  <c r="H18" i="13" s="1"/>
  <c r="H23" i="13" s="1"/>
  <c r="H28" i="13" s="1"/>
  <c r="J13" i="1"/>
  <c r="I7" i="1"/>
  <c r="I9" i="1" s="1"/>
  <c r="L9" i="1"/>
  <c r="L15" i="1" s="1"/>
  <c r="L16" i="1" s="1"/>
  <c r="H9" i="1"/>
  <c r="J9" i="1"/>
  <c r="J15" i="1" s="1"/>
  <c r="J16" i="1" s="1"/>
  <c r="K6" i="1"/>
  <c r="K9" i="1" s="1"/>
  <c r="K15" i="1"/>
  <c r="I15" i="1"/>
  <c r="H15" i="1"/>
  <c r="H16" i="1" s="1"/>
  <c r="J13" i="3"/>
  <c r="J27" i="3" s="1"/>
  <c r="I13" i="3"/>
  <c r="I27" i="3" s="1"/>
  <c r="K10" i="3"/>
  <c r="K13" i="3" s="1"/>
  <c r="K27" i="3" s="1"/>
  <c r="L10" i="3"/>
  <c r="L13" i="3" s="1"/>
  <c r="L27" i="3" s="1"/>
  <c r="K16" i="1" l="1"/>
  <c r="I16" i="1"/>
  <c r="K63" i="3" l="1"/>
  <c r="L63" i="3"/>
  <c r="M63" i="3"/>
  <c r="N63" i="3"/>
  <c r="O63" i="3"/>
  <c r="K65" i="3"/>
  <c r="L65" i="3"/>
  <c r="M65" i="3"/>
  <c r="N65" i="3"/>
  <c r="O65" i="3"/>
  <c r="K66" i="3"/>
  <c r="L66" i="3"/>
  <c r="M66" i="3"/>
  <c r="N66" i="3"/>
  <c r="O66" i="3"/>
  <c r="K67" i="3"/>
  <c r="L67" i="3"/>
  <c r="M67" i="3"/>
  <c r="N67" i="3"/>
  <c r="O67" i="3"/>
  <c r="K68" i="3"/>
  <c r="L68" i="3"/>
  <c r="M68" i="3"/>
  <c r="N68" i="3"/>
  <c r="O68" i="3"/>
  <c r="K69" i="3"/>
  <c r="L69" i="3"/>
  <c r="M69" i="3"/>
  <c r="N69" i="3"/>
  <c r="O69" i="3"/>
  <c r="K70" i="3"/>
  <c r="L70" i="3"/>
  <c r="M70" i="3"/>
  <c r="N70" i="3"/>
  <c r="O70" i="3"/>
  <c r="K71" i="3"/>
  <c r="E4" i="3"/>
  <c r="F4" i="3" s="1"/>
  <c r="G4" i="3" s="1"/>
  <c r="H4" i="3" s="1"/>
  <c r="I4" i="3" s="1"/>
  <c r="J4" i="3" s="1"/>
  <c r="K4" i="3" s="1"/>
  <c r="L4" i="3" s="1"/>
  <c r="D4" i="3"/>
  <c r="E19" i="12" l="1"/>
  <c r="I4" i="1" l="1"/>
  <c r="J4" i="1"/>
  <c r="K4" i="1"/>
  <c r="L4" i="1"/>
  <c r="H4" i="1"/>
  <c r="D3" i="1"/>
  <c r="E3" i="1"/>
  <c r="F3" i="1"/>
  <c r="G3" i="1"/>
  <c r="D4" i="1"/>
  <c r="E4" i="1"/>
  <c r="F4" i="1"/>
  <c r="G4" i="1"/>
  <c r="C4" i="1"/>
  <c r="C3" i="1"/>
  <c r="A3" i="13" l="1"/>
  <c r="A1" i="13"/>
  <c r="A3" i="12"/>
  <c r="A1" i="12"/>
  <c r="A3" i="15"/>
  <c r="A29" i="1" l="1"/>
  <c r="A3" i="1"/>
  <c r="A1" i="15"/>
  <c r="B11" i="13" l="1"/>
  <c r="A1" i="1" l="1"/>
  <c r="C3" i="13" l="1"/>
  <c r="I3" i="1"/>
  <c r="D3" i="13" s="1"/>
  <c r="J3" i="1" l="1"/>
  <c r="K3" i="1" s="1"/>
  <c r="L3" i="1" s="1"/>
  <c r="G3" i="13" s="1"/>
  <c r="E3" i="13"/>
  <c r="F3" i="13"/>
  <c r="C4" i="13" l="1"/>
  <c r="D4" i="13" l="1"/>
  <c r="E4" i="13" l="1"/>
  <c r="G4" i="13" l="1"/>
  <c r="F4" i="13"/>
</calcChain>
</file>

<file path=xl/sharedStrings.xml><?xml version="1.0" encoding="utf-8"?>
<sst xmlns="http://schemas.openxmlformats.org/spreadsheetml/2006/main" count="695" uniqueCount="353">
  <si>
    <t>Cash</t>
  </si>
  <si>
    <t>Inventory</t>
  </si>
  <si>
    <t>Accounts receivable</t>
  </si>
  <si>
    <t>Total Current Assets</t>
  </si>
  <si>
    <t>Accounts payable</t>
  </si>
  <si>
    <t>Total current liabilities</t>
  </si>
  <si>
    <t>Total assets</t>
  </si>
  <si>
    <t>Other long-term liabilities</t>
  </si>
  <si>
    <t>Stockholders' equity</t>
  </si>
  <si>
    <t>Total liabilities and equity</t>
  </si>
  <si>
    <t>Revenue</t>
  </si>
  <si>
    <t>Cost of goods sold</t>
  </si>
  <si>
    <t>Gross profit</t>
  </si>
  <si>
    <t>EBIT</t>
  </si>
  <si>
    <t>Taxes</t>
  </si>
  <si>
    <t>Net Income</t>
  </si>
  <si>
    <t>Total liabilities</t>
  </si>
  <si>
    <t>Accounts receivable DSO</t>
  </si>
  <si>
    <t>Common Size</t>
  </si>
  <si>
    <t>n/a</t>
  </si>
  <si>
    <t xml:space="preserve">  Growth rate</t>
  </si>
  <si>
    <t>EBITDA</t>
  </si>
  <si>
    <t>Balance Sheet</t>
  </si>
  <si>
    <t>Inventory turnover (Cogs)</t>
  </si>
  <si>
    <t>As of December 31</t>
  </si>
  <si>
    <t>Income Statement</t>
  </si>
  <si>
    <t>For the year ended December 31</t>
  </si>
  <si>
    <t>Actual</t>
  </si>
  <si>
    <t>Projected</t>
  </si>
  <si>
    <t>Revenue Growth Rate</t>
  </si>
  <si>
    <t/>
  </si>
  <si>
    <t>Income Tax Rate</t>
  </si>
  <si>
    <t>Cost</t>
  </si>
  <si>
    <t>% of Total</t>
  </si>
  <si>
    <t>WACC</t>
  </si>
  <si>
    <t>Weighted</t>
  </si>
  <si>
    <t>Company Specific Risk</t>
  </si>
  <si>
    <t>Company Size Risk</t>
  </si>
  <si>
    <t>Cost of Equity (CAPM)</t>
  </si>
  <si>
    <t>Risk-Free Rate (20 year U.S. Treasury)</t>
  </si>
  <si>
    <t>VALUATION</t>
  </si>
  <si>
    <t>Present Value FCF</t>
  </si>
  <si>
    <t>Present Value Factor</t>
  </si>
  <si>
    <t>Discounting Periods - Mid-Year</t>
  </si>
  <si>
    <t>Free Cash Flow</t>
  </si>
  <si>
    <t>Capitalization Rate</t>
  </si>
  <si>
    <t>Long-Term Growth Rate</t>
  </si>
  <si>
    <t>Terminal FCF</t>
  </si>
  <si>
    <t>EBITA</t>
  </si>
  <si>
    <t>Long-Term Growth Rate Assumption</t>
  </si>
  <si>
    <t>Terminal</t>
  </si>
  <si>
    <t>Market Risk Premium</t>
  </si>
  <si>
    <t xml:space="preserve">Beta </t>
  </si>
  <si>
    <t>Cost of Equity</t>
  </si>
  <si>
    <t>In Millions of the reported currency, except per share items.</t>
  </si>
  <si>
    <t>Template:</t>
  </si>
  <si>
    <t>Standard</t>
  </si>
  <si>
    <t> </t>
  </si>
  <si>
    <t>Restatement:</t>
  </si>
  <si>
    <t>Latest Filings</t>
  </si>
  <si>
    <t>Period Type:</t>
  </si>
  <si>
    <t>Annual</t>
  </si>
  <si>
    <t>Order:</t>
  </si>
  <si>
    <t>Latest on Right</t>
  </si>
  <si>
    <t>Currency:</t>
  </si>
  <si>
    <t>Reported Currency</t>
  </si>
  <si>
    <t>Conversion:</t>
  </si>
  <si>
    <t>Units:</t>
  </si>
  <si>
    <t>S&amp;P Capital IQ (Default)</t>
  </si>
  <si>
    <t>Decimals:</t>
  </si>
  <si>
    <t>Capital IQ (Default)</t>
  </si>
  <si>
    <t>Source:</t>
  </si>
  <si>
    <t>Capital IQ &amp; Proprietary Data</t>
  </si>
  <si>
    <t xml:space="preserve">For the Fiscal Period Ending
</t>
  </si>
  <si>
    <t>12 months
Dec-31-2017</t>
  </si>
  <si>
    <t>Currency</t>
  </si>
  <si>
    <t>USD</t>
  </si>
  <si>
    <t xml:space="preserve"> 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</si>
  <si>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</si>
  <si>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</si>
  <si>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</si>
  <si>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</si>
  <si>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</si>
  <si>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</si>
  <si>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</si>
  <si>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</si>
  <si>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</si>
  <si>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</si>
  <si>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</si>
  <si>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</si>
  <si>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</si>
  <si>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</si>
  <si>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Other Non-Operating Inc. (Exp.)</t>
  </si>
  <si>
    <t xml:space="preserve">  EBT Excl. Unusual Items</t>
  </si>
  <si>
    <t>Restructuring Charges</t>
  </si>
  <si>
    <t>Impairment of Goodwill</t>
  </si>
  <si>
    <t>Asset Writedown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</si>
  <si>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</si>
  <si>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</si>
  <si>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</si>
  <si>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</si>
  <si>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</si>
  <si>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</si>
  <si>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</si>
  <si>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</si>
  <si>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</si>
  <si>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</si>
  <si>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</si>
  <si>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</si>
  <si>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</si>
  <si>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</si>
  <si>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</si>
  <si>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</si>
  <si>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</si>
  <si>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</si>
  <si>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</si>
  <si>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</si>
  <si>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</si>
  <si>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</si>
  <si>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NA</t>
  </si>
  <si>
    <t>Supplemental Items</t>
  </si>
  <si>
    <t>EBITDAR</t>
  </si>
  <si>
    <t>Effective Tax Rate %</t>
  </si>
  <si>
    <t>NM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</si>
  <si>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</si>
  <si>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</si>
  <si>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</si>
  <si>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</si>
  <si>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</si>
  <si>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</si>
  <si>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</si>
  <si>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</si>
  <si>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</si>
  <si>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</si>
  <si>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</si>
  <si>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</si>
  <si>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</si>
  <si>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</si>
  <si>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Net Rental Exp.</t>
  </si>
  <si>
    <t>Imputed Oper. Lease Interest Exp.</t>
  </si>
  <si>
    <t>Imputed Oper. Lease Depreciation</t>
  </si>
  <si>
    <t>Stock-Based Comp., Unallocated</t>
  </si>
  <si>
    <t xml:space="preserve">  Stock-Based Comp., Total</t>
  </si>
  <si>
    <t>Note: For multiple class companies, per share items are primary class equivalent, and for foreign companies listed as primary ADRs, per share items are ADR-equivalent.</t>
  </si>
  <si>
    <t xml:space="preserve">
               </t>
  </si>
  <si>
    <t xml:space="preserve">Balance Sheet as of:
</t>
  </si>
  <si>
    <t>ASSETS</t>
  </si>
  <si>
    <t>Cash And Equivalents</t>
  </si>
  <si>
    <t xml:space="preserve">  Total Cash &amp; ST Investments</t>
  </si>
  <si>
    <t>Accounts Receivable</t>
  </si>
  <si>
    <t xml:space="preserve">  Total Receivables</t>
  </si>
  <si>
    <t>Prepaid Exp.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</si>
  <si>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</si>
  <si>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</si>
  <si>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</si>
  <si>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</si>
  <si>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</si>
  <si>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</si>
  <si>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</si>
  <si>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</si>
  <si>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</si>
  <si>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</si>
  <si>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</si>
  <si>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</si>
  <si>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Curr. Port. of LT Debt</t>
  </si>
  <si>
    <t>Other Current Liabilities</t>
  </si>
  <si>
    <t xml:space="preserve">  Total Current Liabilities</t>
  </si>
  <si>
    <t>Long-Term Debt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</si>
  <si>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</si>
  <si>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</si>
  <si>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</si>
  <si>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</si>
  <si>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</si>
  <si>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</si>
  <si>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</si>
  <si>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</si>
  <si>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</si>
  <si>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Minority Interest</t>
  </si>
  <si>
    <t>Total Equity</t>
  </si>
  <si>
    <t>Total Liabilities And Equity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</si>
  <si>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</si>
  <si>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</si>
  <si>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</si>
  <si>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</si>
  <si>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</si>
  <si>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</si>
  <si>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</si>
  <si>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</si>
  <si>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Total Minority Interest</t>
  </si>
  <si>
    <t>Inventory Method</t>
  </si>
  <si>
    <t>Land</t>
  </si>
  <si>
    <t>Buildings</t>
  </si>
  <si>
    <t>Machinery</t>
  </si>
  <si>
    <t>Full Time Employees</t>
  </si>
  <si>
    <t>Accum. Allowance for Doubtful Accts</t>
  </si>
  <si>
    <t>RS</t>
  </si>
  <si>
    <t>RUP</t>
  </si>
  <si>
    <t>Note: For multiple class companies, total share counts are primary class equivalent, and for foreign companies listed as primary ADRs, total share counts are ADR-equivalent.</t>
  </si>
  <si>
    <t>Cash Flow</t>
  </si>
  <si>
    <t>Amort. of Goodwill and Intangibles</t>
  </si>
  <si>
    <t>Depreciation &amp; Amort., Total</t>
  </si>
  <si>
    <t>(Gain) Loss From Sale Of Assets</t>
  </si>
  <si>
    <t>Asset Writedown &amp; Restructuring Costs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</si>
  <si>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</si>
  <si>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</si>
  <si>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</si>
  <si>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</si>
  <si>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</si>
  <si>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</si>
  <si>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</si>
  <si>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</si>
  <si>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</si>
  <si>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</si>
  <si>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</si>
  <si>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</si>
  <si>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</si>
  <si>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</si>
  <si>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</si>
  <si>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</si>
  <si>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</si>
  <si>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</si>
  <si>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</si>
  <si>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</si>
  <si>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Repurchase of Common Stock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</si>
  <si>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</si>
  <si>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</si>
  <si>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</si>
  <si>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</si>
  <si>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</si>
  <si>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 xml:space="preserve">  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</si>
  <si>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</si>
  <si>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</si>
  <si>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</si>
  <si>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</si>
  <si>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</si>
  <si>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</si>
  <si>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($millions)</t>
  </si>
  <si>
    <t>NOPAT (Net Operating Profit After Tax)</t>
  </si>
  <si>
    <t>NOPAT MARGIN</t>
  </si>
  <si>
    <t>EBIT MARGIN</t>
  </si>
  <si>
    <t>EBITDA MARGIN</t>
  </si>
  <si>
    <t>Capital Expenditures</t>
  </si>
  <si>
    <t>Weighted Cost of Capital</t>
  </si>
  <si>
    <t>Net Working Capital</t>
  </si>
  <si>
    <t>Total Current Liabilities</t>
  </si>
  <si>
    <t>Assumptions (in BLUE)/Common Size % (in BLACK)</t>
  </si>
  <si>
    <t>Accounts Payable Days of COGS</t>
  </si>
  <si>
    <t>Working Capital - Capital Expenditures</t>
  </si>
  <si>
    <t>CAPX Statistics</t>
  </si>
  <si>
    <t>Assumptions (BLUE)</t>
  </si>
  <si>
    <t>Common Shares Outstanding (millions)</t>
  </si>
  <si>
    <t>Current portion of debt &amp; Capital leases</t>
  </si>
  <si>
    <t>(Source from CAP IQ Tear Sheet))</t>
  </si>
  <si>
    <t>(Source from CAP IQ "Market" - "Government Debt" - "US Treasury 10 year" and then find 20 year)</t>
  </si>
  <si>
    <t>Total Capitalization</t>
  </si>
  <si>
    <t>CAPITAL STRUCTURE</t>
  </si>
  <si>
    <t>COST OF EQUITY</t>
  </si>
  <si>
    <t>COST OF DEBT</t>
  </si>
  <si>
    <t>Interest Rate</t>
  </si>
  <si>
    <t>Tax rate</t>
  </si>
  <si>
    <t>After-Tax Cost of Debt</t>
  </si>
  <si>
    <t>Discounted Free Cash Flow Valuation</t>
  </si>
  <si>
    <t>NOPAT</t>
  </si>
  <si>
    <t>Add: Cash</t>
  </si>
  <si>
    <t>(From Balance Sheet)</t>
  </si>
  <si>
    <t>Less: Total Outstanding Debt</t>
  </si>
  <si>
    <t>EQUITY VALUE</t>
  </si>
  <si>
    <t xml:space="preserve">Shares Outstanding </t>
  </si>
  <si>
    <t>Value per Share</t>
  </si>
  <si>
    <t>(From Balance Sheet = Current &amp; Long-Term)</t>
  </si>
  <si>
    <t>Cost of goods sold % of Revenue</t>
  </si>
  <si>
    <t>Gross profit % of Revenue</t>
  </si>
  <si>
    <t>Debt</t>
  </si>
  <si>
    <t>Outstanding</t>
  </si>
  <si>
    <t>12 months
Dec-31-2018</t>
  </si>
  <si>
    <t>Order Backlog</t>
  </si>
  <si>
    <t>Unearned Revenue, Current</t>
  </si>
  <si>
    <t>Other current</t>
  </si>
  <si>
    <t>Other current assets as a % of Revenue</t>
  </si>
  <si>
    <t>Other current liab. as a % of COGS</t>
  </si>
  <si>
    <t>Property, plant &amp; equipment - net</t>
  </si>
  <si>
    <t>Other long-term assets</t>
  </si>
  <si>
    <t>Merger &amp; Related Restruct. Charges</t>
  </si>
  <si>
    <t>Construction in Progress</t>
  </si>
  <si>
    <t>Issuance of Common Stock</t>
  </si>
  <si>
    <t>SG&amp;A expenses</t>
  </si>
  <si>
    <t>Currency Exchange Gains (Loss)</t>
  </si>
  <si>
    <t>Payout Ratio %</t>
  </si>
  <si>
    <t>Interest Capitalized</t>
  </si>
  <si>
    <t>Non-Cash Pension Expense</t>
  </si>
  <si>
    <t>R&amp;D Exp.</t>
  </si>
  <si>
    <t>Stock-Based Comp., SG&amp;A Exp.</t>
  </si>
  <si>
    <t>Deferred Tax Assets, Curr.</t>
  </si>
  <si>
    <t>Curr. Income Taxes Payable</t>
  </si>
  <si>
    <t>Pension &amp; Other Post-Retire. Benefits</t>
  </si>
  <si>
    <t>Debt Equiv. of Unfunded Proj. Benefit Obligation</t>
  </si>
  <si>
    <t>FIFO</t>
  </si>
  <si>
    <t>Raw Materials Inventory</t>
  </si>
  <si>
    <t>Work in Progress Inventory</t>
  </si>
  <si>
    <t>Finished Goods Inventory</t>
  </si>
  <si>
    <t>Leasehold Improvements</t>
  </si>
  <si>
    <t>Other Amortization</t>
  </si>
  <si>
    <t>Provision &amp; Write-off of Bad debts</t>
  </si>
  <si>
    <t>Change in Inc. Taxes</t>
  </si>
  <si>
    <t>Common Dividends Paid</t>
  </si>
  <si>
    <t>R&amp;D expenses</t>
  </si>
  <si>
    <t>SG&amp;A expenses % of Revenue</t>
  </si>
  <si>
    <t>R&amp;D expenses % of Revenue</t>
  </si>
  <si>
    <t>12 months
Dec-31-2019</t>
  </si>
  <si>
    <t>Today's Spot Rate</t>
  </si>
  <si>
    <t>Long-Term Leases</t>
  </si>
  <si>
    <t>Curr. Port. of Leases</t>
  </si>
  <si>
    <t>Sale of Property, Plant, and Equipment</t>
  </si>
  <si>
    <r>
      <t xml:space="preserve">Other current </t>
    </r>
    <r>
      <rPr>
        <sz val="11"/>
        <color rgb="FFFF0000"/>
        <rFont val="Calibri"/>
        <family val="2"/>
        <scheme val="minor"/>
      </rPr>
      <t>(exclude deferred taxes)</t>
    </r>
  </si>
  <si>
    <t>Pension and post retirement obligations</t>
  </si>
  <si>
    <t>USE Duff &amp; Phelps Market Risk Premium of 5.5%</t>
  </si>
  <si>
    <t>10 year current market rate for "B" rated debt.</t>
  </si>
  <si>
    <r>
      <t xml:space="preserve">Total Debt         </t>
    </r>
    <r>
      <rPr>
        <sz val="11"/>
        <color rgb="FF0070C0"/>
        <rFont val="Calibri"/>
        <family val="2"/>
        <scheme val="minor"/>
      </rPr>
      <t>**</t>
    </r>
  </si>
  <si>
    <r>
      <t xml:space="preserve">Market Capitalization       </t>
    </r>
    <r>
      <rPr>
        <sz val="11"/>
        <color rgb="FF0070C0"/>
        <rFont val="Calibri"/>
        <family val="2"/>
        <scheme val="minor"/>
      </rPr>
      <t>**</t>
    </r>
  </si>
  <si>
    <t>**  Source from CAP IQ Tear Sheet</t>
  </si>
  <si>
    <r>
      <t xml:space="preserve">Other non-debt liabilities </t>
    </r>
    <r>
      <rPr>
        <sz val="11"/>
        <color rgb="FFFF0000"/>
        <rFont val="Calibri"/>
        <family val="2"/>
        <scheme val="minor"/>
      </rPr>
      <t>(exclude taxes payable)</t>
    </r>
  </si>
  <si>
    <t>Depreciation&amp;Amortization</t>
  </si>
  <si>
    <t>Depreciation&amp;Amort. expense % Revenue</t>
  </si>
  <si>
    <t>Change in NWC</t>
  </si>
  <si>
    <t>Capx / Depreciation&amp;Amortization</t>
  </si>
  <si>
    <t>Intangibles&amp;Goodwill</t>
  </si>
  <si>
    <t>Long-term debt&amp;leases</t>
  </si>
  <si>
    <t>Add: Depreciation&amp;Amortization</t>
  </si>
  <si>
    <t>Less: CAPX</t>
  </si>
  <si>
    <t>Less: Pension&amp;Post Retirement Obligations</t>
  </si>
  <si>
    <t>Invested Capital Value or Enterprise Value</t>
  </si>
  <si>
    <t>Less: Change in Net Working Capital</t>
  </si>
  <si>
    <t>12.31.2022</t>
  </si>
  <si>
    <t xml:space="preserve">Assume the firm has a credit rating of "B".  Use the </t>
  </si>
  <si>
    <t>Restated
12 months
Dec-31-2020</t>
  </si>
  <si>
    <t>Restated
12 months
Dec-31-2021</t>
  </si>
  <si>
    <t>12 months
Dec-31-2022</t>
  </si>
  <si>
    <t>he respective functions to fill the financial projections: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</si>
  <si>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</si>
  <si>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</si>
  <si>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</si>
  <si>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</si>
  <si>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</si>
  <si>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</si>
  <si>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</si>
  <si>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</si>
  <si>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</si>
  <si>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</si>
  <si>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(Income Statement: Cell A2)</t>
  </si>
  <si>
    <t>($millions: Cell A3)</t>
  </si>
  <si>
    <t>Growth rate</t>
  </si>
  <si>
    <t>Load failed</t>
  </si>
  <si>
    <t>There was an error generating a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</si>
</sst>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* #,##0.0_);_(* \(#,##0.0\);_(* &quot;-&quot;?_);_(@_)"/>
    <numFmt numFmtId="167" formatCode="0.0%"/>
    <numFmt numFmtId="168" formatCode="_(* #,##0_);_(* \(#,##0\);_(* &quot;-&quot;??_);_(@_)"/>
    <numFmt numFmtId="169" formatCode="_(* #,##0.0000_);_(* \(#,##0.0000\);_(* &quot;-&quot;??_);_(@_)"/>
    <numFmt numFmtId="170" formatCode="_(* #,##0.0_);_(* \(#,##0.0\)_)\ ;_(* 0_)"/>
    <numFmt numFmtId="171" formatCode="_(&quot;$&quot;#,##0.0#_);_(\(&quot;$&quot;#,##0.0#\)_);_(&quot;$&quot;&quot; - &quot;_)"/>
    <numFmt numFmtId="172" formatCode="_(* #,##0.0#_);_(* \(#,##0.0#\)_)\ ;_(* 0_)"/>
    <numFmt numFmtId="173" formatCode="_(#,##0.0%_);_(\(#,##0.0%\)_);_(#,##0.0%_)"/>
    <numFmt numFmtId="174" formatCode="mmm\-dd\-yyyy"/>
    <numFmt numFmtId="175" formatCode="_(* #,##0_);_(* \(#,##0\)_)\ ;_(* 0_)"/>
    <numFmt numFmtId="176" formatCode="_(* #,##0.000_);_(* \(#,##0.000\);_(* &quot;-&quot;??_);_(@_)"/>
    <numFmt numFmtId="177" formatCode="#,##0.0_);\(#,##0.0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u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singleAccounting"/>
      <sz val="1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"/>
      <color indexed="9"/>
      <name val="Symbol"/>
      <family val="1"/>
      <charset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b/>
      <u/>
      <sz val="8"/>
      <color indexed="8"/>
      <name val="Arial"/>
      <family val="2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sz val="12"/>
      <color rgb="FFFFFFFF"/>
      <name val="Arial"/>
      <family val="2"/>
    </font>
    <font>
      <sz val="11"/>
      <color rgb="FF000000"/>
      <name val="Arial"/>
      <family val="2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0" fillId="0" borderId="0" applyAlignment="0"/>
    <xf numFmtId="0" fontId="16" fillId="0" borderId="0" applyNumberFormat="0" applyFill="0" applyBorder="0" applyAlignment="0" applyProtection="0"/>
    <xf numFmtId="0" fontId="20" fillId="0" borderId="0"/>
    <xf numFmtId="0" fontId="21" fillId="0" borderId="0" applyAlignment="0"/>
    <xf numFmtId="0" fontId="24" fillId="0" borderId="0"/>
    <xf numFmtId="0" fontId="30" fillId="0" borderId="0" applyAlignment="0"/>
  </cellStyleXfs>
  <cellXfs count="162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2" applyNumberFormat="1" applyFont="1"/>
    <xf numFmtId="167" fontId="0" fillId="0" borderId="0" xfId="3" applyNumberFormat="1" applyFont="1"/>
    <xf numFmtId="167" fontId="3" fillId="0" borderId="0" xfId="3" applyNumberFormat="1" applyFont="1"/>
    <xf numFmtId="164" fontId="0" fillId="0" borderId="0" xfId="1" applyNumberFormat="1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3" fillId="0" borderId="0" xfId="0" applyFont="1"/>
    <xf numFmtId="167" fontId="0" fillId="0" borderId="0" xfId="0" applyNumberFormat="1"/>
    <xf numFmtId="167" fontId="0" fillId="0" borderId="0" xfId="3" applyNumberFormat="1" applyFont="1" applyBorder="1"/>
    <xf numFmtId="0" fontId="2" fillId="0" borderId="2" xfId="0" applyFont="1" applyBorder="1"/>
    <xf numFmtId="167" fontId="3" fillId="0" borderId="10" xfId="3" applyNumberFormat="1" applyFont="1" applyBorder="1"/>
    <xf numFmtId="0" fontId="0" fillId="0" borderId="4" xfId="0" applyBorder="1"/>
    <xf numFmtId="167" fontId="0" fillId="0" borderId="0" xfId="3" applyNumberFormat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2" fillId="0" borderId="12" xfId="0" applyFont="1" applyBorder="1"/>
    <xf numFmtId="167" fontId="3" fillId="0" borderId="0" xfId="3" applyNumberFormat="1" applyFont="1" applyBorder="1"/>
    <xf numFmtId="164" fontId="0" fillId="0" borderId="0" xfId="0" applyNumberFormat="1" applyAlignment="1">
      <alignment horizontal="right"/>
    </xf>
    <xf numFmtId="0" fontId="0" fillId="0" borderId="15" xfId="0" applyBorder="1"/>
    <xf numFmtId="165" fontId="0" fillId="0" borderId="16" xfId="2" applyNumberFormat="1" applyFont="1" applyBorder="1"/>
    <xf numFmtId="165" fontId="0" fillId="0" borderId="0" xfId="2" applyNumberFormat="1" applyFont="1" applyBorder="1" applyAlignment="1">
      <alignment horizontal="right"/>
    </xf>
    <xf numFmtId="9" fontId="3" fillId="0" borderId="6" xfId="3" applyFont="1" applyBorder="1"/>
    <xf numFmtId="0" fontId="4" fillId="0" borderId="12" xfId="0" applyFont="1" applyBorder="1"/>
    <xf numFmtId="167" fontId="0" fillId="0" borderId="6" xfId="3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165" fontId="0" fillId="0" borderId="6" xfId="2" applyNumberFormat="1" applyFont="1" applyBorder="1" applyAlignment="1">
      <alignment horizontal="right"/>
    </xf>
    <xf numFmtId="167" fontId="3" fillId="0" borderId="6" xfId="3" applyNumberFormat="1" applyFont="1" applyBorder="1"/>
    <xf numFmtId="167" fontId="0" fillId="0" borderId="3" xfId="3" applyNumberFormat="1" applyFont="1" applyBorder="1"/>
    <xf numFmtId="0" fontId="3" fillId="0" borderId="3" xfId="0" applyFont="1" applyBorder="1"/>
    <xf numFmtId="0" fontId="15" fillId="0" borderId="3" xfId="0" applyFont="1" applyBorder="1"/>
    <xf numFmtId="0" fontId="5" fillId="0" borderId="3" xfId="0" applyFont="1" applyBorder="1"/>
    <xf numFmtId="0" fontId="0" fillId="0" borderId="9" xfId="0" applyBorder="1"/>
    <xf numFmtId="0" fontId="0" fillId="0" borderId="18" xfId="0" applyBorder="1"/>
    <xf numFmtId="165" fontId="14" fillId="0" borderId="0" xfId="2" applyNumberFormat="1" applyFont="1"/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167" fontId="14" fillId="0" borderId="0" xfId="3" applyNumberFormat="1" applyFont="1"/>
    <xf numFmtId="0" fontId="5" fillId="4" borderId="0" xfId="0" applyFont="1" applyFill="1"/>
    <xf numFmtId="0" fontId="0" fillId="4" borderId="0" xfId="0" applyFill="1"/>
    <xf numFmtId="0" fontId="0" fillId="4" borderId="0" xfId="0" quotePrefix="1" applyFill="1"/>
    <xf numFmtId="0" fontId="0" fillId="4" borderId="14" xfId="0" applyFill="1" applyBorder="1"/>
    <xf numFmtId="0" fontId="0" fillId="4" borderId="2" xfId="0" quotePrefix="1" applyFill="1" applyBorder="1"/>
    <xf numFmtId="0" fontId="5" fillId="4" borderId="3" xfId="0" quotePrefix="1" applyFont="1" applyFill="1" applyBorder="1" applyAlignment="1">
      <alignment horizontal="center"/>
    </xf>
    <xf numFmtId="0" fontId="0" fillId="4" borderId="4" xfId="0" applyFill="1" applyBorder="1"/>
    <xf numFmtId="0" fontId="2" fillId="4" borderId="0" xfId="0" applyFont="1" applyFill="1"/>
    <xf numFmtId="0" fontId="2" fillId="4" borderId="12" xfId="0" applyFont="1" applyFill="1" applyBorder="1"/>
    <xf numFmtId="0" fontId="2" fillId="4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13" xfId="0" applyFill="1" applyBorder="1"/>
    <xf numFmtId="0" fontId="5" fillId="4" borderId="0" xfId="0" quotePrefix="1" applyFont="1" applyFill="1"/>
    <xf numFmtId="0" fontId="5" fillId="4" borderId="2" xfId="0" quotePrefix="1" applyFont="1" applyFill="1" applyBorder="1"/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2" xfId="0" applyFont="1" applyFill="1" applyBorder="1"/>
    <xf numFmtId="0" fontId="5" fillId="4" borderId="0" xfId="0" applyFont="1" applyFill="1" applyAlignment="1">
      <alignment horizontal="center"/>
    </xf>
    <xf numFmtId="0" fontId="11" fillId="4" borderId="1" xfId="0" quotePrefix="1" applyFont="1" applyFill="1" applyBorder="1" applyAlignment="1">
      <alignment horizontal="center"/>
    </xf>
    <xf numFmtId="165" fontId="5" fillId="0" borderId="0" xfId="2" applyNumberFormat="1" applyFont="1" applyBorder="1"/>
    <xf numFmtId="167" fontId="2" fillId="0" borderId="0" xfId="0" applyNumberFormat="1" applyFont="1" applyAlignment="1">
      <alignment horizontal="center"/>
    </xf>
    <xf numFmtId="167" fontId="19" fillId="0" borderId="0" xfId="3" applyNumberFormat="1" applyFont="1"/>
    <xf numFmtId="0" fontId="19" fillId="0" borderId="0" xfId="0" applyFont="1"/>
    <xf numFmtId="0" fontId="9" fillId="0" borderId="0" xfId="4" applyFont="1" applyAlignment="1">
      <alignment vertical="top" wrapText="1"/>
    </xf>
    <xf numFmtId="10" fontId="0" fillId="0" borderId="0" xfId="3" applyNumberFormat="1" applyFont="1" applyAlignment="1">
      <alignment horizontal="right"/>
    </xf>
    <xf numFmtId="0" fontId="22" fillId="0" borderId="0" xfId="0" applyFont="1"/>
    <xf numFmtId="0" fontId="25" fillId="0" borderId="0" xfId="9" applyFont="1"/>
    <xf numFmtId="0" fontId="26" fillId="0" borderId="0" xfId="9" applyFont="1" applyAlignment="1">
      <alignment horizontal="center" vertical="center"/>
    </xf>
    <xf numFmtId="0" fontId="25" fillId="0" borderId="0" xfId="9" applyFont="1" applyAlignment="1">
      <alignment vertical="top" wrapText="1"/>
    </xf>
    <xf numFmtId="0" fontId="26" fillId="0" borderId="0" xfId="9" applyFont="1" applyAlignment="1">
      <alignment horizontal="left" vertical="top"/>
    </xf>
    <xf numFmtId="170" fontId="27" fillId="0" borderId="0" xfId="9" applyNumberFormat="1" applyFont="1" applyAlignment="1">
      <alignment horizontal="right" vertical="top" wrapText="1"/>
    </xf>
    <xf numFmtId="0" fontId="27" fillId="0" borderId="0" xfId="9" applyFont="1" applyAlignment="1">
      <alignment horizontal="left" vertical="top"/>
    </xf>
    <xf numFmtId="170" fontId="26" fillId="0" borderId="0" xfId="9" applyNumberFormat="1" applyFont="1" applyAlignment="1">
      <alignment horizontal="right" vertical="top" wrapText="1"/>
    </xf>
    <xf numFmtId="49" fontId="26" fillId="0" borderId="0" xfId="9" applyNumberFormat="1" applyFont="1" applyAlignment="1">
      <alignment horizontal="right" vertical="top" wrapText="1"/>
    </xf>
    <xf numFmtId="174" fontId="26" fillId="0" borderId="0" xfId="9" applyNumberFormat="1" applyFont="1" applyAlignment="1">
      <alignment horizontal="right" vertical="top" wrapText="1"/>
    </xf>
    <xf numFmtId="173" fontId="26" fillId="0" borderId="0" xfId="9" applyNumberFormat="1" applyFont="1" applyAlignment="1">
      <alignment horizontal="right" vertical="top" wrapText="1"/>
    </xf>
    <xf numFmtId="171" fontId="26" fillId="0" borderId="0" xfId="9" applyNumberFormat="1" applyFont="1" applyAlignment="1">
      <alignment horizontal="right" vertical="top" wrapText="1"/>
    </xf>
    <xf numFmtId="172" fontId="26" fillId="0" borderId="0" xfId="9" applyNumberFormat="1" applyFont="1" applyAlignment="1">
      <alignment horizontal="right" vertical="top" wrapText="1"/>
    </xf>
    <xf numFmtId="170" fontId="28" fillId="0" borderId="11" xfId="9" applyNumberFormat="1" applyFont="1" applyBorder="1" applyAlignment="1">
      <alignment horizontal="right" vertical="top" wrapText="1"/>
    </xf>
    <xf numFmtId="170" fontId="27" fillId="0" borderId="11" xfId="9" applyNumberFormat="1" applyFont="1" applyBorder="1" applyAlignment="1">
      <alignment horizontal="right" vertical="top" wrapText="1"/>
    </xf>
    <xf numFmtId="0" fontId="29" fillId="3" borderId="0" xfId="9" applyFont="1" applyFill="1" applyAlignment="1">
      <alignment horizontal="right" wrapText="1"/>
    </xf>
    <xf numFmtId="0" fontId="29" fillId="3" borderId="0" xfId="9" applyFont="1" applyFill="1" applyAlignment="1">
      <alignment wrapText="1"/>
    </xf>
    <xf numFmtId="0" fontId="27" fillId="3" borderId="0" xfId="9" applyFont="1" applyFill="1" applyAlignment="1">
      <alignment horizontal="right" wrapText="1"/>
    </xf>
    <xf numFmtId="0" fontId="27" fillId="3" borderId="0" xfId="9" applyFont="1" applyFill="1" applyAlignment="1">
      <alignment wrapText="1"/>
    </xf>
    <xf numFmtId="0" fontId="30" fillId="0" borderId="0" xfId="10" applyAlignment="1"/>
    <xf numFmtId="0" fontId="31" fillId="2" borderId="0" xfId="9" applyFont="1" applyFill="1"/>
    <xf numFmtId="0" fontId="26" fillId="0" borderId="0" xfId="9" applyFont="1" applyAlignment="1">
      <alignment horizontal="left" vertical="center"/>
    </xf>
    <xf numFmtId="0" fontId="32" fillId="0" borderId="0" xfId="9" applyFont="1"/>
    <xf numFmtId="49" fontId="25" fillId="0" borderId="0" xfId="9" applyNumberFormat="1" applyFont="1"/>
    <xf numFmtId="0" fontId="33" fillId="0" borderId="0" xfId="9" applyFont="1" applyAlignment="1">
      <alignment wrapText="1"/>
    </xf>
    <xf numFmtId="0" fontId="34" fillId="0" borderId="0" xfId="9" applyFont="1"/>
    <xf numFmtId="175" fontId="26" fillId="0" borderId="0" xfId="9" applyNumberFormat="1" applyFont="1" applyAlignment="1">
      <alignment horizontal="right" vertical="top" wrapText="1"/>
    </xf>
    <xf numFmtId="170" fontId="28" fillId="0" borderId="0" xfId="9" applyNumberFormat="1" applyFont="1" applyAlignment="1">
      <alignment horizontal="right" vertical="top" wrapText="1"/>
    </xf>
    <xf numFmtId="170" fontId="35" fillId="0" borderId="0" xfId="9" applyNumberFormat="1" applyFont="1" applyAlignment="1">
      <alignment horizontal="right" vertical="top" wrapText="1"/>
    </xf>
    <xf numFmtId="0" fontId="26" fillId="0" borderId="0" xfId="9" applyFont="1" applyAlignment="1">
      <alignment horizontal="center" vertical="center" wrapText="1"/>
    </xf>
    <xf numFmtId="0" fontId="15" fillId="4" borderId="3" xfId="0" quotePrefix="1" applyFont="1" applyFill="1" applyBorder="1" applyAlignment="1">
      <alignment horizontal="center"/>
    </xf>
    <xf numFmtId="0" fontId="11" fillId="4" borderId="0" xfId="0" quotePrefix="1" applyFont="1" applyFill="1" applyAlignment="1">
      <alignment horizontal="center"/>
    </xf>
    <xf numFmtId="0" fontId="36" fillId="0" borderId="0" xfId="0" quotePrefix="1" applyFont="1"/>
    <xf numFmtId="0" fontId="5" fillId="4" borderId="17" xfId="0" quotePrefix="1" applyFont="1" applyFill="1" applyBorder="1" applyAlignment="1">
      <alignment horizontal="center"/>
    </xf>
    <xf numFmtId="0" fontId="37" fillId="4" borderId="0" xfId="0" applyFont="1" applyFill="1"/>
    <xf numFmtId="164" fontId="38" fillId="0" borderId="0" xfId="1" applyNumberFormat="1" applyFont="1"/>
    <xf numFmtId="165" fontId="3" fillId="0" borderId="0" xfId="2" applyNumberFormat="1" applyFont="1" applyFill="1"/>
    <xf numFmtId="10" fontId="3" fillId="0" borderId="0" xfId="3" applyNumberFormat="1" applyFont="1"/>
    <xf numFmtId="167" fontId="39" fillId="0" borderId="0" xfId="6" applyNumberFormat="1" applyFont="1"/>
    <xf numFmtId="0" fontId="40" fillId="0" borderId="0" xfId="4" applyFont="1" applyAlignment="1">
      <alignment vertical="top" wrapText="1"/>
    </xf>
    <xf numFmtId="44" fontId="0" fillId="0" borderId="0" xfId="0" applyNumberFormat="1"/>
    <xf numFmtId="165" fontId="0" fillId="0" borderId="0" xfId="0" applyNumberFormat="1"/>
    <xf numFmtId="43" fontId="0" fillId="0" borderId="0" xfId="0" applyNumberFormat="1"/>
    <xf numFmtId="165" fontId="0" fillId="5" borderId="0" xfId="2" applyNumberFormat="1" applyFont="1" applyFill="1" applyBorder="1"/>
    <xf numFmtId="167" fontId="7" fillId="5" borderId="0" xfId="3" applyNumberFormat="1" applyFont="1" applyFill="1" applyBorder="1" applyAlignment="1">
      <alignment horizontal="right"/>
    </xf>
    <xf numFmtId="164" fontId="12" fillId="5" borderId="0" xfId="1" applyNumberFormat="1" applyFont="1" applyFill="1" applyBorder="1"/>
    <xf numFmtId="166" fontId="0" fillId="5" borderId="0" xfId="0" applyNumberFormat="1" applyFill="1"/>
    <xf numFmtId="164" fontId="0" fillId="5" borderId="0" xfId="1" applyNumberFormat="1" applyFont="1" applyFill="1" applyBorder="1"/>
    <xf numFmtId="164" fontId="13" fillId="5" borderId="0" xfId="1" applyNumberFormat="1" applyFont="1" applyFill="1" applyBorder="1"/>
    <xf numFmtId="166" fontId="14" fillId="5" borderId="0" xfId="0" applyNumberFormat="1" applyFont="1" applyFill="1"/>
    <xf numFmtId="164" fontId="12" fillId="5" borderId="0" xfId="0" applyNumberFormat="1" applyFont="1" applyFill="1"/>
    <xf numFmtId="165" fontId="14" fillId="5" borderId="0" xfId="2" applyNumberFormat="1" applyFont="1" applyFill="1" applyBorder="1"/>
    <xf numFmtId="167" fontId="0" fillId="5" borderId="0" xfId="3" applyNumberFormat="1" applyFont="1" applyFill="1" applyBorder="1"/>
    <xf numFmtId="167" fontId="0" fillId="5" borderId="0" xfId="3" applyNumberFormat="1" applyFont="1" applyFill="1" applyBorder="1" applyAlignment="1">
      <alignment horizontal="right"/>
    </xf>
    <xf numFmtId="167" fontId="0" fillId="5" borderId="0" xfId="0" applyNumberFormat="1" applyFill="1"/>
    <xf numFmtId="167" fontId="0" fillId="5" borderId="6" xfId="3" applyNumberFormat="1" applyFont="1" applyFill="1" applyBorder="1"/>
    <xf numFmtId="164" fontId="0" fillId="5" borderId="0" xfId="0" applyNumberFormat="1" applyFill="1"/>
    <xf numFmtId="164" fontId="0" fillId="5" borderId="6" xfId="1" applyNumberFormat="1" applyFont="1" applyFill="1" applyBorder="1"/>
    <xf numFmtId="168" fontId="0" fillId="5" borderId="0" xfId="1" applyNumberFormat="1" applyFont="1" applyFill="1" applyBorder="1"/>
    <xf numFmtId="165" fontId="0" fillId="5" borderId="0" xfId="2" applyNumberFormat="1" applyFont="1" applyFill="1" applyBorder="1" applyAlignment="1">
      <alignment horizontal="right"/>
    </xf>
    <xf numFmtId="165" fontId="0" fillId="5" borderId="15" xfId="2" applyNumberFormat="1" applyFont="1" applyFill="1" applyBorder="1"/>
    <xf numFmtId="164" fontId="0" fillId="5" borderId="15" xfId="1" applyNumberFormat="1" applyFont="1" applyFill="1" applyBorder="1"/>
    <xf numFmtId="164" fontId="12" fillId="5" borderId="15" xfId="1" applyNumberFormat="1" applyFont="1" applyFill="1" applyBorder="1"/>
    <xf numFmtId="164" fontId="0" fillId="5" borderId="15" xfId="0" applyNumberFormat="1" applyFill="1" applyBorder="1"/>
    <xf numFmtId="164" fontId="14" fillId="5" borderId="15" xfId="1" applyNumberFormat="1" applyFont="1" applyFill="1" applyBorder="1"/>
    <xf numFmtId="165" fontId="14" fillId="5" borderId="15" xfId="2" applyNumberFormat="1" applyFont="1" applyFill="1" applyBorder="1"/>
    <xf numFmtId="167" fontId="0" fillId="5" borderId="0" xfId="3" applyNumberFormat="1" applyFont="1" applyFill="1"/>
    <xf numFmtId="165" fontId="14" fillId="5" borderId="0" xfId="2" applyNumberFormat="1" applyFont="1" applyFill="1"/>
    <xf numFmtId="167" fontId="18" fillId="5" borderId="0" xfId="0" applyNumberFormat="1" applyFont="1" applyFill="1"/>
    <xf numFmtId="167" fontId="17" fillId="5" borderId="0" xfId="3" applyNumberFormat="1" applyFont="1" applyFill="1"/>
    <xf numFmtId="165" fontId="0" fillId="5" borderId="0" xfId="2" applyNumberFormat="1" applyFont="1" applyFill="1"/>
    <xf numFmtId="164" fontId="0" fillId="5" borderId="1" xfId="1" applyNumberFormat="1" applyFont="1" applyFill="1" applyBorder="1"/>
    <xf numFmtId="164" fontId="0" fillId="5" borderId="0" xfId="1" applyNumberFormat="1" applyFont="1" applyFill="1"/>
    <xf numFmtId="164" fontId="6" fillId="5" borderId="0" xfId="1" applyNumberFormat="1" applyFont="1" applyFill="1"/>
    <xf numFmtId="169" fontId="0" fillId="5" borderId="0" xfId="1" applyNumberFormat="1" applyFont="1" applyFill="1"/>
    <xf numFmtId="165" fontId="5" fillId="5" borderId="0" xfId="2" applyNumberFormat="1" applyFont="1" applyFill="1" applyBorder="1"/>
    <xf numFmtId="165" fontId="5" fillId="5" borderId="0" xfId="0" applyNumberFormat="1" applyFont="1" applyFill="1"/>
    <xf numFmtId="176" fontId="0" fillId="5" borderId="0" xfId="1" applyNumberFormat="1" applyFont="1" applyFill="1"/>
    <xf numFmtId="44" fontId="0" fillId="5" borderId="0" xfId="2" applyFont="1" applyFill="1"/>
    <xf numFmtId="167" fontId="5" fillId="5" borderId="0" xfId="0" applyNumberFormat="1" applyFont="1" applyFill="1"/>
    <xf numFmtId="167" fontId="5" fillId="5" borderId="0" xfId="3" applyNumberFormat="1" applyFont="1" applyFill="1" applyBorder="1"/>
    <xf numFmtId="0" fontId="5" fillId="0" borderId="0" xfId="0" applyFont="1" applyAlignment="1">
      <alignment horizontal="right"/>
    </xf>
    <xf numFmtId="177" fontId="0" fillId="5" borderId="8" xfId="1" applyNumberFormat="1" applyFont="1" applyFill="1" applyBorder="1"/>
    <xf numFmtId="0" fontId="41" fillId="0" borderId="0" xfId="0" applyFont="1"/>
    <xf numFmtId="167" fontId="5" fillId="0" borderId="0" xfId="0" applyNumberFormat="1" applyFont="1" applyAlignment="1">
      <alignment horizontal="right" wrapText="1"/>
    </xf>
    <xf numFmtId="0" fontId="42" fillId="0" borderId="0" xfId="0" applyFont="1"/>
    <xf numFmtId="0" fontId="43" fillId="0" borderId="0" xfId="0" applyFont="1"/>
    <xf numFmtId="0" fontId="44" fillId="0" borderId="0" xfId="0" applyFont="1"/>
    <xf numFmtId="10" fontId="44" fillId="0" borderId="0" xfId="0" applyNumberFormat="1" applyFont="1"/>
    <xf numFmtId="165" fontId="44" fillId="0" borderId="0" xfId="0" applyNumberFormat="1" applyFont="1"/>
    <xf numFmtId="166" fontId="44" fillId="0" borderId="0" xfId="0" applyNumberFormat="1" applyFont="1"/>
    <xf numFmtId="0" fontId="0" fillId="5" borderId="6" xfId="3" applyNumberFormat="1" applyFont="1" applyFill="1" applyBorder="1"/>
  </cellXfs>
  <cellStyles count="11">
    <cellStyle name="Comma" xfId="1" builtinId="3"/>
    <cellStyle name="Currency" xfId="2" builtinId="4"/>
    <cellStyle name="Hyperlink" xfId="6" builtinId="8"/>
    <cellStyle name="Invisible" xfId="5" xr:uid="{00000000-0005-0000-0000-000003000000}"/>
    <cellStyle name="Invisible 2" xfId="8" xr:uid="{A2CB8AE0-F26F-498B-ACC4-5D5817C79A64}"/>
    <cellStyle name="Invisible 3" xfId="10" xr:uid="{994EF572-8A71-42CA-A991-267CF9751EDE}"/>
    <cellStyle name="Normal" xfId="0" builtinId="0"/>
    <cellStyle name="Normal 2" xfId="4" xr:uid="{00000000-0005-0000-0000-000005000000}"/>
    <cellStyle name="Normal 3" xfId="7" xr:uid="{B04DF5DE-CCC6-44EB-B897-718EEB885504}"/>
    <cellStyle name="Normal 4" xfId="9" xr:uid="{110AB229-DC47-4DF6-B687-A9A08581EE9D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981075</xdr:colOff>
      <xdr:row>2</xdr:row>
      <xdr:rowOff>90488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787479C-D641-4F46-BE4C-F1D6D8350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70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981075</xdr:colOff>
      <xdr:row>2</xdr:row>
      <xdr:rowOff>90488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D45AF73-2070-4B25-8F97-5CFEA3102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70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981075</xdr:colOff>
      <xdr:row>2</xdr:row>
      <xdr:rowOff>90488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2A2CA66-63AD-4490-99B6-8D9946255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700" cy="34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ages.stern.nyu.edu/~adamodar/%20%20and%20use%20the%20Implied%20ERP%20on%20January%201,%202019%20or%20February%201%20if%20it%20has%20been%20updated.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X1000"/>
  <sheetViews>
    <sheetView showGridLines="0" zoomScaleNormal="100" workbookViewId="0">
      <selection activeCell="E11" sqref="E11"/>
    </sheetView>
  </sheetViews>
  <sheetFormatPr baseColWidth="10" defaultColWidth="8.83203125" defaultRowHeight="15" x14ac:dyDescent="0.2"/>
  <cols>
    <col min="1" max="1" width="36.5" customWidth="1"/>
    <col min="2" max="2" width="2.5" customWidth="1"/>
    <col min="3" max="12" width="11.5" customWidth="1"/>
    <col min="13" max="13" width="3.5" customWidth="1"/>
    <col min="14" max="16" width="13.6640625" customWidth="1"/>
  </cols>
  <sheetData>
    <row r="1" spans="1:13" ht="20" customHeight="1" x14ac:dyDescent="0.25">
      <c r="A1" s="104"/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6" thickBot="1" x14ac:dyDescent="0.25">
      <c r="A2" s="45" t="s">
        <v>25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">
      <c r="A3" s="57" t="s">
        <v>236</v>
      </c>
      <c r="B3" s="58"/>
      <c r="C3" s="59" t="s">
        <v>27</v>
      </c>
      <c r="D3" s="59" t="s">
        <v>27</v>
      </c>
      <c r="E3" s="59" t="s">
        <v>27</v>
      </c>
      <c r="F3" s="59" t="s">
        <v>27</v>
      </c>
      <c r="G3" s="59" t="s">
        <v>27</v>
      </c>
      <c r="H3" s="59" t="s">
        <v>28</v>
      </c>
      <c r="I3" s="59" t="s">
        <v>28</v>
      </c>
      <c r="J3" s="59" t="s">
        <v>28</v>
      </c>
      <c r="K3" s="59" t="s">
        <v>28</v>
      </c>
      <c r="L3" s="59" t="s">
        <v>28</v>
      </c>
      <c r="M3" s="51"/>
    </row>
    <row r="4" spans="1:13" x14ac:dyDescent="0.2">
      <c r="A4" s="60" t="s">
        <v>26</v>
      </c>
      <c r="B4" s="61"/>
      <c r="C4" s="54">
        <v>2018</v>
      </c>
      <c r="D4" s="54">
        <f>C4+1</f>
        <v>2019</v>
      </c>
      <c r="E4" s="54">
        <f t="shared" ref="E4:L4" si="0">D4+1</f>
        <v>2020</v>
      </c>
      <c r="F4" s="54">
        <f t="shared" si="0"/>
        <v>2021</v>
      </c>
      <c r="G4" s="54">
        <f t="shared" si="0"/>
        <v>2022</v>
      </c>
      <c r="H4" s="54">
        <f t="shared" si="0"/>
        <v>2023</v>
      </c>
      <c r="I4" s="54">
        <f t="shared" si="0"/>
        <v>2024</v>
      </c>
      <c r="J4" s="54">
        <f t="shared" si="0"/>
        <v>2025</v>
      </c>
      <c r="K4" s="54">
        <f t="shared" si="0"/>
        <v>2026</v>
      </c>
      <c r="L4" s="54">
        <f t="shared" si="0"/>
        <v>2027</v>
      </c>
      <c r="M4" s="56"/>
    </row>
    <row r="5" spans="1:13" x14ac:dyDescent="0.2">
      <c r="B5" s="18"/>
      <c r="M5" s="19"/>
    </row>
    <row r="6" spans="1:13" x14ac:dyDescent="0.2">
      <c r="A6" t="s">
        <v>10</v>
      </c>
      <c r="B6" s="18"/>
      <c r="C6" s="113">
        <f>'Income Statement (2)'!B20</f>
        <v>1050.2940000000001</v>
      </c>
      <c r="D6" s="113">
        <f>'Income Statement (2)'!C20</f>
        <v>1104.442</v>
      </c>
      <c r="E6" s="113">
        <f>'Income Statement (2)'!D20</f>
        <v>1164.2919999999999</v>
      </c>
      <c r="F6" s="113">
        <f>'Income Statement (2)'!E20</f>
        <v>1132.9000000000001</v>
      </c>
      <c r="G6" s="113">
        <f>'Income Statement (2)'!F20</f>
        <v>1302.3</v>
      </c>
      <c r="H6" s="113">
        <f>G6*(1+H21)</f>
        <v>1041.8399999999999</v>
      </c>
      <c r="I6" s="113">
        <f t="shared" ref="I6:L6" si="1">H6*(1+I21)</f>
        <v>1093.932</v>
      </c>
      <c r="J6" s="113">
        <f t="shared" si="1"/>
        <v>1115.8106400000001</v>
      </c>
      <c r="K6" s="113">
        <f t="shared" si="1"/>
        <v>1149.2849592000002</v>
      </c>
      <c r="L6" s="113">
        <f t="shared" si="1"/>
        <v>1195.2563575680003</v>
      </c>
      <c r="M6" s="19"/>
    </row>
    <row r="7" spans="1:13" x14ac:dyDescent="0.2">
      <c r="A7" s="8" t="s">
        <v>20</v>
      </c>
      <c r="B7" s="29"/>
      <c r="C7" s="17" t="s">
        <v>19</v>
      </c>
      <c r="D7" s="114">
        <f>(D6-C6)/C6</f>
        <v>5.1555088384775981E-2</v>
      </c>
      <c r="E7" s="114">
        <f t="shared" ref="E7:H7" si="2">(E6-D6)/D6</f>
        <v>5.4190260783273284E-2</v>
      </c>
      <c r="F7" s="114">
        <f t="shared" si="2"/>
        <v>-2.696230842434701E-2</v>
      </c>
      <c r="G7" s="114">
        <f t="shared" si="2"/>
        <v>0.14952776061435241</v>
      </c>
      <c r="H7" s="114">
        <f t="shared" si="2"/>
        <v>-0.20000000000000004</v>
      </c>
      <c r="I7" s="114">
        <f t="shared" ref="I7" si="3">(I6-H6)/H6</f>
        <v>5.00000000000001E-2</v>
      </c>
      <c r="J7" s="114">
        <f t="shared" ref="J7" si="4">(J6-I6)/I6</f>
        <v>2.0000000000000122E-2</v>
      </c>
      <c r="K7" s="114">
        <f t="shared" ref="K7:L7" si="5">(K6-J6)/J6</f>
        <v>3.0000000000000068E-2</v>
      </c>
      <c r="L7" s="114">
        <f t="shared" si="5"/>
        <v>4.0000000000000084E-2</v>
      </c>
      <c r="M7" s="19"/>
    </row>
    <row r="8" spans="1:13" ht="18" x14ac:dyDescent="0.35">
      <c r="A8" t="s">
        <v>11</v>
      </c>
      <c r="B8" s="18"/>
      <c r="C8" s="115">
        <f>'Income Statement (2)'!B22</f>
        <v>678.60900000000004</v>
      </c>
      <c r="D8" s="115">
        <f>'Income Statement (2)'!C22</f>
        <v>692.31</v>
      </c>
      <c r="E8" s="115">
        <f>'Income Statement (2)'!D22</f>
        <v>718.31600000000003</v>
      </c>
      <c r="F8" s="115">
        <f>'Income Statement (2)'!E22</f>
        <v>718.3</v>
      </c>
      <c r="G8" s="115">
        <f>'Income Statement (2)'!F22</f>
        <v>820.8</v>
      </c>
      <c r="H8" s="115">
        <f>H6*H22</f>
        <v>625.10399999999993</v>
      </c>
      <c r="I8" s="115">
        <f t="shared" ref="I8:L8" si="6">I6*I22</f>
        <v>656.35919999999999</v>
      </c>
      <c r="J8" s="115">
        <f t="shared" si="6"/>
        <v>669.48638400000004</v>
      </c>
      <c r="K8" s="115">
        <f t="shared" si="6"/>
        <v>689.57097552000016</v>
      </c>
      <c r="L8" s="115">
        <f t="shared" si="6"/>
        <v>717.15381454080023</v>
      </c>
      <c r="M8" s="19"/>
    </row>
    <row r="9" spans="1:13" x14ac:dyDescent="0.2">
      <c r="B9" s="18"/>
      <c r="M9" s="19"/>
    </row>
    <row r="10" spans="1:13" x14ac:dyDescent="0.2">
      <c r="A10" t="s">
        <v>12</v>
      </c>
      <c r="B10" s="18"/>
      <c r="C10" s="116">
        <f>C6-C8</f>
        <v>371.68500000000006</v>
      </c>
      <c r="D10" s="116">
        <f t="shared" ref="D10:L10" si="7">D6-D8</f>
        <v>412.13200000000006</v>
      </c>
      <c r="E10" s="116">
        <f t="shared" si="7"/>
        <v>445.97599999999989</v>
      </c>
      <c r="F10" s="116">
        <f t="shared" si="7"/>
        <v>414.60000000000014</v>
      </c>
      <c r="G10" s="116">
        <f t="shared" si="7"/>
        <v>481.5</v>
      </c>
      <c r="H10" s="116">
        <f>H6-H8</f>
        <v>416.73599999999999</v>
      </c>
      <c r="I10" s="116">
        <f t="shared" si="7"/>
        <v>437.57280000000003</v>
      </c>
      <c r="J10" s="116">
        <f t="shared" si="7"/>
        <v>446.3242560000001</v>
      </c>
      <c r="K10" s="116">
        <f t="shared" si="7"/>
        <v>459.71398368000007</v>
      </c>
      <c r="L10" s="116">
        <f t="shared" si="7"/>
        <v>478.10254302720011</v>
      </c>
      <c r="M10" s="19"/>
    </row>
    <row r="11" spans="1:13" x14ac:dyDescent="0.2">
      <c r="A11" t="s">
        <v>285</v>
      </c>
      <c r="B11" s="18"/>
      <c r="C11" s="117">
        <f>'Income Statement (2)'!B25</f>
        <v>266.89100000000002</v>
      </c>
      <c r="D11" s="117">
        <f>'Income Statement (2)'!C25</f>
        <v>278.77600000000001</v>
      </c>
      <c r="E11" s="117">
        <f>'Income Statement (2)'!D25</f>
        <v>287.96800000000002</v>
      </c>
      <c r="F11" s="117">
        <f>'Income Statement (2)'!E25</f>
        <v>286.8</v>
      </c>
      <c r="G11" s="117">
        <f>'Income Statement (2)'!F25</f>
        <v>331.8</v>
      </c>
      <c r="H11" s="116">
        <f>H6*H24</f>
        <v>270.8784</v>
      </c>
      <c r="I11" s="116">
        <f t="shared" ref="I11:L11" si="8">I6*I24</f>
        <v>284.42232000000001</v>
      </c>
      <c r="J11" s="116">
        <f t="shared" si="8"/>
        <v>290.11076640000005</v>
      </c>
      <c r="K11" s="116">
        <f t="shared" si="8"/>
        <v>298.81408939200008</v>
      </c>
      <c r="L11" s="116">
        <f t="shared" si="8"/>
        <v>310.7666529676801</v>
      </c>
      <c r="M11" s="19"/>
    </row>
    <row r="12" spans="1:13" ht="18" x14ac:dyDescent="0.35">
      <c r="A12" t="s">
        <v>305</v>
      </c>
      <c r="B12" s="18"/>
      <c r="C12" s="115">
        <f>'Income Statement (2)'!B26</f>
        <v>19.2</v>
      </c>
      <c r="D12" s="115">
        <f>'Income Statement (2)'!C26</f>
        <v>20.7</v>
      </c>
      <c r="E12" s="115">
        <f>'Income Statement (2)'!D26</f>
        <v>21.7</v>
      </c>
      <c r="F12" s="115">
        <f>'Income Statement (2)'!E26</f>
        <v>19.2</v>
      </c>
      <c r="G12" s="115">
        <f>'Income Statement (2)'!F26</f>
        <v>20.100000000000001</v>
      </c>
      <c r="H12" s="115">
        <f>H6*H25</f>
        <v>15.627599999999997</v>
      </c>
      <c r="I12" s="115">
        <f t="shared" ref="I12:L12" si="9">I6*I25</f>
        <v>16.40898</v>
      </c>
      <c r="J12" s="115">
        <f t="shared" si="9"/>
        <v>16.737159600000002</v>
      </c>
      <c r="K12" s="115">
        <f t="shared" si="9"/>
        <v>17.239274388000002</v>
      </c>
      <c r="L12" s="115">
        <f t="shared" si="9"/>
        <v>17.928845363520004</v>
      </c>
      <c r="M12" s="19"/>
    </row>
    <row r="13" spans="1:13" x14ac:dyDescent="0.2">
      <c r="A13" t="s">
        <v>21</v>
      </c>
      <c r="B13" s="18"/>
      <c r="C13" s="117">
        <f>C10-C11-C12</f>
        <v>85.594000000000037</v>
      </c>
      <c r="D13" s="117">
        <f t="shared" ref="D13:L13" si="10">D10-D11-D12</f>
        <v>112.65600000000005</v>
      </c>
      <c r="E13" s="117">
        <f t="shared" si="10"/>
        <v>136.30799999999988</v>
      </c>
      <c r="F13" s="117">
        <f t="shared" si="10"/>
        <v>108.60000000000012</v>
      </c>
      <c r="G13" s="117">
        <f t="shared" si="10"/>
        <v>129.6</v>
      </c>
      <c r="H13" s="117">
        <f t="shared" si="10"/>
        <v>130.22999999999999</v>
      </c>
      <c r="I13" s="117">
        <f t="shared" si="10"/>
        <v>136.74150000000003</v>
      </c>
      <c r="J13" s="117">
        <f t="shared" si="10"/>
        <v>139.47633000000005</v>
      </c>
      <c r="K13" s="117">
        <f t="shared" si="10"/>
        <v>143.66061989999997</v>
      </c>
      <c r="L13" s="117">
        <f t="shared" si="10"/>
        <v>149.40704469600001</v>
      </c>
      <c r="M13" s="19"/>
    </row>
    <row r="14" spans="1:13" ht="18" x14ac:dyDescent="0.35">
      <c r="A14" t="s">
        <v>321</v>
      </c>
      <c r="B14" s="18"/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5">
        <f>H6*H26</f>
        <v>26.045999999999999</v>
      </c>
      <c r="I14" s="115">
        <f t="shared" ref="I14:L14" si="11">I6*I26</f>
        <v>27.348300000000002</v>
      </c>
      <c r="J14" s="115">
        <f t="shared" si="11"/>
        <v>27.895266000000007</v>
      </c>
      <c r="K14" s="115">
        <f t="shared" si="11"/>
        <v>28.732123980000008</v>
      </c>
      <c r="L14" s="115">
        <f t="shared" si="11"/>
        <v>29.881408939200011</v>
      </c>
      <c r="M14" s="19"/>
    </row>
    <row r="15" spans="1:13" ht="18" x14ac:dyDescent="0.35">
      <c r="A15" t="s">
        <v>13</v>
      </c>
      <c r="B15" s="18"/>
      <c r="C15" s="119">
        <f>C13-C14</f>
        <v>85.594000000000037</v>
      </c>
      <c r="D15" s="119">
        <f t="shared" ref="D15:G15" si="12">D13-D14</f>
        <v>112.65600000000005</v>
      </c>
      <c r="E15" s="119">
        <f t="shared" si="12"/>
        <v>136.30799999999988</v>
      </c>
      <c r="F15" s="119">
        <f t="shared" si="12"/>
        <v>108.60000000000012</v>
      </c>
      <c r="G15" s="119">
        <f t="shared" si="12"/>
        <v>129.6</v>
      </c>
      <c r="H15" s="119">
        <f>H13-H14</f>
        <v>104.184</v>
      </c>
      <c r="I15" s="119">
        <f t="shared" ref="I15" si="13">I13-I14</f>
        <v>109.39320000000004</v>
      </c>
      <c r="J15" s="119">
        <f t="shared" ref="J15" si="14">J13-J14</f>
        <v>111.58106400000004</v>
      </c>
      <c r="K15" s="119">
        <f t="shared" ref="K15" si="15">K13-K14</f>
        <v>114.92849591999996</v>
      </c>
      <c r="L15" s="119">
        <f t="shared" ref="L15" si="16">L13-L14</f>
        <v>119.5256357568</v>
      </c>
      <c r="M15" s="19"/>
    </row>
    <row r="16" spans="1:13" ht="18" x14ac:dyDescent="0.35">
      <c r="A16" t="s">
        <v>14</v>
      </c>
      <c r="B16" s="18"/>
      <c r="C16" s="24" t="s">
        <v>19</v>
      </c>
      <c r="D16" s="24" t="s">
        <v>19</v>
      </c>
      <c r="E16" s="24" t="s">
        <v>19</v>
      </c>
      <c r="F16" s="24" t="s">
        <v>19</v>
      </c>
      <c r="G16" s="24" t="s">
        <v>19</v>
      </c>
      <c r="H16" s="120">
        <f>H15*H29</f>
        <v>26.045999999999999</v>
      </c>
      <c r="I16" s="120">
        <f t="shared" ref="I16:L16" si="17">I15*I29</f>
        <v>27.348300000000009</v>
      </c>
      <c r="J16" s="120">
        <f t="shared" si="17"/>
        <v>27.89526600000001</v>
      </c>
      <c r="K16" s="120">
        <f t="shared" si="17"/>
        <v>28.73212397999999</v>
      </c>
      <c r="L16" s="120">
        <f t="shared" si="17"/>
        <v>29.8814089392</v>
      </c>
      <c r="M16" s="19"/>
    </row>
    <row r="17" spans="1:13" ht="18" x14ac:dyDescent="0.35">
      <c r="A17" t="s">
        <v>237</v>
      </c>
      <c r="B17" s="18"/>
      <c r="C17" s="24" t="s">
        <v>19</v>
      </c>
      <c r="D17" s="24" t="s">
        <v>19</v>
      </c>
      <c r="E17" s="24" t="s">
        <v>19</v>
      </c>
      <c r="F17" s="24" t="s">
        <v>19</v>
      </c>
      <c r="G17" s="24" t="s">
        <v>19</v>
      </c>
      <c r="H17" s="121">
        <f>H15-H16</f>
        <v>78.138000000000005</v>
      </c>
      <c r="I17" s="121">
        <f t="shared" ref="I17:L17" si="18">I15-I16</f>
        <v>82.044900000000027</v>
      </c>
      <c r="J17" s="121">
        <f t="shared" si="18"/>
        <v>83.685798000000034</v>
      </c>
      <c r="K17" s="121">
        <f t="shared" si="18"/>
        <v>86.196371939999977</v>
      </c>
      <c r="L17" s="121">
        <f t="shared" si="18"/>
        <v>89.6442268176</v>
      </c>
      <c r="M17" s="19"/>
    </row>
    <row r="18" spans="1:13" x14ac:dyDescent="0.2">
      <c r="A18" s="102"/>
      <c r="B18" s="18"/>
      <c r="M18" s="19"/>
    </row>
    <row r="19" spans="1:13" x14ac:dyDescent="0.2">
      <c r="A19" s="7" t="s">
        <v>18</v>
      </c>
      <c r="B19" s="22"/>
      <c r="H19" s="7" t="s">
        <v>245</v>
      </c>
      <c r="M19" s="19"/>
    </row>
    <row r="20" spans="1:13" x14ac:dyDescent="0.2">
      <c r="A20" t="s">
        <v>10</v>
      </c>
      <c r="B20" s="18"/>
      <c r="C20" s="122">
        <f>C6/C6</f>
        <v>1</v>
      </c>
      <c r="D20" s="122">
        <f t="shared" ref="D20:G20" si="19">D6/D6</f>
        <v>1</v>
      </c>
      <c r="E20" s="122">
        <f t="shared" si="19"/>
        <v>1</v>
      </c>
      <c r="F20" s="122">
        <f t="shared" si="19"/>
        <v>1</v>
      </c>
      <c r="G20" s="122">
        <f t="shared" si="19"/>
        <v>1</v>
      </c>
      <c r="H20" s="122"/>
      <c r="I20" s="122"/>
      <c r="J20" s="122"/>
      <c r="K20" s="122"/>
      <c r="L20" s="122"/>
      <c r="M20" s="19"/>
    </row>
    <row r="21" spans="1:13" x14ac:dyDescent="0.2">
      <c r="A21" t="s">
        <v>29</v>
      </c>
      <c r="B21" s="18"/>
      <c r="C21" s="17" t="s">
        <v>19</v>
      </c>
      <c r="D21" s="123">
        <f>+D6/C6-1</f>
        <v>5.155508838477596E-2</v>
      </c>
      <c r="E21" s="123">
        <f t="shared" ref="E21:G21" si="20">+E6/D6-1</f>
        <v>5.4190260783273381E-2</v>
      </c>
      <c r="F21" s="123">
        <f t="shared" si="20"/>
        <v>-2.6962308424346992E-2</v>
      </c>
      <c r="G21" s="123">
        <f t="shared" si="20"/>
        <v>0.14952776061435236</v>
      </c>
      <c r="H21" s="23">
        <v>-0.2</v>
      </c>
      <c r="I21" s="23">
        <v>0.05</v>
      </c>
      <c r="J21" s="23">
        <v>0.02</v>
      </c>
      <c r="K21" s="23">
        <v>0.03</v>
      </c>
      <c r="L21" s="23">
        <v>0.04</v>
      </c>
      <c r="M21" s="19"/>
    </row>
    <row r="22" spans="1:13" x14ac:dyDescent="0.2">
      <c r="A22" t="s">
        <v>270</v>
      </c>
      <c r="B22" s="18"/>
      <c r="C22" s="122">
        <f>C8/$C$6</f>
        <v>0.64611337396957425</v>
      </c>
      <c r="D22" s="122">
        <f t="shared" ref="D22:G22" si="21">D8/$C$6</f>
        <v>0.65915829282086724</v>
      </c>
      <c r="E22" s="122">
        <f t="shared" si="21"/>
        <v>0.68391897887639075</v>
      </c>
      <c r="F22" s="122">
        <f t="shared" si="21"/>
        <v>0.68390374504662499</v>
      </c>
      <c r="G22" s="122">
        <f t="shared" si="21"/>
        <v>0.78149546698353023</v>
      </c>
      <c r="H22" s="23">
        <v>0.6</v>
      </c>
      <c r="I22" s="23">
        <v>0.6</v>
      </c>
      <c r="J22" s="23">
        <v>0.6</v>
      </c>
      <c r="K22" s="23">
        <v>0.6</v>
      </c>
      <c r="L22" s="23">
        <v>0.6</v>
      </c>
      <c r="M22" s="19"/>
    </row>
    <row r="23" spans="1:13" x14ac:dyDescent="0.2">
      <c r="A23" t="s">
        <v>271</v>
      </c>
      <c r="B23" s="18"/>
      <c r="C23" s="122">
        <f>C20-C22</f>
        <v>0.35388662603042575</v>
      </c>
      <c r="D23" s="122">
        <f t="shared" ref="D23:L23" si="22">D20-D22</f>
        <v>0.34084170717913276</v>
      </c>
      <c r="E23" s="122">
        <f t="shared" si="22"/>
        <v>0.31608102112360925</v>
      </c>
      <c r="F23" s="122">
        <f t="shared" si="22"/>
        <v>0.31609625495337501</v>
      </c>
      <c r="G23" s="122">
        <f t="shared" si="22"/>
        <v>0.21850453301646977</v>
      </c>
      <c r="H23" s="122">
        <f t="shared" si="22"/>
        <v>-0.6</v>
      </c>
      <c r="I23" s="122">
        <f t="shared" si="22"/>
        <v>-0.6</v>
      </c>
      <c r="J23" s="122">
        <f t="shared" si="22"/>
        <v>-0.6</v>
      </c>
      <c r="K23" s="122">
        <f t="shared" si="22"/>
        <v>-0.6</v>
      </c>
      <c r="L23" s="122">
        <f t="shared" si="22"/>
        <v>-0.6</v>
      </c>
      <c r="M23" s="19"/>
    </row>
    <row r="24" spans="1:13" x14ac:dyDescent="0.2">
      <c r="A24" t="s">
        <v>306</v>
      </c>
      <c r="B24" s="18"/>
      <c r="C24" s="122">
        <f>C11/$C$6</f>
        <v>0.25411075375085451</v>
      </c>
      <c r="D24" s="122">
        <f t="shared" ref="D24:G24" si="23">D11/$C$6</f>
        <v>0.2654266329237337</v>
      </c>
      <c r="E24" s="122">
        <f t="shared" si="23"/>
        <v>0.2741784681241633</v>
      </c>
      <c r="F24" s="122">
        <f t="shared" si="23"/>
        <v>0.2730663985512628</v>
      </c>
      <c r="G24" s="122">
        <f t="shared" si="23"/>
        <v>0.31591154476746508</v>
      </c>
      <c r="H24" s="23">
        <v>0.26</v>
      </c>
      <c r="I24" s="23">
        <v>0.26</v>
      </c>
      <c r="J24" s="23">
        <v>0.26</v>
      </c>
      <c r="K24" s="23">
        <v>0.26</v>
      </c>
      <c r="L24" s="23">
        <v>0.26</v>
      </c>
      <c r="M24" s="19"/>
    </row>
    <row r="25" spans="1:13" x14ac:dyDescent="0.2">
      <c r="A25" t="s">
        <v>307</v>
      </c>
      <c r="B25" s="18"/>
      <c r="C25" s="122">
        <f>C12/$C$6</f>
        <v>1.8280595718912988E-2</v>
      </c>
      <c r="D25" s="122">
        <f t="shared" ref="D25:G25" si="24">D12/$C$6</f>
        <v>1.9708767259453065E-2</v>
      </c>
      <c r="E25" s="122">
        <f t="shared" si="24"/>
        <v>2.0660881619813116E-2</v>
      </c>
      <c r="F25" s="122">
        <f t="shared" si="24"/>
        <v>1.8280595718912988E-2</v>
      </c>
      <c r="G25" s="122">
        <f t="shared" si="24"/>
        <v>1.9137498643237036E-2</v>
      </c>
      <c r="H25" s="23">
        <v>1.4999999999999999E-2</v>
      </c>
      <c r="I25" s="23">
        <v>1.4999999999999999E-2</v>
      </c>
      <c r="J25" s="23">
        <v>1.4999999999999999E-2</v>
      </c>
      <c r="K25" s="23">
        <v>1.4999999999999999E-2</v>
      </c>
      <c r="L25" s="23">
        <v>1.4999999999999999E-2</v>
      </c>
      <c r="M25" s="19"/>
    </row>
    <row r="26" spans="1:13" x14ac:dyDescent="0.2">
      <c r="A26" t="s">
        <v>322</v>
      </c>
      <c r="B26" s="18"/>
      <c r="C26" s="122">
        <f>C14/$C$6</f>
        <v>0</v>
      </c>
      <c r="D26" s="122">
        <f t="shared" ref="D26:G26" si="25">D14/$C$6</f>
        <v>0</v>
      </c>
      <c r="E26" s="122">
        <f t="shared" si="25"/>
        <v>0</v>
      </c>
      <c r="F26" s="122">
        <f t="shared" si="25"/>
        <v>0</v>
      </c>
      <c r="G26" s="122">
        <f t="shared" si="25"/>
        <v>0</v>
      </c>
      <c r="H26" s="23">
        <v>2.5000000000000001E-2</v>
      </c>
      <c r="I26" s="23">
        <v>2.5000000000000001E-2</v>
      </c>
      <c r="J26" s="23">
        <v>2.5000000000000001E-2</v>
      </c>
      <c r="K26" s="23">
        <v>2.5000000000000001E-2</v>
      </c>
      <c r="L26" s="23">
        <v>2.5000000000000001E-2</v>
      </c>
      <c r="M26" s="19"/>
    </row>
    <row r="27" spans="1:13" x14ac:dyDescent="0.2">
      <c r="A27" t="s">
        <v>240</v>
      </c>
      <c r="B27" s="18"/>
      <c r="C27" s="122">
        <f t="shared" ref="C27:G27" si="26">C13/$C$6</f>
        <v>8.1495276560658275E-2</v>
      </c>
      <c r="D27" s="122">
        <f t="shared" si="26"/>
        <v>0.107261395380722</v>
      </c>
      <c r="E27" s="122">
        <f t="shared" si="26"/>
        <v>0.12978080423195779</v>
      </c>
      <c r="F27" s="122">
        <f t="shared" si="26"/>
        <v>0.10339961953510171</v>
      </c>
      <c r="G27" s="122">
        <f t="shared" si="26"/>
        <v>0.12339402110266266</v>
      </c>
      <c r="H27" s="122">
        <f t="shared" ref="H27:L27" si="27">H13/$C$6</f>
        <v>0.1239938531496895</v>
      </c>
      <c r="I27" s="122">
        <f t="shared" si="27"/>
        <v>0.13019354580717402</v>
      </c>
      <c r="J27" s="122">
        <f t="shared" si="27"/>
        <v>0.13279741672331749</v>
      </c>
      <c r="K27" s="122">
        <f t="shared" si="27"/>
        <v>0.13678133922501695</v>
      </c>
      <c r="L27" s="122">
        <f t="shared" si="27"/>
        <v>0.14225259279401767</v>
      </c>
      <c r="M27" s="19"/>
    </row>
    <row r="28" spans="1:13" x14ac:dyDescent="0.2">
      <c r="A28" t="s">
        <v>239</v>
      </c>
      <c r="B28" s="18"/>
      <c r="C28" s="122">
        <f>C15/$C$6</f>
        <v>8.1495276560658275E-2</v>
      </c>
      <c r="D28" s="122">
        <f t="shared" ref="D28:G28" si="28">D15/$C$6</f>
        <v>0.107261395380722</v>
      </c>
      <c r="E28" s="122">
        <f t="shared" si="28"/>
        <v>0.12978080423195779</v>
      </c>
      <c r="F28" s="122">
        <f t="shared" si="28"/>
        <v>0.10339961953510171</v>
      </c>
      <c r="G28" s="122">
        <f t="shared" si="28"/>
        <v>0.12339402110266266</v>
      </c>
      <c r="H28" s="122">
        <f>H15/$C$6</f>
        <v>9.9195082519751607E-2</v>
      </c>
      <c r="I28" s="122">
        <f t="shared" ref="I28:L28" si="29">I15/$C$6</f>
        <v>0.10415483664573921</v>
      </c>
      <c r="J28" s="122">
        <f t="shared" si="29"/>
        <v>0.106237933378654</v>
      </c>
      <c r="K28" s="122">
        <f t="shared" si="29"/>
        <v>0.10942507138001355</v>
      </c>
      <c r="L28" s="122">
        <f t="shared" si="29"/>
        <v>0.11380207423521413</v>
      </c>
      <c r="M28" s="19"/>
    </row>
    <row r="29" spans="1:13" x14ac:dyDescent="0.2">
      <c r="A29" t="s">
        <v>31</v>
      </c>
      <c r="B29" s="18"/>
      <c r="C29" s="17" t="s">
        <v>19</v>
      </c>
      <c r="D29" s="17" t="s">
        <v>19</v>
      </c>
      <c r="E29" s="17" t="s">
        <v>19</v>
      </c>
      <c r="F29" s="17" t="s">
        <v>19</v>
      </c>
      <c r="G29" s="17" t="s">
        <v>19</v>
      </c>
      <c r="H29" s="23">
        <v>0.25</v>
      </c>
      <c r="I29" s="23">
        <v>0.25</v>
      </c>
      <c r="J29" s="23">
        <v>0.25</v>
      </c>
      <c r="K29" s="23">
        <v>0.25</v>
      </c>
      <c r="L29" s="23">
        <v>0.25</v>
      </c>
      <c r="M29" s="19"/>
    </row>
    <row r="30" spans="1:13" ht="16" thickBot="1" x14ac:dyDescent="0.25">
      <c r="A30" t="s">
        <v>238</v>
      </c>
      <c r="B30" s="20"/>
      <c r="C30" s="30" t="s">
        <v>19</v>
      </c>
      <c r="D30" s="30" t="s">
        <v>19</v>
      </c>
      <c r="E30" s="30" t="s">
        <v>19</v>
      </c>
      <c r="F30" s="30" t="s">
        <v>19</v>
      </c>
      <c r="G30" s="30" t="s">
        <v>19</v>
      </c>
      <c r="H30" s="161">
        <f>+H17/H6</f>
        <v>7.5000000000000011E-2</v>
      </c>
      <c r="I30" s="161">
        <f t="shared" ref="I30:L30" si="30">+I17/I6</f>
        <v>7.5000000000000025E-2</v>
      </c>
      <c r="J30" s="161">
        <f t="shared" si="30"/>
        <v>7.5000000000000025E-2</v>
      </c>
      <c r="K30" s="161">
        <f t="shared" si="30"/>
        <v>7.4999999999999969E-2</v>
      </c>
      <c r="L30" s="161">
        <f t="shared" si="30"/>
        <v>7.4999999999999983E-2</v>
      </c>
      <c r="M30" s="21"/>
    </row>
    <row r="32" spans="1:13" x14ac:dyDescent="0.2">
      <c r="A32" s="9"/>
      <c r="B32" s="9"/>
    </row>
    <row r="33" spans="1:2" x14ac:dyDescent="0.2">
      <c r="A33" s="1" t="s">
        <v>30</v>
      </c>
      <c r="B33" s="1"/>
    </row>
    <row r="54" spans="5:15" x14ac:dyDescent="0.2">
      <c r="E54" s="155" t="s">
        <v>337</v>
      </c>
    </row>
    <row r="57" spans="5:15" x14ac:dyDescent="0.2">
      <c r="E57" s="156"/>
      <c r="F57" s="156" t="s">
        <v>338</v>
      </c>
      <c r="G57" s="156" t="s">
        <v>339</v>
      </c>
      <c r="H57" s="156" t="s">
        <v>340</v>
      </c>
      <c r="I57" s="156" t="s">
        <v>341</v>
      </c>
      <c r="J57" s="156" t="s">
        <v>342</v>
      </c>
      <c r="K57" s="156" t="s">
        <v>343</v>
      </c>
      <c r="L57" s="156" t="s">
        <v>344</v>
      </c>
      <c r="M57" s="156" t="s">
        <v>345</v>
      </c>
      <c r="N57" s="156" t="s">
        <v>346</v>
      </c>
      <c r="O57" s="156" t="s">
        <v>347</v>
      </c>
    </row>
    <row r="58" spans="5:15" x14ac:dyDescent="0.2">
      <c r="E58" s="157" t="s">
        <v>348</v>
      </c>
      <c r="F58" s="157"/>
      <c r="G58" s="157"/>
      <c r="H58" s="157"/>
      <c r="I58" s="157"/>
      <c r="J58" s="157"/>
      <c r="K58" s="157"/>
      <c r="L58" s="157"/>
      <c r="M58" s="157"/>
      <c r="N58" s="157"/>
      <c r="O58" s="157"/>
    </row>
    <row r="59" spans="5:15" x14ac:dyDescent="0.2">
      <c r="E59" s="157" t="s">
        <v>349</v>
      </c>
      <c r="F59" s="157"/>
      <c r="G59" s="157" t="s">
        <v>27</v>
      </c>
      <c r="H59" s="157" t="s">
        <v>27</v>
      </c>
      <c r="I59" s="157" t="s">
        <v>27</v>
      </c>
      <c r="J59" s="157" t="s">
        <v>27</v>
      </c>
      <c r="K59" s="157" t="s">
        <v>28</v>
      </c>
      <c r="L59" s="157" t="s">
        <v>28</v>
      </c>
      <c r="M59" s="157" t="s">
        <v>28</v>
      </c>
      <c r="N59" s="157" t="s">
        <v>28</v>
      </c>
      <c r="O59" s="157" t="s">
        <v>28</v>
      </c>
    </row>
    <row r="60" spans="5:15" x14ac:dyDescent="0.2">
      <c r="E60" s="157" t="s">
        <v>26</v>
      </c>
      <c r="F60" s="157"/>
      <c r="G60" s="157">
        <v>2018</v>
      </c>
      <c r="H60" s="157">
        <v>2019</v>
      </c>
      <c r="I60" s="157">
        <v>2020</v>
      </c>
      <c r="J60" s="157">
        <v>2021</v>
      </c>
      <c r="K60" s="157">
        <v>2022</v>
      </c>
      <c r="L60" s="157">
        <v>2023</v>
      </c>
      <c r="M60" s="157">
        <v>2024</v>
      </c>
      <c r="N60" s="157">
        <v>2025</v>
      </c>
      <c r="O60" s="157">
        <v>2026</v>
      </c>
    </row>
    <row r="61" spans="5:15" x14ac:dyDescent="0.2"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5:15" x14ac:dyDescent="0.2">
      <c r="E62" s="157" t="s">
        <v>10</v>
      </c>
      <c r="F62" s="157" t="s">
        <v>350</v>
      </c>
      <c r="G62" s="157" t="s">
        <v>19</v>
      </c>
      <c r="H62" s="157"/>
      <c r="I62" s="157"/>
      <c r="J62" s="157"/>
      <c r="K62" s="158">
        <v>-0.2</v>
      </c>
      <c r="L62" s="158">
        <v>0.05</v>
      </c>
      <c r="M62" s="158">
        <v>0.02</v>
      </c>
      <c r="N62" s="158">
        <v>0.03</v>
      </c>
      <c r="O62" s="158">
        <v>0.04</v>
      </c>
    </row>
    <row r="63" spans="5:15" x14ac:dyDescent="0.2">
      <c r="E63" s="157" t="s">
        <v>11</v>
      </c>
      <c r="F63" s="157"/>
      <c r="G63" s="157"/>
      <c r="H63" s="157"/>
      <c r="I63" s="157"/>
      <c r="J63" s="157"/>
      <c r="K63" s="157">
        <f>F4*60%</f>
        <v>1212.5999999999999</v>
      </c>
      <c r="L63" s="157">
        <f>G4*60%</f>
        <v>1213.2</v>
      </c>
      <c r="M63" s="157">
        <f>H4*60%</f>
        <v>1213.8</v>
      </c>
      <c r="N63" s="157">
        <f>I4*60%</f>
        <v>1214.3999999999999</v>
      </c>
      <c r="O63" s="157">
        <f>J4*60%</f>
        <v>1215</v>
      </c>
    </row>
    <row r="64" spans="5:15" x14ac:dyDescent="0.2"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5:15" x14ac:dyDescent="0.2">
      <c r="E65" s="157" t="s">
        <v>12</v>
      </c>
      <c r="F65" s="157"/>
      <c r="G65" s="157"/>
      <c r="H65" s="157"/>
      <c r="I65" s="157"/>
      <c r="J65" s="157"/>
      <c r="K65" s="157">
        <f>F4-F5</f>
        <v>2021</v>
      </c>
      <c r="L65" s="157">
        <f>G4-G5</f>
        <v>2022</v>
      </c>
      <c r="M65" s="157">
        <f>H4-H5</f>
        <v>2023</v>
      </c>
      <c r="N65" s="157">
        <f>I4-I5</f>
        <v>2024</v>
      </c>
      <c r="O65" s="157">
        <f>J4-J5</f>
        <v>2025</v>
      </c>
    </row>
    <row r="66" spans="5:15" x14ac:dyDescent="0.2">
      <c r="E66" s="157" t="s">
        <v>285</v>
      </c>
      <c r="F66" s="157"/>
      <c r="G66" s="157"/>
      <c r="H66" s="157"/>
      <c r="I66" s="157"/>
      <c r="J66" s="157"/>
      <c r="K66" s="157">
        <f>F4*26%</f>
        <v>525.46</v>
      </c>
      <c r="L66" s="157">
        <f>G4*26%</f>
        <v>525.72</v>
      </c>
      <c r="M66" s="157">
        <f>H4*26%</f>
        <v>525.98</v>
      </c>
      <c r="N66" s="157">
        <f>I4*26%</f>
        <v>526.24</v>
      </c>
      <c r="O66" s="157">
        <f>J4*26%</f>
        <v>526.5</v>
      </c>
    </row>
    <row r="67" spans="5:15" x14ac:dyDescent="0.2">
      <c r="E67" s="157" t="s">
        <v>305</v>
      </c>
      <c r="F67" s="157"/>
      <c r="G67" s="157"/>
      <c r="H67" s="157"/>
      <c r="I67" s="157"/>
      <c r="J67" s="157"/>
      <c r="K67" s="157">
        <f>F4*1.5%</f>
        <v>30.314999999999998</v>
      </c>
      <c r="L67" s="157">
        <f>G4*1.5%</f>
        <v>30.33</v>
      </c>
      <c r="M67" s="157">
        <f>H4*1.5%</f>
        <v>30.344999999999999</v>
      </c>
      <c r="N67" s="157">
        <f>I4*1.5%</f>
        <v>30.36</v>
      </c>
      <c r="O67" s="157">
        <f>J4*1.5%</f>
        <v>30.375</v>
      </c>
    </row>
    <row r="68" spans="5:15" x14ac:dyDescent="0.2">
      <c r="E68" s="157" t="s">
        <v>21</v>
      </c>
      <c r="F68" s="157"/>
      <c r="G68" s="157"/>
      <c r="H68" s="157"/>
      <c r="I68" s="157"/>
      <c r="J68" s="157"/>
      <c r="K68" s="159">
        <f>F6-F7-F8</f>
        <v>414.62696230842448</v>
      </c>
      <c r="L68" s="159">
        <f>G6-G7-G8</f>
        <v>481.35047223938568</v>
      </c>
      <c r="M68" s="159">
        <f>H6-H7-H8</f>
        <v>416.93600000000004</v>
      </c>
      <c r="N68" s="159">
        <f>I6-I7-I8</f>
        <v>437.52280000000007</v>
      </c>
      <c r="O68" s="159">
        <f>J6-J7-J8</f>
        <v>446.30425600000012</v>
      </c>
    </row>
    <row r="69" spans="5:15" x14ac:dyDescent="0.2">
      <c r="E69" s="157" t="s">
        <v>321</v>
      </c>
      <c r="F69" s="157"/>
      <c r="G69" s="157"/>
      <c r="H69" s="157"/>
      <c r="I69" s="157"/>
      <c r="J69" s="157"/>
      <c r="K69" s="157">
        <f>F4*2.5%</f>
        <v>50.525000000000006</v>
      </c>
      <c r="L69" s="157">
        <f>G4*2.5%</f>
        <v>50.550000000000004</v>
      </c>
      <c r="M69" s="157">
        <f>H4*2.5%</f>
        <v>50.575000000000003</v>
      </c>
      <c r="N69" s="157">
        <f>I4*2.5%</f>
        <v>50.6</v>
      </c>
      <c r="O69" s="157">
        <f>J4*2.5%</f>
        <v>50.625</v>
      </c>
    </row>
    <row r="70" spans="5:15" x14ac:dyDescent="0.2">
      <c r="E70" s="157" t="s">
        <v>13</v>
      </c>
      <c r="F70" s="157"/>
      <c r="G70" s="157"/>
      <c r="H70" s="157"/>
      <c r="I70" s="157"/>
      <c r="J70" s="157"/>
      <c r="K70" s="160">
        <f>F9-F10</f>
        <v>-414.60000000000014</v>
      </c>
      <c r="L70" s="160">
        <f>G9-G10</f>
        <v>-481.5</v>
      </c>
      <c r="M70" s="160">
        <f>H9-H10</f>
        <v>-416.73599999999999</v>
      </c>
      <c r="N70" s="160">
        <f>I9-I10</f>
        <v>-437.57280000000003</v>
      </c>
      <c r="O70" s="160">
        <f>J9-J10</f>
        <v>-446.3242560000001</v>
      </c>
    </row>
    <row r="71" spans="5:15" x14ac:dyDescent="0.2">
      <c r="E71" s="157" t="s">
        <v>14</v>
      </c>
      <c r="F71" s="157" t="s">
        <v>19</v>
      </c>
      <c r="G71" s="157" t="s">
        <v>19</v>
      </c>
      <c r="H71" s="157" t="s">
        <v>19</v>
      </c>
      <c r="I71" s="157" t="s">
        <v>19</v>
      </c>
      <c r="J71" s="157" t="s">
        <v>19</v>
      </c>
      <c r="K71" s="157">
        <f>F11*25%</f>
        <v>71.7</v>
      </c>
      <c r="L71" s="157"/>
      <c r="M71" s="157"/>
      <c r="N71" s="157"/>
      <c r="O71" s="157"/>
    </row>
    <row r="72" spans="5:15" x14ac:dyDescent="0.2">
      <c r="E72" s="155" t="s">
        <v>351</v>
      </c>
    </row>
    <row r="73" spans="5:15" x14ac:dyDescent="0.2">
      <c r="E73" s="155" t="s">
        <v>352</v>
      </c>
    </row>
    <row r="1000" spans="648:648" ht="16" x14ac:dyDescent="0.2">
      <c r="XX1000" s="153">
        <v>63803</v>
      </c>
    </row>
  </sheetData>
  <printOptions horizontalCentered="1"/>
  <pageMargins left="0.2" right="0.2" top="0.75" bottom="0.75" header="0.3" footer="0.3"/>
  <pageSetup scale="85" orientation="landscape" r:id="rId1"/>
  <headerFooter>
    <oddFooter xml:space="preserve">&amp;LPage &amp;P&amp;CFCF Valuation Model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X1000"/>
  <sheetViews>
    <sheetView showGridLines="0" topLeftCell="A4" zoomScale="94" zoomScaleNormal="100" workbookViewId="0">
      <selection activeCell="M23" sqref="M23"/>
    </sheetView>
  </sheetViews>
  <sheetFormatPr baseColWidth="10" defaultColWidth="8.83203125" defaultRowHeight="15" x14ac:dyDescent="0.2"/>
  <cols>
    <col min="1" max="1" width="39.83203125" customWidth="1"/>
    <col min="2" max="2" width="3.5" customWidth="1"/>
    <col min="3" max="12" width="11.5" customWidth="1"/>
    <col min="13" max="13" width="3.5" customWidth="1"/>
    <col min="14" max="16" width="13.6640625" customWidth="1"/>
  </cols>
  <sheetData>
    <row r="1" spans="1:13" x14ac:dyDescent="0.2">
      <c r="A1" s="45">
        <f>+'Income Statement'!A1</f>
        <v>0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6" thickBot="1" x14ac:dyDescent="0.25">
      <c r="A2" s="45" t="s">
        <v>247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">
      <c r="A3" s="47" t="str">
        <f>+'Income Statement'!A3</f>
        <v>($millions)</v>
      </c>
      <c r="B3" s="49"/>
      <c r="C3" s="50" t="str">
        <f>+'Income Statement'!C3</f>
        <v>Actual</v>
      </c>
      <c r="D3" s="50" t="str">
        <f>+'Income Statement'!D3</f>
        <v>Actual</v>
      </c>
      <c r="E3" s="50" t="str">
        <f>+'Income Statement'!E3</f>
        <v>Actual</v>
      </c>
      <c r="F3" s="50" t="str">
        <f>+'Income Statement'!F3</f>
        <v>Actual</v>
      </c>
      <c r="G3" s="100" t="str">
        <f>+'Income Statement'!G3</f>
        <v>Actual</v>
      </c>
      <c r="H3" s="50" t="s">
        <v>28</v>
      </c>
      <c r="I3" s="50" t="str">
        <f>+H3</f>
        <v>Projected</v>
      </c>
      <c r="J3" s="50" t="str">
        <f t="shared" ref="J3:L3" si="0">+I3</f>
        <v>Projected</v>
      </c>
      <c r="K3" s="50" t="str">
        <f t="shared" si="0"/>
        <v>Projected</v>
      </c>
      <c r="L3" s="50" t="str">
        <f t="shared" si="0"/>
        <v>Projected</v>
      </c>
      <c r="M3" s="51"/>
    </row>
    <row r="4" spans="1:13" x14ac:dyDescent="0.2">
      <c r="A4" s="52" t="s">
        <v>24</v>
      </c>
      <c r="B4" s="53"/>
      <c r="C4" s="54">
        <f>+'Income Statement'!C4</f>
        <v>2018</v>
      </c>
      <c r="D4" s="54">
        <f>+'Income Statement'!D4</f>
        <v>2019</v>
      </c>
      <c r="E4" s="54">
        <f>+'Income Statement'!E4</f>
        <v>2020</v>
      </c>
      <c r="F4" s="54">
        <f>+'Income Statement'!F4</f>
        <v>2021</v>
      </c>
      <c r="G4" s="101">
        <f>+'Income Statement'!G4</f>
        <v>2022</v>
      </c>
      <c r="H4" s="55">
        <f>+'Income Statement'!H4</f>
        <v>2023</v>
      </c>
      <c r="I4" s="55">
        <f>+'Income Statement'!I4</f>
        <v>2024</v>
      </c>
      <c r="J4" s="55">
        <f>+'Income Statement'!J4</f>
        <v>2025</v>
      </c>
      <c r="K4" s="55">
        <f>+'Income Statement'!K4</f>
        <v>2026</v>
      </c>
      <c r="L4" s="55">
        <f>+'Income Statement'!L4</f>
        <v>2027</v>
      </c>
      <c r="M4" s="56"/>
    </row>
    <row r="5" spans="1:13" x14ac:dyDescent="0.2">
      <c r="B5" s="18"/>
      <c r="M5" s="19"/>
    </row>
    <row r="6" spans="1:13" x14ac:dyDescent="0.2">
      <c r="A6" t="s">
        <v>2</v>
      </c>
      <c r="B6" s="18"/>
      <c r="C6" s="113">
        <f>+'Balance Sheet'!B22</f>
        <v>114.551</v>
      </c>
      <c r="D6" s="113">
        <f>+'Balance Sheet'!C22</f>
        <v>116.532</v>
      </c>
      <c r="E6" s="113">
        <f>+'Balance Sheet'!D22</f>
        <v>84.424999999999997</v>
      </c>
      <c r="F6" s="113">
        <f>+'Balance Sheet'!E22</f>
        <v>86.686999999999998</v>
      </c>
      <c r="G6" s="113">
        <f>+'Balance Sheet'!F22</f>
        <v>120.2</v>
      </c>
      <c r="H6" s="113">
        <f>(H19/365)*H21</f>
        <v>79.921972602739729</v>
      </c>
      <c r="I6" s="113">
        <f t="shared" ref="I6:L6" si="1">(I19/365)*I21</f>
        <v>83.918071232876713</v>
      </c>
      <c r="J6" s="113">
        <f t="shared" si="1"/>
        <v>85.596432657534251</v>
      </c>
      <c r="K6" s="113">
        <f t="shared" si="1"/>
        <v>88.164325637260291</v>
      </c>
      <c r="L6" s="113">
        <f t="shared" si="1"/>
        <v>91.690898662750712</v>
      </c>
      <c r="M6" s="19"/>
    </row>
    <row r="7" spans="1:13" x14ac:dyDescent="0.2">
      <c r="A7" t="s">
        <v>1</v>
      </c>
      <c r="B7" s="18"/>
      <c r="C7" s="117">
        <f>'Balance Sheet'!B24</f>
        <v>140.83500000000001</v>
      </c>
      <c r="D7" s="117">
        <f>'Balance Sheet'!C24</f>
        <v>140.798</v>
      </c>
      <c r="E7" s="117">
        <f>'Balance Sheet'!D24</f>
        <v>142.072</v>
      </c>
      <c r="F7" s="117">
        <f>'Balance Sheet'!E24</f>
        <v>144.94499999999999</v>
      </c>
      <c r="G7" s="117">
        <f>'Balance Sheet'!F24</f>
        <v>170.5</v>
      </c>
      <c r="H7" s="117">
        <f>+H20/H22</f>
        <v>138.91199999999998</v>
      </c>
      <c r="I7" s="117">
        <f t="shared" ref="I7:L7" si="2">+I20/I22</f>
        <v>145.85759999999999</v>
      </c>
      <c r="J7" s="117">
        <f t="shared" si="2"/>
        <v>148.77475200000001</v>
      </c>
      <c r="K7" s="117">
        <f t="shared" si="2"/>
        <v>153.23799456000003</v>
      </c>
      <c r="L7" s="117">
        <f t="shared" si="2"/>
        <v>159.36751434240006</v>
      </c>
      <c r="M7" s="19"/>
    </row>
    <row r="8" spans="1:13" ht="18" x14ac:dyDescent="0.35">
      <c r="A8" t="s">
        <v>313</v>
      </c>
      <c r="B8" s="18"/>
      <c r="C8" s="115">
        <f>'Balance Sheet'!B25+'Balance Sheet'!B27</f>
        <v>21.544</v>
      </c>
      <c r="D8" s="115">
        <f>'Balance Sheet'!C25+'Balance Sheet'!C27</f>
        <v>26.765000000000001</v>
      </c>
      <c r="E8" s="115">
        <f>'Balance Sheet'!D25+'Balance Sheet'!D27</f>
        <v>40.457000000000001</v>
      </c>
      <c r="F8" s="115">
        <f>'Balance Sheet'!E25+'Balance Sheet'!E27</f>
        <v>44.435000000000002</v>
      </c>
      <c r="G8" s="115">
        <f>'Balance Sheet'!F25+'Balance Sheet'!F27</f>
        <v>39.299999999999997</v>
      </c>
      <c r="H8" s="120">
        <f>+H23*H19</f>
        <v>26.045999999999999</v>
      </c>
      <c r="I8" s="120">
        <f t="shared" ref="I8:L8" si="3">+I23*I19</f>
        <v>27.348300000000002</v>
      </c>
      <c r="J8" s="120">
        <f t="shared" si="3"/>
        <v>27.895266000000007</v>
      </c>
      <c r="K8" s="120">
        <f t="shared" si="3"/>
        <v>28.732123980000008</v>
      </c>
      <c r="L8" s="120">
        <f t="shared" si="3"/>
        <v>29.881408939200011</v>
      </c>
      <c r="M8" s="19"/>
    </row>
    <row r="9" spans="1:13" x14ac:dyDescent="0.2">
      <c r="A9" t="s">
        <v>3</v>
      </c>
      <c r="B9" s="18"/>
      <c r="C9" s="126">
        <f>SUM(C6:C8)</f>
        <v>276.93</v>
      </c>
      <c r="D9" s="126">
        <f t="shared" ref="D9:L9" si="4">SUM(D6:D8)</f>
        <v>284.09499999999997</v>
      </c>
      <c r="E9" s="126">
        <f t="shared" si="4"/>
        <v>266.95400000000001</v>
      </c>
      <c r="F9" s="126">
        <f t="shared" si="4"/>
        <v>276.06700000000001</v>
      </c>
      <c r="G9" s="126">
        <f t="shared" si="4"/>
        <v>330</v>
      </c>
      <c r="H9" s="126">
        <f t="shared" si="4"/>
        <v>244.87997260273971</v>
      </c>
      <c r="I9" s="126">
        <f t="shared" si="4"/>
        <v>257.12397123287673</v>
      </c>
      <c r="J9" s="126">
        <f t="shared" si="4"/>
        <v>262.26645065753428</v>
      </c>
      <c r="K9" s="126">
        <f t="shared" si="4"/>
        <v>270.13444417726032</v>
      </c>
      <c r="L9" s="126">
        <f t="shared" si="4"/>
        <v>280.9398219443508</v>
      </c>
      <c r="M9" s="19"/>
    </row>
    <row r="10" spans="1:13" x14ac:dyDescent="0.2">
      <c r="B10" s="18"/>
      <c r="M10" s="19"/>
    </row>
    <row r="11" spans="1:13" x14ac:dyDescent="0.2">
      <c r="A11" t="s">
        <v>4</v>
      </c>
      <c r="B11" s="18"/>
      <c r="C11" s="117">
        <f>'Balance Sheet'!B40</f>
        <v>114.914</v>
      </c>
      <c r="D11" s="117">
        <f>'Balance Sheet'!C40</f>
        <v>89.552000000000007</v>
      </c>
      <c r="E11" s="117">
        <f>'Balance Sheet'!D40</f>
        <v>97.518000000000001</v>
      </c>
      <c r="F11" s="117">
        <f>'Balance Sheet'!E40</f>
        <v>108.922</v>
      </c>
      <c r="G11" s="117">
        <f>'Balance Sheet'!F40</f>
        <v>126.7</v>
      </c>
      <c r="H11" s="117">
        <f>+H20/365*H24</f>
        <v>99.331594520547938</v>
      </c>
      <c r="I11" s="117">
        <f t="shared" ref="I11:L11" si="5">+I20/365*I24</f>
        <v>104.29817424657534</v>
      </c>
      <c r="J11" s="117">
        <f t="shared" si="5"/>
        <v>106.38413773150685</v>
      </c>
      <c r="K11" s="117">
        <f t="shared" si="5"/>
        <v>109.57566186345207</v>
      </c>
      <c r="L11" s="117">
        <f t="shared" si="5"/>
        <v>113.95868833799018</v>
      </c>
      <c r="M11" s="19"/>
    </row>
    <row r="12" spans="1:13" ht="18" x14ac:dyDescent="0.35">
      <c r="A12" t="s">
        <v>320</v>
      </c>
      <c r="B12" s="18"/>
      <c r="C12" s="115">
        <f>'Balance Sheet'!B41+'Balance Sheet'!B42+'Balance Sheet'!B45+'Balance Sheet'!B46+'Balance Sheet'!B43</f>
        <v>103.965</v>
      </c>
      <c r="D12" s="115">
        <f>'Balance Sheet'!C41+'Balance Sheet'!C42+'Balance Sheet'!C45+'Balance Sheet'!C46+'Balance Sheet'!C43</f>
        <v>124.90800000000002</v>
      </c>
      <c r="E12" s="115">
        <f>'Balance Sheet'!D41+'Balance Sheet'!D42+'Balance Sheet'!D45+'Balance Sheet'!D46+'Balance Sheet'!D43</f>
        <v>124.855</v>
      </c>
      <c r="F12" s="115">
        <f>'Balance Sheet'!E41+'Balance Sheet'!E42+'Balance Sheet'!E45+'Balance Sheet'!E46+'Balance Sheet'!E43</f>
        <v>114.158</v>
      </c>
      <c r="G12" s="115">
        <f>'Balance Sheet'!F41+'Balance Sheet'!F42+'Balance Sheet'!F45+'Balance Sheet'!F46+'Balance Sheet'!F43</f>
        <v>146.10000000000002</v>
      </c>
      <c r="H12" s="115">
        <f>+H20*H25</f>
        <v>90.640079999999983</v>
      </c>
      <c r="I12" s="115">
        <f t="shared" ref="I12:L12" si="6">+I20*I25</f>
        <v>95.172083999999998</v>
      </c>
      <c r="J12" s="115">
        <f t="shared" si="6"/>
        <v>97.075525679999998</v>
      </c>
      <c r="K12" s="115">
        <f t="shared" si="6"/>
        <v>99.98779145040001</v>
      </c>
      <c r="L12" s="115">
        <f t="shared" si="6"/>
        <v>103.98730310841603</v>
      </c>
      <c r="M12" s="19"/>
    </row>
    <row r="13" spans="1:13" ht="18" x14ac:dyDescent="0.35">
      <c r="A13" t="s">
        <v>244</v>
      </c>
      <c r="B13" s="18"/>
      <c r="C13" s="115">
        <f>SUM(C11:C12)</f>
        <v>218.87900000000002</v>
      </c>
      <c r="D13" s="115">
        <f t="shared" ref="D13:G13" si="7">SUM(D11:D12)</f>
        <v>214.46000000000004</v>
      </c>
      <c r="E13" s="115">
        <f t="shared" si="7"/>
        <v>222.37299999999999</v>
      </c>
      <c r="F13" s="115">
        <f t="shared" si="7"/>
        <v>223.07999999999998</v>
      </c>
      <c r="G13" s="115">
        <f t="shared" si="7"/>
        <v>272.8</v>
      </c>
      <c r="H13" s="115">
        <f>SUM(H11:H12)</f>
        <v>189.97167452054794</v>
      </c>
      <c r="I13" s="115">
        <f t="shared" ref="I13" si="8">SUM(I11:I12)</f>
        <v>199.47025824657533</v>
      </c>
      <c r="J13" s="115">
        <f t="shared" ref="J13" si="9">SUM(J11:J12)</f>
        <v>203.45966341150685</v>
      </c>
      <c r="K13" s="115">
        <f t="shared" ref="K13" si="10">SUM(K11:K12)</f>
        <v>209.56345331385208</v>
      </c>
      <c r="L13" s="115">
        <f t="shared" ref="L13" si="11">SUM(L11:L12)</f>
        <v>217.9459914464062</v>
      </c>
      <c r="M13" s="19"/>
    </row>
    <row r="14" spans="1:13" x14ac:dyDescent="0.2">
      <c r="B14" s="18"/>
      <c r="C14" s="6"/>
      <c r="D14" s="6"/>
      <c r="E14" s="6"/>
      <c r="F14" s="6"/>
      <c r="G14" s="6"/>
      <c r="H14" s="6"/>
      <c r="I14" s="6"/>
      <c r="J14" s="6"/>
      <c r="K14" s="6"/>
      <c r="L14" s="6"/>
      <c r="M14" s="19"/>
    </row>
    <row r="15" spans="1:13" x14ac:dyDescent="0.2">
      <c r="A15" t="s">
        <v>243</v>
      </c>
      <c r="B15" s="18"/>
      <c r="C15" s="113">
        <f>C9-C13</f>
        <v>58.050999999999988</v>
      </c>
      <c r="D15" s="113">
        <f t="shared" ref="D15:L15" si="12">D9-D13</f>
        <v>69.634999999999934</v>
      </c>
      <c r="E15" s="113">
        <f t="shared" si="12"/>
        <v>44.581000000000017</v>
      </c>
      <c r="F15" s="113">
        <f t="shared" si="12"/>
        <v>52.987000000000023</v>
      </c>
      <c r="G15" s="113">
        <f t="shared" si="12"/>
        <v>57.199999999999989</v>
      </c>
      <c r="H15" s="113">
        <f t="shared" si="12"/>
        <v>54.908298082191777</v>
      </c>
      <c r="I15" s="113">
        <f t="shared" si="12"/>
        <v>57.6537129863014</v>
      </c>
      <c r="J15" s="113">
        <f t="shared" si="12"/>
        <v>58.806787246027426</v>
      </c>
      <c r="K15" s="113">
        <f t="shared" si="12"/>
        <v>60.570990863408241</v>
      </c>
      <c r="L15" s="113">
        <f t="shared" si="12"/>
        <v>62.9938304979446</v>
      </c>
      <c r="M15" s="19"/>
    </row>
    <row r="16" spans="1:13" ht="16" thickBot="1" x14ac:dyDescent="0.25">
      <c r="A16" t="s">
        <v>323</v>
      </c>
      <c r="B16" s="20"/>
      <c r="C16" s="33" t="s">
        <v>19</v>
      </c>
      <c r="D16" s="127">
        <f>D15-C15</f>
        <v>11.583999999999946</v>
      </c>
      <c r="E16" s="127">
        <f t="shared" ref="E16:L16" si="13">E15-D15</f>
        <v>-25.053999999999917</v>
      </c>
      <c r="F16" s="127">
        <f t="shared" si="13"/>
        <v>8.4060000000000059</v>
      </c>
      <c r="G16" s="127">
        <f t="shared" si="13"/>
        <v>4.2129999999999654</v>
      </c>
      <c r="H16" s="127">
        <f t="shared" si="13"/>
        <v>-2.2917019178082114</v>
      </c>
      <c r="I16" s="127">
        <f t="shared" si="13"/>
        <v>2.745414904109623</v>
      </c>
      <c r="J16" s="127">
        <f t="shared" si="13"/>
        <v>1.1530742597260257</v>
      </c>
      <c r="K16" s="127">
        <f t="shared" si="13"/>
        <v>1.7642036173808151</v>
      </c>
      <c r="L16" s="127">
        <f t="shared" si="13"/>
        <v>2.4228396345363592</v>
      </c>
      <c r="M16" s="21"/>
    </row>
    <row r="17" spans="1:13" ht="16" thickBot="1" x14ac:dyDescent="0.25">
      <c r="C17" s="27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2">
      <c r="B18" s="31"/>
      <c r="C18" s="32"/>
      <c r="D18" s="32"/>
      <c r="E18" s="32"/>
      <c r="F18" s="32"/>
      <c r="G18" s="32"/>
      <c r="H18" s="38" t="s">
        <v>249</v>
      </c>
      <c r="I18" s="32"/>
      <c r="J18" s="32"/>
      <c r="K18" s="32"/>
      <c r="L18" s="32"/>
      <c r="M18" s="16"/>
    </row>
    <row r="19" spans="1:13" x14ac:dyDescent="0.2">
      <c r="A19" t="s">
        <v>10</v>
      </c>
      <c r="B19" s="18"/>
      <c r="C19" s="113">
        <f>'Income Statement (2)'!B20</f>
        <v>1050.2940000000001</v>
      </c>
      <c r="D19" s="113">
        <f>'Income Statement (2)'!C20</f>
        <v>1104.442</v>
      </c>
      <c r="E19" s="113">
        <f>'Income Statement (2)'!D20</f>
        <v>1164.2919999999999</v>
      </c>
      <c r="F19" s="113">
        <f>'Income Statement (2)'!E20</f>
        <v>1132.9000000000001</v>
      </c>
      <c r="G19" s="113">
        <f>'Income Statement (2)'!F20</f>
        <v>1302.3</v>
      </c>
      <c r="H19" s="113">
        <f>'Income Statement'!H6</f>
        <v>1041.8399999999999</v>
      </c>
      <c r="I19" s="113">
        <f>'Income Statement'!I6</f>
        <v>1093.932</v>
      </c>
      <c r="J19" s="113">
        <f>'Income Statement'!J6</f>
        <v>1115.8106400000001</v>
      </c>
      <c r="K19" s="113">
        <f>'Income Statement'!K6</f>
        <v>1149.2849592000002</v>
      </c>
      <c r="L19" s="113">
        <f>'Income Statement'!L6</f>
        <v>1195.2563575680003</v>
      </c>
      <c r="M19" s="19"/>
    </row>
    <row r="20" spans="1:13" x14ac:dyDescent="0.2">
      <c r="A20" t="s">
        <v>11</v>
      </c>
      <c r="B20" s="18"/>
      <c r="C20" s="117">
        <f>'Income Statement (2)'!B22</f>
        <v>678.60900000000004</v>
      </c>
      <c r="D20" s="117">
        <f>'Income Statement (2)'!C22</f>
        <v>692.31</v>
      </c>
      <c r="E20" s="117">
        <f>'Income Statement (2)'!D22</f>
        <v>718.31600000000003</v>
      </c>
      <c r="F20" s="117">
        <f>'Income Statement (2)'!E22</f>
        <v>718.3</v>
      </c>
      <c r="G20" s="117">
        <f>'Income Statement (2)'!F22</f>
        <v>820.8</v>
      </c>
      <c r="H20" s="117">
        <f>'Income Statement'!H8</f>
        <v>625.10399999999993</v>
      </c>
      <c r="I20" s="117">
        <f>'Income Statement'!I8</f>
        <v>656.35919999999999</v>
      </c>
      <c r="J20" s="117">
        <f>'Income Statement'!J8</f>
        <v>669.48638400000004</v>
      </c>
      <c r="K20" s="117">
        <f>'Income Statement'!K8</f>
        <v>689.57097552000016</v>
      </c>
      <c r="L20" s="117">
        <f>'Income Statement'!L8</f>
        <v>717.15381454080023</v>
      </c>
      <c r="M20" s="19"/>
    </row>
    <row r="21" spans="1:13" x14ac:dyDescent="0.2">
      <c r="A21" t="s">
        <v>17</v>
      </c>
      <c r="B21" s="18"/>
      <c r="C21" s="128">
        <f>+C6/(+C19/365)</f>
        <v>39.808963014165556</v>
      </c>
      <c r="D21" s="128">
        <f t="shared" ref="D21:G21" si="14">+D6/(+D19/365)</f>
        <v>38.511918235633921</v>
      </c>
      <c r="E21" s="128">
        <f t="shared" si="14"/>
        <v>26.466835639169556</v>
      </c>
      <c r="F21" s="128">
        <f t="shared" si="14"/>
        <v>27.928991967516989</v>
      </c>
      <c r="G21" s="128">
        <f t="shared" si="14"/>
        <v>33.688858173999847</v>
      </c>
      <c r="H21" s="11">
        <v>28</v>
      </c>
      <c r="I21" s="11">
        <v>28</v>
      </c>
      <c r="J21" s="11">
        <v>28</v>
      </c>
      <c r="K21" s="11">
        <v>28</v>
      </c>
      <c r="L21" s="11">
        <v>28</v>
      </c>
      <c r="M21" s="19"/>
    </row>
    <row r="22" spans="1:13" x14ac:dyDescent="0.2">
      <c r="A22" t="s">
        <v>23</v>
      </c>
      <c r="B22" s="18"/>
      <c r="C22" s="117">
        <f>+C20/C7</f>
        <v>4.8184684204920654</v>
      </c>
      <c r="D22" s="117">
        <f t="shared" ref="D22:G22" si="15">+D20/D7</f>
        <v>4.9170442761971049</v>
      </c>
      <c r="E22" s="117">
        <f t="shared" si="15"/>
        <v>5.0559997747620926</v>
      </c>
      <c r="F22" s="117">
        <f t="shared" si="15"/>
        <v>4.9556728414226088</v>
      </c>
      <c r="G22" s="117">
        <f t="shared" si="15"/>
        <v>4.8140762463343103</v>
      </c>
      <c r="H22" s="11">
        <v>4.5</v>
      </c>
      <c r="I22" s="11">
        <v>4.5</v>
      </c>
      <c r="J22" s="11">
        <v>4.5</v>
      </c>
      <c r="K22" s="11">
        <v>4.5</v>
      </c>
      <c r="L22" s="11">
        <v>4.5</v>
      </c>
      <c r="M22" s="19"/>
    </row>
    <row r="23" spans="1:13" x14ac:dyDescent="0.2">
      <c r="A23" t="s">
        <v>278</v>
      </c>
      <c r="B23" s="18"/>
      <c r="C23" s="122">
        <f>C8/C19</f>
        <v>2.0512351779596951E-2</v>
      </c>
      <c r="D23" s="122">
        <f t="shared" ref="D23:G23" si="16">D8/D19</f>
        <v>2.4233957057047811E-2</v>
      </c>
      <c r="E23" s="122">
        <f t="shared" si="16"/>
        <v>3.4748155960875798E-2</v>
      </c>
      <c r="F23" s="122">
        <f t="shared" si="16"/>
        <v>3.9222349721952508E-2</v>
      </c>
      <c r="G23" s="122">
        <f t="shared" si="16"/>
        <v>3.0177378484220224E-2</v>
      </c>
      <c r="H23" s="23">
        <v>2.5000000000000001E-2</v>
      </c>
      <c r="I23" s="23">
        <v>2.5000000000000001E-2</v>
      </c>
      <c r="J23" s="23">
        <v>2.5000000000000001E-2</v>
      </c>
      <c r="K23" s="23">
        <v>2.5000000000000001E-2</v>
      </c>
      <c r="L23" s="23">
        <v>2.5000000000000001E-2</v>
      </c>
      <c r="M23" s="19"/>
    </row>
    <row r="24" spans="1:13" x14ac:dyDescent="0.2">
      <c r="A24" s="1" t="s">
        <v>246</v>
      </c>
      <c r="B24" s="18"/>
      <c r="C24" s="128">
        <f>+C11/(+C20/365)</f>
        <v>61.808213566280429</v>
      </c>
      <c r="D24" s="128">
        <f t="shared" ref="D24:G24" si="17">+D11/(+D20/365)</f>
        <v>47.213647065620904</v>
      </c>
      <c r="E24" s="128">
        <f t="shared" si="17"/>
        <v>49.552105201610431</v>
      </c>
      <c r="F24" s="128">
        <f t="shared" si="17"/>
        <v>55.348085758039815</v>
      </c>
      <c r="G24" s="128">
        <f t="shared" si="17"/>
        <v>56.341983430799225</v>
      </c>
      <c r="H24" s="11">
        <v>58</v>
      </c>
      <c r="I24" s="11">
        <v>58</v>
      </c>
      <c r="J24" s="11">
        <v>58</v>
      </c>
      <c r="K24" s="11">
        <v>58</v>
      </c>
      <c r="L24" s="11">
        <v>58</v>
      </c>
      <c r="M24" s="19"/>
    </row>
    <row r="25" spans="1:13" ht="16" thickBot="1" x14ac:dyDescent="0.25">
      <c r="A25" t="s">
        <v>279</v>
      </c>
      <c r="B25" s="20"/>
      <c r="C25" s="125">
        <f>+C12/C20</f>
        <v>0.15320309633382403</v>
      </c>
      <c r="D25" s="125">
        <f t="shared" ref="D25:G25" si="18">+D12/D20</f>
        <v>0.18042206525978249</v>
      </c>
      <c r="E25" s="125">
        <f t="shared" si="18"/>
        <v>0.17381625913943166</v>
      </c>
      <c r="F25" s="125">
        <f t="shared" si="18"/>
        <v>0.15892802450229709</v>
      </c>
      <c r="G25" s="125">
        <f t="shared" si="18"/>
        <v>0.17799707602339185</v>
      </c>
      <c r="H25" s="34">
        <v>0.14499999999999999</v>
      </c>
      <c r="I25" s="34">
        <v>0.14499999999999999</v>
      </c>
      <c r="J25" s="34">
        <v>0.14499999999999999</v>
      </c>
      <c r="K25" s="34">
        <v>0.14499999999999999</v>
      </c>
      <c r="L25" s="34">
        <v>0.14499999999999999</v>
      </c>
      <c r="M25" s="21"/>
    </row>
    <row r="26" spans="1:13" ht="16" thickBot="1" x14ac:dyDescent="0.25">
      <c r="C26" s="13"/>
      <c r="D26" s="13"/>
      <c r="E26" s="13"/>
      <c r="F26" s="13"/>
      <c r="G26" s="13"/>
      <c r="H26" s="11"/>
      <c r="I26" s="11"/>
      <c r="J26" s="11"/>
      <c r="K26" s="11"/>
      <c r="L26" s="11"/>
    </row>
    <row r="27" spans="1:13" x14ac:dyDescent="0.2">
      <c r="A27" s="7" t="s">
        <v>248</v>
      </c>
      <c r="B27" s="14"/>
      <c r="C27" s="35"/>
      <c r="D27" s="35"/>
      <c r="E27" s="35"/>
      <c r="F27" s="35"/>
      <c r="G27" s="35"/>
      <c r="H27" s="37" t="s">
        <v>249</v>
      </c>
      <c r="I27" s="37"/>
      <c r="J27" s="36"/>
      <c r="K27" s="36"/>
      <c r="L27" s="36"/>
      <c r="M27" s="16"/>
    </row>
    <row r="28" spans="1:13" x14ac:dyDescent="0.2">
      <c r="A28" t="s">
        <v>241</v>
      </c>
      <c r="B28" s="18"/>
      <c r="C28" s="129">
        <f>-'Cash Flow'!B36</f>
        <v>41.9</v>
      </c>
      <c r="D28" s="129">
        <f>-'Cash Flow'!C36</f>
        <v>29.6</v>
      </c>
      <c r="E28" s="129">
        <f>-'Cash Flow'!D36</f>
        <v>40.1</v>
      </c>
      <c r="F28" s="129">
        <f>-'Cash Flow'!E36</f>
        <v>40.6</v>
      </c>
      <c r="G28" s="129">
        <f>-'Cash Flow'!F36</f>
        <v>40.299999999999997</v>
      </c>
      <c r="H28" s="113">
        <f>+H29*H30</f>
        <v>29.952899999999996</v>
      </c>
      <c r="I28" s="113">
        <f t="shared" ref="I28:L28" si="19">+I29*I30</f>
        <v>31.450544999999998</v>
      </c>
      <c r="J28" s="113">
        <f t="shared" si="19"/>
        <v>32.079555900000003</v>
      </c>
      <c r="K28" s="113">
        <f t="shared" si="19"/>
        <v>33.041942577000007</v>
      </c>
      <c r="L28" s="113">
        <f t="shared" si="19"/>
        <v>34.363620280080006</v>
      </c>
      <c r="M28" s="19"/>
    </row>
    <row r="29" spans="1:13" x14ac:dyDescent="0.2">
      <c r="A29" t="str">
        <f>+'Income Statement'!A14</f>
        <v>Depreciation&amp;Amortization</v>
      </c>
      <c r="B29" s="18"/>
      <c r="C29" s="117">
        <f>'Income Statement (2)'!B27</f>
        <v>0</v>
      </c>
      <c r="D29" s="117">
        <f>'Income Statement (2)'!C27</f>
        <v>0</v>
      </c>
      <c r="E29" s="117">
        <f>'Income Statement (2)'!D27</f>
        <v>0</v>
      </c>
      <c r="F29" s="117">
        <f>'Income Statement (2)'!E27</f>
        <v>0</v>
      </c>
      <c r="G29" s="117">
        <f>'Income Statement (2)'!F27</f>
        <v>0</v>
      </c>
      <c r="H29" s="117">
        <f>'Income Statement'!H14</f>
        <v>26.045999999999999</v>
      </c>
      <c r="I29" s="117">
        <f>'Income Statement'!I14</f>
        <v>27.348300000000002</v>
      </c>
      <c r="J29" s="117">
        <f>'Income Statement'!J14</f>
        <v>27.895266000000007</v>
      </c>
      <c r="K29" s="117">
        <f>'Income Statement'!K14</f>
        <v>28.732123980000008</v>
      </c>
      <c r="L29" s="117">
        <f>'Income Statement'!L14</f>
        <v>29.881408939200011</v>
      </c>
      <c r="M29" s="19"/>
    </row>
    <row r="30" spans="1:13" ht="16" thickBot="1" x14ac:dyDescent="0.25">
      <c r="A30" t="s">
        <v>324</v>
      </c>
      <c r="B30" s="20"/>
      <c r="C30" s="161" t="e">
        <f>+C28/C29</f>
        <v>#DIV/0!</v>
      </c>
      <c r="D30" s="161" t="e">
        <f t="shared" ref="D30:G30" si="20">+D28/D29</f>
        <v>#DIV/0!</v>
      </c>
      <c r="E30" s="161" t="e">
        <f t="shared" si="20"/>
        <v>#DIV/0!</v>
      </c>
      <c r="F30" s="161" t="e">
        <f t="shared" si="20"/>
        <v>#DIV/0!</v>
      </c>
      <c r="G30" s="161" t="e">
        <f t="shared" si="20"/>
        <v>#DIV/0!</v>
      </c>
      <c r="H30" s="28">
        <v>1.1499999999999999</v>
      </c>
      <c r="I30" s="28">
        <v>1.1499999999999999</v>
      </c>
      <c r="J30" s="28">
        <v>1.1499999999999999</v>
      </c>
      <c r="K30" s="28">
        <v>1.1499999999999999</v>
      </c>
      <c r="L30" s="28">
        <v>1.1499999999999999</v>
      </c>
      <c r="M30" s="21"/>
    </row>
    <row r="1000" spans="648:648" ht="16" x14ac:dyDescent="0.2">
      <c r="XX1000" s="153">
        <v>63803</v>
      </c>
    </row>
  </sheetData>
  <printOptions horizontalCentered="1"/>
  <pageMargins left="0.2" right="0.2" top="0.75" bottom="0.75" header="0.3" footer="0.3"/>
  <pageSetup scale="80" orientation="landscape" r:id="rId1"/>
  <headerFooter>
    <oddFooter xml:space="preserve">&amp;LPage &amp;P&amp;CFCF Valuation Model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X1000"/>
  <sheetViews>
    <sheetView showGridLines="0" zoomScaleNormal="100" workbookViewId="0">
      <selection activeCell="C30" sqref="C30"/>
    </sheetView>
  </sheetViews>
  <sheetFormatPr baseColWidth="10" defaultColWidth="8.83203125" defaultRowHeight="15" x14ac:dyDescent="0.2"/>
  <cols>
    <col min="1" max="1" width="36.33203125" customWidth="1"/>
    <col min="2" max="2" width="9.1640625" customWidth="1"/>
    <col min="3" max="3" width="18.5" customWidth="1"/>
    <col min="4" max="6" width="13.6640625" customWidth="1"/>
  </cols>
  <sheetData>
    <row r="1" spans="1:4" ht="16" thickBot="1" x14ac:dyDescent="0.25">
      <c r="A1" s="45">
        <f>+'Income Statement'!A1</f>
        <v>0</v>
      </c>
      <c r="B1" s="45"/>
      <c r="C1" s="46"/>
      <c r="D1" s="46"/>
    </row>
    <row r="2" spans="1:4" x14ac:dyDescent="0.2">
      <c r="A2" s="45" t="s">
        <v>22</v>
      </c>
      <c r="B2" s="45"/>
      <c r="C2" s="48"/>
      <c r="D2" s="46"/>
    </row>
    <row r="3" spans="1:4" x14ac:dyDescent="0.2">
      <c r="A3" s="47" t="str">
        <f>+'Income Statement'!A3</f>
        <v>($millions)</v>
      </c>
      <c r="B3" s="47"/>
      <c r="C3" s="103" t="s">
        <v>332</v>
      </c>
      <c r="D3" s="46"/>
    </row>
    <row r="4" spans="1:4" x14ac:dyDescent="0.2">
      <c r="C4" s="25"/>
    </row>
    <row r="5" spans="1:4" x14ac:dyDescent="0.2">
      <c r="A5" t="s">
        <v>0</v>
      </c>
      <c r="C5" s="130">
        <f>'Balance Sheet'!G19</f>
        <v>8.5</v>
      </c>
    </row>
    <row r="6" spans="1:4" x14ac:dyDescent="0.2">
      <c r="A6" t="s">
        <v>2</v>
      </c>
      <c r="C6" s="131">
        <f>'Balance Sheet'!G22</f>
        <v>107.4</v>
      </c>
    </row>
    <row r="7" spans="1:4" x14ac:dyDescent="0.2">
      <c r="A7" t="s">
        <v>1</v>
      </c>
      <c r="C7" s="131">
        <f>'Balance Sheet'!G24</f>
        <v>195.9</v>
      </c>
    </row>
    <row r="8" spans="1:4" ht="18" x14ac:dyDescent="0.35">
      <c r="A8" t="s">
        <v>277</v>
      </c>
      <c r="C8" s="132">
        <f>'Balance Sheet'!G25+'Balance Sheet'!G27</f>
        <v>28.799999999999997</v>
      </c>
    </row>
    <row r="9" spans="1:4" x14ac:dyDescent="0.2">
      <c r="A9" t="s">
        <v>3</v>
      </c>
      <c r="C9" s="133">
        <f>SUM(C5:C8)</f>
        <v>340.6</v>
      </c>
    </row>
    <row r="10" spans="1:4" x14ac:dyDescent="0.2">
      <c r="C10" s="25"/>
    </row>
    <row r="11" spans="1:4" x14ac:dyDescent="0.2">
      <c r="A11" t="s">
        <v>280</v>
      </c>
      <c r="C11" s="133">
        <f>'Balance Sheet'!G32</f>
        <v>333.4</v>
      </c>
    </row>
    <row r="12" spans="1:4" x14ac:dyDescent="0.2">
      <c r="A12" t="s">
        <v>325</v>
      </c>
      <c r="C12" s="133">
        <f>'Balance Sheet'!G34+'Balance Sheet'!G35</f>
        <v>680.3</v>
      </c>
    </row>
    <row r="13" spans="1:4" ht="18" x14ac:dyDescent="0.35">
      <c r="A13" t="s">
        <v>281</v>
      </c>
      <c r="C13" s="132">
        <f>'Balance Sheet'!G36</f>
        <v>3.6</v>
      </c>
    </row>
    <row r="14" spans="1:4" x14ac:dyDescent="0.2">
      <c r="C14" s="25"/>
    </row>
    <row r="15" spans="1:4" ht="18" x14ac:dyDescent="0.35">
      <c r="A15" t="s">
        <v>6</v>
      </c>
      <c r="C15" s="134">
        <f>SUM(C9:C13)</f>
        <v>1357.8999999999999</v>
      </c>
    </row>
    <row r="16" spans="1:4" x14ac:dyDescent="0.2">
      <c r="C16" s="25"/>
    </row>
    <row r="17" spans="1:3" x14ac:dyDescent="0.2">
      <c r="A17" t="s">
        <v>4</v>
      </c>
      <c r="C17" s="131">
        <f>'Balance Sheet'!G40</f>
        <v>131.9</v>
      </c>
    </row>
    <row r="18" spans="1:3" x14ac:dyDescent="0.2">
      <c r="A18" t="s">
        <v>277</v>
      </c>
      <c r="C18" s="131">
        <f>'Balance Sheet'!G41+'Balance Sheet'!G45+'Balance Sheet'!G46</f>
        <v>117.7</v>
      </c>
    </row>
    <row r="19" spans="1:3" ht="18" x14ac:dyDescent="0.35">
      <c r="A19" t="s">
        <v>251</v>
      </c>
      <c r="C19" s="132">
        <f>'Balance Sheet'!G42+'Balance Sheet'!G43+'Balance Sheet'!G44</f>
        <v>40.4</v>
      </c>
    </row>
    <row r="20" spans="1:3" x14ac:dyDescent="0.2">
      <c r="A20" t="s">
        <v>5</v>
      </c>
      <c r="C20" s="133">
        <f>SUM(C17:C19)</f>
        <v>290</v>
      </c>
    </row>
    <row r="21" spans="1:3" x14ac:dyDescent="0.2">
      <c r="C21" s="25"/>
    </row>
    <row r="22" spans="1:3" x14ac:dyDescent="0.2">
      <c r="A22" t="s">
        <v>326</v>
      </c>
      <c r="C22" s="133">
        <f>'Balance Sheet'!G49+'Balance Sheet'!G50</f>
        <v>519.9</v>
      </c>
    </row>
    <row r="23" spans="1:3" x14ac:dyDescent="0.2">
      <c r="A23" t="s">
        <v>314</v>
      </c>
      <c r="C23" s="133">
        <f>'Balance Sheet'!G51</f>
        <v>25.6</v>
      </c>
    </row>
    <row r="24" spans="1:3" ht="18" x14ac:dyDescent="0.35">
      <c r="A24" t="s">
        <v>7</v>
      </c>
      <c r="C24" s="132">
        <f>'Balance Sheet'!G52+'Balance Sheet'!G53</f>
        <v>94.8</v>
      </c>
    </row>
    <row r="25" spans="1:3" x14ac:dyDescent="0.2">
      <c r="A25" t="s">
        <v>16</v>
      </c>
      <c r="C25" s="133">
        <f>SUM(C20:C24)</f>
        <v>930.3</v>
      </c>
    </row>
    <row r="26" spans="1:3" x14ac:dyDescent="0.2">
      <c r="C26" s="25"/>
    </row>
    <row r="27" spans="1:3" x14ac:dyDescent="0.2">
      <c r="A27" t="s">
        <v>8</v>
      </c>
      <c r="C27" s="131">
        <f>'Balance Sheet'!G65</f>
        <v>427.6</v>
      </c>
    </row>
    <row r="28" spans="1:3" x14ac:dyDescent="0.2">
      <c r="C28" s="25"/>
    </row>
    <row r="29" spans="1:3" ht="18" x14ac:dyDescent="0.35">
      <c r="A29" t="s">
        <v>9</v>
      </c>
      <c r="C29" s="135">
        <f>SUM(C25:C27)</f>
        <v>1357.9</v>
      </c>
    </row>
    <row r="30" spans="1:3" ht="16" thickBot="1" x14ac:dyDescent="0.25">
      <c r="C30" s="26"/>
    </row>
    <row r="31" spans="1:3" ht="16" thickBot="1" x14ac:dyDescent="0.25"/>
    <row r="32" spans="1:3" ht="16" thickBot="1" x14ac:dyDescent="0.25">
      <c r="A32" s="39" t="s">
        <v>250</v>
      </c>
      <c r="B32" s="40"/>
      <c r="C32" s="152">
        <v>49.1</v>
      </c>
    </row>
    <row r="1000" spans="648:648" ht="16" x14ac:dyDescent="0.2">
      <c r="XX1000" s="153">
        <v>63803</v>
      </c>
    </row>
  </sheetData>
  <printOptions horizontalCentered="1"/>
  <pageMargins left="0.7" right="0.7" top="0.75" bottom="0.75" header="0.3" footer="0.3"/>
  <pageSetup scale="90" orientation="landscape" r:id="rId1"/>
  <headerFooter>
    <oddFooter xml:space="preserve">&amp;LPage &amp;P&amp;CFCF Valuation Model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X1000"/>
  <sheetViews>
    <sheetView showGridLines="0" topLeftCell="A5" zoomScale="111" zoomScaleNormal="100" workbookViewId="0">
      <selection activeCell="E27" sqref="E27"/>
    </sheetView>
  </sheetViews>
  <sheetFormatPr baseColWidth="10" defaultColWidth="8.83203125" defaultRowHeight="15" x14ac:dyDescent="0.2"/>
  <cols>
    <col min="1" max="1" width="42.83203125" customWidth="1"/>
    <col min="2" max="5" width="13.6640625" customWidth="1"/>
  </cols>
  <sheetData>
    <row r="1" spans="1:13" x14ac:dyDescent="0.2">
      <c r="A1" s="45">
        <f>+'Income Statement'!A1</f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2">
      <c r="A2" s="45" t="s">
        <v>242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">
      <c r="A3" s="47" t="str">
        <f>+'Income Statement'!A3</f>
        <v>($millions)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5" spans="1:13" x14ac:dyDescent="0.2">
      <c r="A5" s="10" t="s">
        <v>256</v>
      </c>
    </row>
    <row r="6" spans="1:13" x14ac:dyDescent="0.2">
      <c r="A6" t="s">
        <v>39</v>
      </c>
      <c r="B6" s="107">
        <v>2.1499999999999998E-2</v>
      </c>
      <c r="C6" s="5" t="s">
        <v>253</v>
      </c>
      <c r="D6" s="5"/>
      <c r="E6" s="66"/>
      <c r="F6" s="67"/>
      <c r="G6" s="67"/>
      <c r="H6" s="67"/>
      <c r="I6" s="67"/>
      <c r="J6" s="67"/>
      <c r="K6" s="67"/>
      <c r="L6" s="67"/>
    </row>
    <row r="7" spans="1:13" x14ac:dyDescent="0.2">
      <c r="A7" t="s">
        <v>51</v>
      </c>
      <c r="B7" s="5">
        <v>5.5E-2</v>
      </c>
      <c r="C7" s="108" t="s">
        <v>315</v>
      </c>
      <c r="D7" s="5"/>
      <c r="E7" s="66"/>
      <c r="F7" s="67"/>
      <c r="G7" s="67"/>
      <c r="H7" s="67"/>
      <c r="I7" s="67"/>
      <c r="J7" s="67"/>
      <c r="K7" s="67"/>
      <c r="L7" s="67"/>
    </row>
    <row r="8" spans="1:13" x14ac:dyDescent="0.2">
      <c r="A8" t="s">
        <v>52</v>
      </c>
      <c r="B8" s="11">
        <v>1.98</v>
      </c>
      <c r="C8" s="11" t="s">
        <v>252</v>
      </c>
      <c r="D8" s="11"/>
      <c r="E8" s="67"/>
      <c r="F8" s="67"/>
      <c r="G8" s="67"/>
      <c r="H8" s="67"/>
      <c r="I8" s="67"/>
      <c r="J8" s="67"/>
      <c r="K8" s="67"/>
      <c r="L8" s="67"/>
    </row>
    <row r="9" spans="1:13" x14ac:dyDescent="0.2">
      <c r="A9" t="s">
        <v>38</v>
      </c>
      <c r="B9" s="136">
        <f>+B6+(B7*B8)</f>
        <v>0.13039999999999999</v>
      </c>
      <c r="C9" s="4"/>
      <c r="D9" s="4"/>
      <c r="E9" s="4"/>
    </row>
    <row r="10" spans="1:13" x14ac:dyDescent="0.2">
      <c r="A10" t="s">
        <v>37</v>
      </c>
      <c r="B10" s="5">
        <v>0</v>
      </c>
      <c r="C10" s="4"/>
      <c r="D10" s="4"/>
      <c r="E10" s="4"/>
    </row>
    <row r="11" spans="1:13" x14ac:dyDescent="0.2">
      <c r="A11" t="s">
        <v>36</v>
      </c>
      <c r="B11" s="5">
        <v>0</v>
      </c>
      <c r="C11" s="4"/>
      <c r="D11" s="4"/>
      <c r="E11" s="4"/>
    </row>
    <row r="12" spans="1:13" x14ac:dyDescent="0.2">
      <c r="A12" s="9" t="s">
        <v>53</v>
      </c>
      <c r="B12" s="149">
        <f>+B9+B10+B11</f>
        <v>0.13039999999999999</v>
      </c>
      <c r="C12" s="12"/>
      <c r="D12" s="12"/>
      <c r="E12" s="12"/>
    </row>
    <row r="13" spans="1:13" x14ac:dyDescent="0.2">
      <c r="A13" s="9"/>
      <c r="B13" s="12"/>
      <c r="C13" s="12"/>
      <c r="D13" s="12"/>
      <c r="E13" s="12"/>
    </row>
    <row r="14" spans="1:13" x14ac:dyDescent="0.2">
      <c r="A14" s="9"/>
      <c r="B14" s="65" t="s">
        <v>272</v>
      </c>
      <c r="C14" s="12"/>
      <c r="D14" s="12"/>
      <c r="E14" s="12"/>
    </row>
    <row r="15" spans="1:13" x14ac:dyDescent="0.2">
      <c r="A15" s="10" t="s">
        <v>257</v>
      </c>
      <c r="B15" s="65" t="s">
        <v>273</v>
      </c>
      <c r="C15" s="43" t="s">
        <v>33</v>
      </c>
      <c r="D15" s="43" t="s">
        <v>258</v>
      </c>
      <c r="E15" s="43" t="s">
        <v>35</v>
      </c>
    </row>
    <row r="16" spans="1:13" x14ac:dyDescent="0.2">
      <c r="A16" s="68"/>
      <c r="B16" s="3"/>
      <c r="C16" s="12"/>
      <c r="D16" s="69"/>
      <c r="E16" s="12"/>
    </row>
    <row r="17" spans="1:6" x14ac:dyDescent="0.2">
      <c r="A17" s="109" t="s">
        <v>333</v>
      </c>
      <c r="B17" s="2"/>
      <c r="C17" s="12"/>
      <c r="D17" s="69"/>
      <c r="E17" s="12"/>
    </row>
    <row r="18" spans="1:6" x14ac:dyDescent="0.2">
      <c r="A18" s="109" t="s">
        <v>316</v>
      </c>
      <c r="B18" s="2"/>
      <c r="C18" s="12"/>
      <c r="D18" s="69"/>
      <c r="E18" s="12">
        <v>0.104</v>
      </c>
      <c r="F18" s="12"/>
    </row>
    <row r="19" spans="1:6" ht="18" x14ac:dyDescent="0.35">
      <c r="B19" s="41"/>
      <c r="C19" s="44"/>
      <c r="D19" s="42" t="s">
        <v>259</v>
      </c>
      <c r="E19" s="66">
        <f>+'Income Statement'!H29</f>
        <v>0.25</v>
      </c>
    </row>
    <row r="20" spans="1:6" ht="20.5" customHeight="1" x14ac:dyDescent="0.35">
      <c r="B20" s="41"/>
      <c r="C20" s="154" t="s">
        <v>260</v>
      </c>
      <c r="D20" s="154"/>
      <c r="E20" s="150">
        <f>E18*(1-E19)</f>
        <v>7.8E-2</v>
      </c>
    </row>
    <row r="22" spans="1:6" x14ac:dyDescent="0.2">
      <c r="A22" s="10" t="s">
        <v>255</v>
      </c>
      <c r="C22" s="43" t="s">
        <v>33</v>
      </c>
      <c r="D22" s="43" t="s">
        <v>32</v>
      </c>
      <c r="E22" s="43" t="s">
        <v>35</v>
      </c>
    </row>
    <row r="23" spans="1:6" x14ac:dyDescent="0.2">
      <c r="A23" t="s">
        <v>318</v>
      </c>
      <c r="B23" s="106">
        <v>473.4</v>
      </c>
      <c r="C23" s="136">
        <f>B23/B25</f>
        <v>0.45796652800619142</v>
      </c>
      <c r="D23" s="124">
        <f>B12</f>
        <v>0.13039999999999999</v>
      </c>
      <c r="E23" s="124">
        <f>+C23*D23</f>
        <v>5.9718835252007357E-2</v>
      </c>
    </row>
    <row r="24" spans="1:6" ht="18" x14ac:dyDescent="0.35">
      <c r="A24" t="s">
        <v>317</v>
      </c>
      <c r="B24" s="105">
        <v>560.29999999999995</v>
      </c>
      <c r="C24" s="139">
        <f>B24/B25</f>
        <v>0.54203347199380869</v>
      </c>
      <c r="D24" s="124">
        <f>E20</f>
        <v>7.8E-2</v>
      </c>
      <c r="E24" s="124">
        <f>+C24*D24</f>
        <v>4.2278610815517079E-2</v>
      </c>
    </row>
    <row r="25" spans="1:6" ht="18" x14ac:dyDescent="0.35">
      <c r="A25" t="s">
        <v>254</v>
      </c>
      <c r="B25" s="137">
        <f>SUM(B23:B24)</f>
        <v>1033.6999999999998</v>
      </c>
      <c r="C25" s="138">
        <f>C23+C24</f>
        <v>1</v>
      </c>
    </row>
    <row r="26" spans="1:6" x14ac:dyDescent="0.2">
      <c r="D26" s="151" t="s">
        <v>34</v>
      </c>
      <c r="E26" s="124">
        <f>SUM(E23:E24)</f>
        <v>0.10199744606752444</v>
      </c>
    </row>
    <row r="27" spans="1:6" x14ac:dyDescent="0.2">
      <c r="A27" s="11" t="s">
        <v>319</v>
      </c>
    </row>
    <row r="1000" spans="648:648" ht="16" x14ac:dyDescent="0.2">
      <c r="XX1000" s="153">
        <v>63803</v>
      </c>
    </row>
  </sheetData>
  <mergeCells count="1">
    <mergeCell ref="C20:D20"/>
  </mergeCells>
  <hyperlinks>
    <hyperlink ref="C7" r:id="rId1" display="http://pages.stern.nyu.edu/~adamodar/  and use the Implied ERP on January 1, 2019 or February 1 if it has been updated." xr:uid="{00000000-0004-0000-0400-000000000000}"/>
  </hyperlinks>
  <printOptions horizontalCentered="1"/>
  <pageMargins left="0.2" right="0.2" top="0.75" bottom="0.75" header="0.3" footer="0.3"/>
  <pageSetup scale="80" orientation="landscape" r:id="rId2"/>
  <headerFooter>
    <oddFooter>&amp;LPage &amp;P&amp;CFCF Valuation Model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X1000"/>
  <sheetViews>
    <sheetView showGridLines="0" tabSelected="1" topLeftCell="A4" zoomScale="92" zoomScaleNormal="100" workbookViewId="0">
      <selection activeCell="C38" sqref="C38"/>
    </sheetView>
  </sheetViews>
  <sheetFormatPr baseColWidth="10" defaultColWidth="8.83203125" defaultRowHeight="15" x14ac:dyDescent="0.2"/>
  <cols>
    <col min="1" max="1" width="35.6640625" customWidth="1"/>
    <col min="2" max="2" width="6.5" customWidth="1"/>
    <col min="3" max="3" width="11.5" customWidth="1"/>
    <col min="4" max="4" width="12.5" customWidth="1"/>
    <col min="5" max="7" width="11.5" customWidth="1"/>
    <col min="8" max="11" width="13.6640625" customWidth="1"/>
    <col min="15" max="15" width="15.1640625" customWidth="1"/>
    <col min="17" max="17" width="10.5" bestFit="1" customWidth="1"/>
  </cols>
  <sheetData>
    <row r="1" spans="1:9" x14ac:dyDescent="0.2">
      <c r="A1" s="45">
        <f>+'Income Statement'!A1</f>
        <v>0</v>
      </c>
      <c r="B1" s="46"/>
      <c r="C1" s="46"/>
      <c r="D1" s="46"/>
      <c r="E1" s="46"/>
      <c r="F1" s="46"/>
      <c r="G1" s="46"/>
      <c r="H1" s="46"/>
    </row>
    <row r="2" spans="1:9" x14ac:dyDescent="0.2">
      <c r="A2" s="45" t="s">
        <v>261</v>
      </c>
      <c r="B2" s="45"/>
      <c r="C2" s="62"/>
      <c r="D2" s="62"/>
      <c r="E2" s="62"/>
      <c r="F2" s="62"/>
      <c r="G2" s="62"/>
      <c r="H2" s="46"/>
    </row>
    <row r="3" spans="1:9" x14ac:dyDescent="0.2">
      <c r="A3" s="47" t="str">
        <f>+'Income Statement'!A3</f>
        <v>($millions)</v>
      </c>
      <c r="B3" s="57"/>
      <c r="C3" s="62" t="str">
        <f>+'Income Statement'!H3</f>
        <v>Projected</v>
      </c>
      <c r="D3" s="62" t="str">
        <f>+'Income Statement'!I3</f>
        <v>Projected</v>
      </c>
      <c r="E3" s="62" t="str">
        <f>+'Income Statement'!J3</f>
        <v>Projected</v>
      </c>
      <c r="F3" s="62" t="str">
        <f>+'Income Statement'!K3</f>
        <v>Projected</v>
      </c>
      <c r="G3" s="62" t="str">
        <f>+'Income Statement'!L3</f>
        <v>Projected</v>
      </c>
      <c r="H3" s="46"/>
    </row>
    <row r="4" spans="1:9" x14ac:dyDescent="0.2">
      <c r="A4" s="60" t="s">
        <v>26</v>
      </c>
      <c r="B4" s="45"/>
      <c r="C4" s="54">
        <f>+'Income Statement'!H4</f>
        <v>2023</v>
      </c>
      <c r="D4" s="54">
        <f>+'Income Statement'!I4</f>
        <v>2024</v>
      </c>
      <c r="E4" s="54">
        <f>+'Income Statement'!J4</f>
        <v>2025</v>
      </c>
      <c r="F4" s="54">
        <f>+'Income Statement'!K4</f>
        <v>2026</v>
      </c>
      <c r="G4" s="54">
        <f>+'Income Statement'!L4</f>
        <v>2027</v>
      </c>
      <c r="H4" s="63" t="s">
        <v>50</v>
      </c>
    </row>
    <row r="5" spans="1:9" ht="16" thickBot="1" x14ac:dyDescent="0.25"/>
    <row r="6" spans="1:9" ht="16" thickBot="1" x14ac:dyDescent="0.25">
      <c r="B6" s="9"/>
      <c r="E6" s="9" t="s">
        <v>49</v>
      </c>
      <c r="H6" s="15">
        <v>2.5000000000000001E-2</v>
      </c>
      <c r="I6" s="11"/>
    </row>
    <row r="8" spans="1:9" x14ac:dyDescent="0.2">
      <c r="A8" t="s">
        <v>21</v>
      </c>
      <c r="C8" s="140">
        <f>'Income Statement'!H13</f>
        <v>130.22999999999999</v>
      </c>
      <c r="D8" s="140">
        <f>'Income Statement'!I13</f>
        <v>136.74150000000003</v>
      </c>
      <c r="E8" s="140">
        <f>'Income Statement'!J13</f>
        <v>139.47633000000005</v>
      </c>
      <c r="F8" s="140">
        <f>'Income Statement'!K13</f>
        <v>143.66061989999997</v>
      </c>
      <c r="G8" s="140">
        <f>'Income Statement'!L13</f>
        <v>149.40704469600001</v>
      </c>
      <c r="H8" s="140">
        <f>+G8*(1+H6)</f>
        <v>153.1422208134</v>
      </c>
    </row>
    <row r="9" spans="1:9" x14ac:dyDescent="0.2">
      <c r="A9" t="s">
        <v>321</v>
      </c>
      <c r="C9" s="141">
        <f>'Income Statement'!H14</f>
        <v>26.045999999999999</v>
      </c>
      <c r="D9" s="141">
        <f>'Income Statement'!I14</f>
        <v>27.348300000000002</v>
      </c>
      <c r="E9" s="141">
        <f>'Income Statement'!J14</f>
        <v>27.895266000000007</v>
      </c>
      <c r="F9" s="141">
        <f>'Income Statement'!K14</f>
        <v>28.732123980000008</v>
      </c>
      <c r="G9" s="141">
        <f>'Income Statement'!L14</f>
        <v>29.881408939200011</v>
      </c>
      <c r="H9" s="140">
        <f>+G9*(1+H6)</f>
        <v>30.628444162680008</v>
      </c>
      <c r="I9" s="70"/>
    </row>
    <row r="10" spans="1:9" x14ac:dyDescent="0.2">
      <c r="A10" t="s">
        <v>13</v>
      </c>
      <c r="C10" s="142">
        <f>C8-C9</f>
        <v>104.184</v>
      </c>
      <c r="D10" s="142">
        <f t="shared" ref="D10:G10" si="0">D8-D9</f>
        <v>109.39320000000004</v>
      </c>
      <c r="E10" s="142">
        <f t="shared" si="0"/>
        <v>111.58106400000004</v>
      </c>
      <c r="F10" s="142">
        <f t="shared" si="0"/>
        <v>114.92849591999996</v>
      </c>
      <c r="G10" s="142">
        <f t="shared" si="0"/>
        <v>119.5256357568</v>
      </c>
      <c r="H10" s="142">
        <f>H8-H9</f>
        <v>122.51377665071999</v>
      </c>
    </row>
    <row r="11" spans="1:9" x14ac:dyDescent="0.2">
      <c r="A11" t="s">
        <v>14</v>
      </c>
      <c r="B11" s="66">
        <f>+'Income Statement'!H29</f>
        <v>0.25</v>
      </c>
      <c r="C11" s="141">
        <f>+C10*$B11</f>
        <v>26.045999999999999</v>
      </c>
      <c r="D11" s="141">
        <f t="shared" ref="D11:G11" si="1">+D10*$B11</f>
        <v>27.348300000000009</v>
      </c>
      <c r="E11" s="141">
        <f t="shared" si="1"/>
        <v>27.89526600000001</v>
      </c>
      <c r="F11" s="141">
        <f t="shared" si="1"/>
        <v>28.73212397999999</v>
      </c>
      <c r="G11" s="141">
        <f t="shared" si="1"/>
        <v>29.8814089392</v>
      </c>
      <c r="H11" s="141">
        <f>+H10*$B11</f>
        <v>30.628444162679997</v>
      </c>
    </row>
    <row r="12" spans="1:9" x14ac:dyDescent="0.2">
      <c r="A12" t="s">
        <v>262</v>
      </c>
      <c r="C12" s="126">
        <f>+C10-C11</f>
        <v>78.138000000000005</v>
      </c>
      <c r="D12" s="126">
        <f t="shared" ref="D12:G12" si="2">+D10-D11</f>
        <v>82.044900000000027</v>
      </c>
      <c r="E12" s="126">
        <f t="shared" si="2"/>
        <v>83.685798000000034</v>
      </c>
      <c r="F12" s="126">
        <f t="shared" si="2"/>
        <v>86.196371939999977</v>
      </c>
      <c r="G12" s="126">
        <f t="shared" si="2"/>
        <v>89.6442268176</v>
      </c>
      <c r="H12" s="126">
        <f>+H10-H11</f>
        <v>91.885332488039992</v>
      </c>
    </row>
    <row r="14" spans="1:9" x14ac:dyDescent="0.2">
      <c r="A14" t="s">
        <v>327</v>
      </c>
      <c r="C14" s="126">
        <f>C9</f>
        <v>26.045999999999999</v>
      </c>
      <c r="D14" s="126">
        <f t="shared" ref="D14:H14" si="3">D9</f>
        <v>27.348300000000002</v>
      </c>
      <c r="E14" s="126">
        <f t="shared" si="3"/>
        <v>27.895266000000007</v>
      </c>
      <c r="F14" s="126">
        <f t="shared" si="3"/>
        <v>28.732123980000008</v>
      </c>
      <c r="G14" s="126">
        <f t="shared" si="3"/>
        <v>29.881408939200011</v>
      </c>
      <c r="H14" s="126">
        <f t="shared" si="3"/>
        <v>30.628444162680008</v>
      </c>
    </row>
    <row r="15" spans="1:9" x14ac:dyDescent="0.2">
      <c r="A15" t="s">
        <v>331</v>
      </c>
      <c r="C15" s="142">
        <f>' Working Capital - Fixed Assets'!H16</f>
        <v>-2.2917019178082114</v>
      </c>
      <c r="D15" s="142">
        <f>' Working Capital - Fixed Assets'!I16</f>
        <v>2.745414904109623</v>
      </c>
      <c r="E15" s="142">
        <f>' Working Capital - Fixed Assets'!J16</f>
        <v>1.1530742597260257</v>
      </c>
      <c r="F15" s="142">
        <f>' Working Capital - Fixed Assets'!K16</f>
        <v>1.7642036173808151</v>
      </c>
      <c r="G15" s="142">
        <f>' Working Capital - Fixed Assets'!L16</f>
        <v>2.4228396345363592</v>
      </c>
      <c r="H15" s="142">
        <f>+G15*(1+H6)</f>
        <v>2.4834106253997681</v>
      </c>
    </row>
    <row r="16" spans="1:9" x14ac:dyDescent="0.2">
      <c r="A16" t="s">
        <v>328</v>
      </c>
      <c r="C16" s="141">
        <f>' Working Capital - Fixed Assets'!H28</f>
        <v>29.952899999999996</v>
      </c>
      <c r="D16" s="141">
        <f>' Working Capital - Fixed Assets'!I28</f>
        <v>31.450544999999998</v>
      </c>
      <c r="E16" s="141">
        <f>' Working Capital - Fixed Assets'!J28</f>
        <v>32.079555900000003</v>
      </c>
      <c r="F16" s="141">
        <f>' Working Capital - Fixed Assets'!K28</f>
        <v>33.041942577000007</v>
      </c>
      <c r="G16" s="141">
        <f>' Working Capital - Fixed Assets'!L28</f>
        <v>34.363620280080006</v>
      </c>
      <c r="H16" s="141">
        <f>+G16*(1+H6)</f>
        <v>35.222710787082001</v>
      </c>
    </row>
    <row r="18" spans="1:17" x14ac:dyDescent="0.2">
      <c r="F18" t="s">
        <v>47</v>
      </c>
      <c r="H18" s="126">
        <f>H12+H14-H15-H16</f>
        <v>84.807655238238226</v>
      </c>
    </row>
    <row r="19" spans="1:17" x14ac:dyDescent="0.2">
      <c r="F19" t="s">
        <v>34</v>
      </c>
      <c r="H19" s="136">
        <f>WACC!E26</f>
        <v>0.10199744606752444</v>
      </c>
      <c r="Q19" s="4"/>
    </row>
    <row r="20" spans="1:17" x14ac:dyDescent="0.2">
      <c r="F20" t="s">
        <v>46</v>
      </c>
      <c r="H20" s="124">
        <f>H6</f>
        <v>2.5000000000000001E-2</v>
      </c>
      <c r="Q20" s="12"/>
    </row>
    <row r="21" spans="1:17" x14ac:dyDescent="0.2">
      <c r="F21" t="s">
        <v>45</v>
      </c>
      <c r="H21" s="124">
        <f>+H19-H20</f>
        <v>7.6997446067524428E-2</v>
      </c>
    </row>
    <row r="23" spans="1:17" x14ac:dyDescent="0.2">
      <c r="A23" t="s">
        <v>44</v>
      </c>
      <c r="C23" s="140">
        <f>C12+C14-C15-C16</f>
        <v>76.522801917808209</v>
      </c>
      <c r="D23" s="140">
        <f t="shared" ref="D23:H23" si="4">D12+D14-D15-D16</f>
        <v>75.197240095890407</v>
      </c>
      <c r="E23" s="140">
        <f t="shared" si="4"/>
        <v>78.348433840274012</v>
      </c>
      <c r="F23" s="140">
        <f t="shared" si="4"/>
        <v>80.122349725619159</v>
      </c>
      <c r="G23" s="140">
        <f t="shared" si="4"/>
        <v>82.739175842183641</v>
      </c>
      <c r="H23" s="140">
        <f>+H18/H21</f>
        <v>1101.4346523112531</v>
      </c>
      <c r="I23" s="112"/>
      <c r="M23" s="3"/>
      <c r="N23" s="3"/>
      <c r="O23" s="3"/>
      <c r="P23" s="3"/>
      <c r="Q23" s="3"/>
    </row>
    <row r="24" spans="1:17" x14ac:dyDescent="0.2">
      <c r="C24" s="3"/>
      <c r="D24" s="3"/>
      <c r="E24" s="3"/>
      <c r="F24" s="3"/>
      <c r="G24" s="3"/>
      <c r="H24" s="3"/>
      <c r="Q24" s="110"/>
    </row>
    <row r="25" spans="1:17" x14ac:dyDescent="0.2">
      <c r="A25" t="s">
        <v>43</v>
      </c>
      <c r="C25" s="143">
        <v>0.5</v>
      </c>
      <c r="D25" s="143">
        <f>C25+1</f>
        <v>1.5</v>
      </c>
      <c r="E25" s="143">
        <f t="shared" ref="E25:H25" si="5">D25+1</f>
        <v>2.5</v>
      </c>
      <c r="F25" s="143">
        <f t="shared" si="5"/>
        <v>3.5</v>
      </c>
      <c r="G25" s="143">
        <f t="shared" si="5"/>
        <v>4.5</v>
      </c>
      <c r="H25" s="143">
        <f>G25</f>
        <v>4.5</v>
      </c>
      <c r="M25" s="111"/>
      <c r="N25" s="111"/>
      <c r="O25" s="111"/>
      <c r="P25" s="111"/>
      <c r="Q25" s="111"/>
    </row>
    <row r="26" spans="1:17" x14ac:dyDescent="0.2">
      <c r="A26" t="s">
        <v>42</v>
      </c>
      <c r="C26" s="144">
        <f>+(1+$H$19)^C25</f>
        <v>1.0497606613259636</v>
      </c>
      <c r="D26" s="144">
        <f t="shared" ref="D26:H26" si="6">+(1+$H$19)^D25</f>
        <v>1.1568335677633672</v>
      </c>
      <c r="E26" s="144">
        <f t="shared" si="6"/>
        <v>1.274827637200413</v>
      </c>
      <c r="F26" s="144">
        <f t="shared" si="6"/>
        <v>1.4048568003711517</v>
      </c>
      <c r="G26" s="144">
        <f t="shared" si="6"/>
        <v>1.5481486060996033</v>
      </c>
      <c r="H26" s="144">
        <f t="shared" si="6"/>
        <v>1.5481486060996033</v>
      </c>
    </row>
    <row r="27" spans="1:17" x14ac:dyDescent="0.2">
      <c r="C27" s="3"/>
      <c r="D27" s="3"/>
      <c r="E27" s="3"/>
      <c r="F27" s="3"/>
      <c r="G27" s="3"/>
      <c r="H27" s="3"/>
    </row>
    <row r="28" spans="1:17" x14ac:dyDescent="0.2">
      <c r="A28" t="s">
        <v>41</v>
      </c>
      <c r="C28" s="140">
        <f>+C23/C26</f>
        <v>72.895474880104061</v>
      </c>
      <c r="D28" s="140">
        <f t="shared" ref="D28:H28" si="7">+D23/D26</f>
        <v>65.002643587942771</v>
      </c>
      <c r="E28" s="140">
        <f t="shared" si="7"/>
        <v>61.458060332243186</v>
      </c>
      <c r="F28" s="140">
        <f t="shared" si="7"/>
        <v>57.03239625878701</v>
      </c>
      <c r="G28" s="140">
        <f t="shared" si="7"/>
        <v>53.443949447873905</v>
      </c>
      <c r="H28" s="140">
        <f t="shared" si="7"/>
        <v>711.45279462945177</v>
      </c>
    </row>
    <row r="29" spans="1:17" x14ac:dyDescent="0.2">
      <c r="C29" s="3"/>
      <c r="D29" s="3"/>
      <c r="E29" s="3"/>
      <c r="F29" s="3"/>
      <c r="G29" s="3"/>
      <c r="H29" s="3"/>
    </row>
    <row r="30" spans="1:17" x14ac:dyDescent="0.2">
      <c r="A30" s="7" t="s">
        <v>40</v>
      </c>
      <c r="K30" s="9"/>
      <c r="O30" s="64"/>
    </row>
    <row r="31" spans="1:17" x14ac:dyDescent="0.2">
      <c r="A31" s="9" t="s">
        <v>330</v>
      </c>
      <c r="B31" s="9"/>
      <c r="C31" s="145">
        <f>SUM(C28:H28)</f>
        <v>1021.2853191364027</v>
      </c>
    </row>
    <row r="32" spans="1:17" x14ac:dyDescent="0.2">
      <c r="A32" t="s">
        <v>265</v>
      </c>
      <c r="B32" s="9"/>
      <c r="C32" s="117">
        <f>'BS 12.31.2022'!C9+'BS 12.31.2022'!C13</f>
        <v>344.20000000000005</v>
      </c>
      <c r="D32" t="s">
        <v>269</v>
      </c>
    </row>
    <row r="33" spans="1:4" x14ac:dyDescent="0.2">
      <c r="A33" t="s">
        <v>329</v>
      </c>
      <c r="B33" s="9"/>
      <c r="C33" s="117">
        <f>'BS 12.31.2022'!C23</f>
        <v>25.6</v>
      </c>
    </row>
    <row r="34" spans="1:4" ht="18" x14ac:dyDescent="0.35">
      <c r="A34" t="s">
        <v>263</v>
      </c>
      <c r="C34" s="115">
        <f>'BS 12.31.2022'!C5</f>
        <v>8.5</v>
      </c>
      <c r="D34" t="s">
        <v>264</v>
      </c>
    </row>
    <row r="35" spans="1:4" x14ac:dyDescent="0.2">
      <c r="A35" s="9" t="s">
        <v>266</v>
      </c>
      <c r="B35" s="9"/>
      <c r="C35" s="146">
        <f>+C31-C32+C33</f>
        <v>702.68531913640265</v>
      </c>
    </row>
    <row r="36" spans="1:4" x14ac:dyDescent="0.2">
      <c r="A36" t="s">
        <v>267</v>
      </c>
      <c r="C36" s="147">
        <f>'BS 12.31.2022'!C32</f>
        <v>49.1</v>
      </c>
    </row>
    <row r="37" spans="1:4" x14ac:dyDescent="0.2">
      <c r="A37" t="s">
        <v>268</v>
      </c>
      <c r="C37" s="148">
        <f>C35/C36</f>
        <v>14.311309962044859</v>
      </c>
    </row>
    <row r="1000" spans="648:648" ht="16" x14ac:dyDescent="0.2">
      <c r="XX1000" s="153">
        <v>63803</v>
      </c>
    </row>
  </sheetData>
  <printOptions horizontalCentered="1"/>
  <pageMargins left="0.7" right="0.7" top="0.75" bottom="0.75" header="0.3" footer="0.3"/>
  <pageSetup scale="80" orientation="landscape" r:id="rId1"/>
  <headerFooter>
    <oddFooter>&amp;LPage &amp;P&amp;CFCF Valuation
 Model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XX1000"/>
  <sheetViews>
    <sheetView workbookViewId="0">
      <selection activeCell="G10" sqref="G10"/>
    </sheetView>
  </sheetViews>
  <sheetFormatPr baseColWidth="10" defaultColWidth="8.83203125" defaultRowHeight="15" x14ac:dyDescent="0.2"/>
  <sheetData>
    <row r="1000" spans="648:648" ht="16" x14ac:dyDescent="0.2">
      <c r="XX1000" s="153">
        <v>63803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095E-690D-4118-BAAB-99EFCF93B4CC}">
  <sheetPr>
    <tabColor rgb="FFFFFF00"/>
    <outlinePr summaryBelow="0" summaryRight="0"/>
    <pageSetUpPr autoPageBreaks="0"/>
  </sheetPr>
  <dimension ref="A5:XX1000"/>
  <sheetViews>
    <sheetView topLeftCell="A8" zoomScale="125" workbookViewId="0">
      <selection activeCell="B27" sqref="B27"/>
    </sheetView>
  </sheetViews>
  <sheetFormatPr baseColWidth="10" defaultColWidth="9" defaultRowHeight="11" x14ac:dyDescent="0.15"/>
  <cols>
    <col min="1" max="1" width="45.83203125" style="71" customWidth="1"/>
    <col min="2" max="7" width="14.83203125" style="71" customWidth="1"/>
    <col min="8" max="16384" width="9" style="71"/>
  </cols>
  <sheetData>
    <row r="5" spans="1:255" ht="17" x14ac:dyDescent="0.2">
      <c r="A5" s="95"/>
    </row>
    <row r="7" spans="1:255" ht="12" x14ac:dyDescent="0.15">
      <c r="A7" s="94" t="s">
        <v>54</v>
      </c>
      <c r="B7" s="92" t="s">
        <v>55</v>
      </c>
      <c r="C7" s="71" t="s">
        <v>56</v>
      </c>
      <c r="D7" s="74" t="s">
        <v>57</v>
      </c>
      <c r="E7" s="92" t="s">
        <v>58</v>
      </c>
      <c r="F7" s="71" t="s">
        <v>59</v>
      </c>
    </row>
    <row r="8" spans="1:255" x14ac:dyDescent="0.15">
      <c r="A8" s="74"/>
      <c r="B8" s="92" t="s">
        <v>60</v>
      </c>
      <c r="C8" s="71" t="s">
        <v>61</v>
      </c>
      <c r="D8" s="74" t="s">
        <v>57</v>
      </c>
      <c r="E8" s="92" t="s">
        <v>62</v>
      </c>
      <c r="F8" s="71" t="s">
        <v>63</v>
      </c>
    </row>
    <row r="9" spans="1:255" x14ac:dyDescent="0.15">
      <c r="A9" s="74"/>
      <c r="B9" s="92" t="s">
        <v>64</v>
      </c>
      <c r="C9" s="71" t="s">
        <v>65</v>
      </c>
      <c r="D9" s="74" t="s">
        <v>57</v>
      </c>
      <c r="E9" s="92" t="s">
        <v>66</v>
      </c>
      <c r="F9" s="71" t="s">
        <v>309</v>
      </c>
    </row>
    <row r="10" spans="1:255" x14ac:dyDescent="0.15">
      <c r="A10" s="74"/>
      <c r="B10" s="92" t="s">
        <v>67</v>
      </c>
      <c r="C10" s="71" t="s">
        <v>68</v>
      </c>
      <c r="D10" s="74" t="s">
        <v>57</v>
      </c>
      <c r="E10" s="92" t="s">
        <v>69</v>
      </c>
      <c r="F10" s="93" t="s">
        <v>70</v>
      </c>
    </row>
    <row r="11" spans="1:255" x14ac:dyDescent="0.15">
      <c r="A11" s="74"/>
      <c r="B11" s="92" t="s">
        <v>71</v>
      </c>
      <c r="C11" s="71" t="s">
        <v>72</v>
      </c>
      <c r="D11" s="74" t="s">
        <v>57</v>
      </c>
      <c r="E11" s="91"/>
      <c r="F11" s="91"/>
    </row>
    <row r="14" spans="1:255" x14ac:dyDescent="0.15">
      <c r="A14" s="90" t="s">
        <v>25</v>
      </c>
      <c r="B14" s="90"/>
      <c r="C14" s="90"/>
      <c r="D14" s="90"/>
      <c r="E14" s="90"/>
      <c r="F14" s="90"/>
      <c r="G14" s="90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89"/>
      <c r="IT14" s="89"/>
      <c r="IU14" s="89"/>
    </row>
    <row r="15" spans="1:255" ht="36" x14ac:dyDescent="0.15">
      <c r="A15" s="88" t="s">
        <v>73</v>
      </c>
      <c r="B15" s="87" t="s">
        <v>74</v>
      </c>
      <c r="C15" s="87" t="s">
        <v>274</v>
      </c>
      <c r="D15" s="87" t="s">
        <v>308</v>
      </c>
      <c r="E15" s="87" t="s">
        <v>334</v>
      </c>
      <c r="F15" s="87" t="s">
        <v>335</v>
      </c>
      <c r="G15" s="87" t="s">
        <v>336</v>
      </c>
    </row>
    <row r="16" spans="1:255" ht="12" x14ac:dyDescent="0.15">
      <c r="A16" s="86" t="s">
        <v>75</v>
      </c>
      <c r="B16" s="85" t="s">
        <v>76</v>
      </c>
      <c r="C16" s="85" t="s">
        <v>76</v>
      </c>
      <c r="D16" s="85" t="s">
        <v>76</v>
      </c>
      <c r="E16" s="85" t="s">
        <v>76</v>
      </c>
      <c r="F16" s="85" t="s">
        <v>76</v>
      </c>
      <c r="G16" s="85" t="s">
        <v>76</v>
      </c>
    </row>
    <row r="17" spans="1:7" x14ac:dyDescent="0.15">
      <c r="A17" s="76" t="s">
        <v>77</v>
      </c>
      <c r="B17" s="74"/>
      <c r="C17" s="74"/>
      <c r="D17" s="74"/>
      <c r="E17" s="74"/>
      <c r="F17" s="74"/>
      <c r="G17" s="74"/>
    </row>
    <row r="18" spans="1:7" x14ac:dyDescent="0.15">
      <c r="A18" s="74" t="s">
        <v>10</v>
      </c>
      <c r="B18" s="77">
        <v>1050.2940000000001</v>
      </c>
      <c r="C18" s="77">
        <v>1104.442</v>
      </c>
      <c r="D18" s="77">
        <v>1164.2919999999999</v>
      </c>
      <c r="E18" s="77">
        <v>1132.9000000000001</v>
      </c>
      <c r="F18" s="77">
        <v>1302.3</v>
      </c>
      <c r="G18" s="77">
        <v>1428.1</v>
      </c>
    </row>
    <row r="19" spans="1:7" ht="12" x14ac:dyDescent="0.15">
      <c r="A19" s="74" t="s">
        <v>78</v>
      </c>
      <c r="B19" s="77" t="s">
        <v>79</v>
      </c>
      <c r="C19" s="77" t="s">
        <v>79</v>
      </c>
      <c r="D19" s="77" t="s">
        <v>79</v>
      </c>
      <c r="E19" s="77" t="s">
        <v>79</v>
      </c>
      <c r="F19" s="77" t="s">
        <v>79</v>
      </c>
      <c r="G19" s="77" t="s">
        <v>79</v>
      </c>
    </row>
    <row r="20" spans="1:7" x14ac:dyDescent="0.15">
      <c r="A20" s="76" t="s">
        <v>80</v>
      </c>
      <c r="B20" s="84">
        <v>1050.2940000000001</v>
      </c>
      <c r="C20" s="84">
        <v>1104.442</v>
      </c>
      <c r="D20" s="84">
        <v>1164.2919999999999</v>
      </c>
      <c r="E20" s="84">
        <v>1132.9000000000001</v>
      </c>
      <c r="F20" s="84">
        <v>1302.3</v>
      </c>
      <c r="G20" s="84">
        <v>1428.1</v>
      </c>
    </row>
    <row r="21" spans="1:7" x14ac:dyDescent="0.15">
      <c r="A21" s="74"/>
      <c r="B21" s="74"/>
      <c r="C21" s="74"/>
      <c r="D21" s="74"/>
      <c r="E21" s="74"/>
      <c r="F21" s="74"/>
      <c r="G21" s="74"/>
    </row>
    <row r="22" spans="1:7" x14ac:dyDescent="0.15">
      <c r="A22" s="74" t="s">
        <v>81</v>
      </c>
      <c r="B22" s="77">
        <v>678.60900000000004</v>
      </c>
      <c r="C22" s="77">
        <v>692.31</v>
      </c>
      <c r="D22" s="77">
        <v>718.31600000000003</v>
      </c>
      <c r="E22" s="77">
        <v>718.3</v>
      </c>
      <c r="F22" s="77">
        <v>820.8</v>
      </c>
      <c r="G22" s="77">
        <v>879.1</v>
      </c>
    </row>
    <row r="23" spans="1:7" x14ac:dyDescent="0.15">
      <c r="A23" s="76" t="s">
        <v>82</v>
      </c>
      <c r="B23" s="84">
        <v>371.685</v>
      </c>
      <c r="C23" s="84">
        <v>412.13200000000001</v>
      </c>
      <c r="D23" s="84">
        <v>445.976</v>
      </c>
      <c r="E23" s="84">
        <v>414.6</v>
      </c>
      <c r="F23" s="84">
        <v>481.5</v>
      </c>
      <c r="G23" s="84">
        <v>549</v>
      </c>
    </row>
    <row r="24" spans="1:7" x14ac:dyDescent="0.15">
      <c r="A24" s="74"/>
      <c r="B24" s="74"/>
      <c r="C24" s="74"/>
      <c r="D24" s="74"/>
      <c r="E24" s="74"/>
      <c r="F24" s="74"/>
      <c r="G24" s="74"/>
    </row>
    <row r="25" spans="1:7" x14ac:dyDescent="0.15">
      <c r="A25" s="74" t="s">
        <v>83</v>
      </c>
      <c r="B25" s="77">
        <v>266.89100000000002</v>
      </c>
      <c r="C25" s="77">
        <v>278.77600000000001</v>
      </c>
      <c r="D25" s="77">
        <v>287.96800000000002</v>
      </c>
      <c r="E25" s="77">
        <v>286.8</v>
      </c>
      <c r="F25" s="77">
        <v>331.8</v>
      </c>
      <c r="G25" s="77">
        <v>389.9</v>
      </c>
    </row>
    <row r="26" spans="1:7" x14ac:dyDescent="0.15">
      <c r="A26" s="74" t="s">
        <v>84</v>
      </c>
      <c r="B26" s="77">
        <v>19.2</v>
      </c>
      <c r="C26" s="77">
        <v>20.7</v>
      </c>
      <c r="D26" s="77">
        <v>21.7</v>
      </c>
      <c r="E26" s="77">
        <v>19.2</v>
      </c>
      <c r="F26" s="77">
        <v>20.100000000000001</v>
      </c>
      <c r="G26" s="77">
        <v>16.399999999999999</v>
      </c>
    </row>
    <row r="27" spans="1:7" x14ac:dyDescent="0.15">
      <c r="A27" s="74" t="s">
        <v>85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</row>
    <row r="28" spans="1:7" x14ac:dyDescent="0.15">
      <c r="A28" s="74" t="s">
        <v>86</v>
      </c>
      <c r="B28" s="77">
        <v>0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</row>
    <row r="29" spans="1:7" x14ac:dyDescent="0.15">
      <c r="A29" s="74"/>
      <c r="B29" s="74"/>
      <c r="C29" s="74"/>
      <c r="D29" s="74"/>
      <c r="E29" s="74"/>
      <c r="F29" s="74"/>
      <c r="G29" s="74"/>
    </row>
    <row r="30" spans="1:7" x14ac:dyDescent="0.15">
      <c r="A30" s="76" t="s">
        <v>87</v>
      </c>
      <c r="B30" s="84">
        <v>286.09100000000001</v>
      </c>
      <c r="C30" s="84">
        <v>299.476</v>
      </c>
      <c r="D30" s="84">
        <v>309.66800000000001</v>
      </c>
      <c r="E30" s="84">
        <v>306</v>
      </c>
      <c r="F30" s="84">
        <v>351.9</v>
      </c>
      <c r="G30" s="84">
        <v>406.3</v>
      </c>
    </row>
    <row r="31" spans="1:7" x14ac:dyDescent="0.15">
      <c r="A31" s="74"/>
      <c r="B31" s="74"/>
      <c r="C31" s="74"/>
      <c r="D31" s="74"/>
      <c r="E31" s="74"/>
      <c r="F31" s="74"/>
      <c r="G31" s="74"/>
    </row>
    <row r="32" spans="1:7" x14ac:dyDescent="0.15">
      <c r="A32" s="76" t="s">
        <v>88</v>
      </c>
      <c r="B32" s="75">
        <v>85.593999999999994</v>
      </c>
      <c r="C32" s="75">
        <v>112.65600000000001</v>
      </c>
      <c r="D32" s="75">
        <v>136.30799999999999</v>
      </c>
      <c r="E32" s="75">
        <v>108.6</v>
      </c>
      <c r="F32" s="75">
        <v>129.6</v>
      </c>
      <c r="G32" s="75">
        <v>142.69999999999999</v>
      </c>
    </row>
    <row r="33" spans="1:7" x14ac:dyDescent="0.15">
      <c r="A33" s="74"/>
      <c r="B33" s="74"/>
      <c r="C33" s="74"/>
      <c r="D33" s="74"/>
      <c r="E33" s="74"/>
      <c r="F33" s="74"/>
      <c r="G33" s="74"/>
    </row>
    <row r="34" spans="1:7" x14ac:dyDescent="0.15">
      <c r="A34" s="74" t="s">
        <v>89</v>
      </c>
      <c r="B34" s="77">
        <v>-7.4</v>
      </c>
      <c r="C34" s="77">
        <v>-6.9</v>
      </c>
      <c r="D34" s="77">
        <v>-5.4</v>
      </c>
      <c r="E34" s="77">
        <v>-7.4</v>
      </c>
      <c r="F34" s="77">
        <v>-20.9</v>
      </c>
      <c r="G34" s="77">
        <v>-21.7</v>
      </c>
    </row>
    <row r="35" spans="1:7" ht="12" x14ac:dyDescent="0.15">
      <c r="A35" s="74" t="s">
        <v>90</v>
      </c>
      <c r="B35" s="77" t="s">
        <v>79</v>
      </c>
      <c r="C35" s="77" t="s">
        <v>79</v>
      </c>
      <c r="D35" s="77" t="s">
        <v>79</v>
      </c>
      <c r="E35" s="77" t="s">
        <v>79</v>
      </c>
      <c r="F35" s="77" t="s">
        <v>79</v>
      </c>
      <c r="G35" s="77" t="s">
        <v>79</v>
      </c>
    </row>
    <row r="36" spans="1:7" x14ac:dyDescent="0.15">
      <c r="A36" s="76" t="s">
        <v>91</v>
      </c>
      <c r="B36" s="84">
        <v>-7.4</v>
      </c>
      <c r="C36" s="84">
        <v>-6.9</v>
      </c>
      <c r="D36" s="84">
        <v>-5.4</v>
      </c>
      <c r="E36" s="84">
        <v>-7.4</v>
      </c>
      <c r="F36" s="84">
        <v>-20.9</v>
      </c>
      <c r="G36" s="84">
        <v>-21.7</v>
      </c>
    </row>
    <row r="37" spans="1:7" x14ac:dyDescent="0.15">
      <c r="A37" s="74"/>
      <c r="B37" s="74"/>
      <c r="C37" s="74"/>
      <c r="D37" s="74"/>
      <c r="E37" s="74"/>
      <c r="F37" s="74"/>
      <c r="G37" s="74"/>
    </row>
    <row r="38" spans="1:7" x14ac:dyDescent="0.15">
      <c r="A38" s="74" t="s">
        <v>286</v>
      </c>
      <c r="B38" s="77">
        <v>5.8010000000000002</v>
      </c>
      <c r="C38" s="77">
        <v>9.1300000000000008</v>
      </c>
      <c r="D38" s="77">
        <v>-3.7</v>
      </c>
      <c r="E38" s="77">
        <v>-1.8</v>
      </c>
      <c r="F38" s="77">
        <v>2</v>
      </c>
      <c r="G38" s="77">
        <v>-1.5</v>
      </c>
    </row>
    <row r="39" spans="1:7" x14ac:dyDescent="0.15">
      <c r="A39" s="74" t="s">
        <v>92</v>
      </c>
      <c r="B39" s="77">
        <v>0.48399999999999999</v>
      </c>
      <c r="C39" s="77">
        <v>4.3999999999999997E-2</v>
      </c>
      <c r="D39" s="77">
        <v>0.36</v>
      </c>
      <c r="E39" s="77">
        <v>-0.1</v>
      </c>
      <c r="F39" s="77">
        <v>0.5</v>
      </c>
      <c r="G39" s="77">
        <v>-1.1000000000000001</v>
      </c>
    </row>
    <row r="40" spans="1:7" x14ac:dyDescent="0.15">
      <c r="A40" s="76" t="s">
        <v>93</v>
      </c>
      <c r="B40" s="84">
        <v>84.501000000000005</v>
      </c>
      <c r="C40" s="84">
        <v>114.965</v>
      </c>
      <c r="D40" s="84">
        <v>127.538</v>
      </c>
      <c r="E40" s="84">
        <v>99.3</v>
      </c>
      <c r="F40" s="84">
        <v>111.2</v>
      </c>
      <c r="G40" s="84">
        <v>118.4</v>
      </c>
    </row>
    <row r="41" spans="1:7" x14ac:dyDescent="0.15">
      <c r="A41" s="74"/>
      <c r="B41" s="74"/>
      <c r="C41" s="74"/>
      <c r="D41" s="74"/>
      <c r="E41" s="74"/>
      <c r="F41" s="74"/>
      <c r="G41" s="74"/>
    </row>
    <row r="42" spans="1:7" ht="12" x14ac:dyDescent="0.15">
      <c r="A42" s="74" t="s">
        <v>94</v>
      </c>
      <c r="B42" s="77">
        <v>-1.5</v>
      </c>
      <c r="C42" s="77">
        <v>-0.9</v>
      </c>
      <c r="D42" s="77" t="s">
        <v>79</v>
      </c>
      <c r="E42" s="77">
        <v>-2.2000000000000002</v>
      </c>
      <c r="F42" s="77">
        <v>-2.6</v>
      </c>
      <c r="G42" s="77">
        <v>-0.8</v>
      </c>
    </row>
    <row r="43" spans="1:7" ht="12" x14ac:dyDescent="0.15">
      <c r="A43" s="74" t="s">
        <v>282</v>
      </c>
      <c r="B43" s="77">
        <v>-0.7</v>
      </c>
      <c r="C43" s="77" t="s">
        <v>79</v>
      </c>
      <c r="D43" s="77" t="s">
        <v>79</v>
      </c>
      <c r="E43" s="77" t="s">
        <v>79</v>
      </c>
      <c r="F43" s="77">
        <v>-5.0999999999999996</v>
      </c>
      <c r="G43" s="77" t="s">
        <v>79</v>
      </c>
    </row>
    <row r="44" spans="1:7" ht="12" x14ac:dyDescent="0.15">
      <c r="A44" s="74" t="s">
        <v>95</v>
      </c>
      <c r="B44" s="77" t="s">
        <v>79</v>
      </c>
      <c r="C44" s="77" t="s">
        <v>79</v>
      </c>
      <c r="D44" s="77" t="s">
        <v>79</v>
      </c>
      <c r="E44" s="77" t="s">
        <v>79</v>
      </c>
      <c r="F44" s="77" t="s">
        <v>79</v>
      </c>
      <c r="G44" s="77" t="s">
        <v>79</v>
      </c>
    </row>
    <row r="45" spans="1:7" ht="12" x14ac:dyDescent="0.15">
      <c r="A45" s="74" t="s">
        <v>96</v>
      </c>
      <c r="B45" s="77" t="s">
        <v>79</v>
      </c>
      <c r="C45" s="77">
        <v>-10.7</v>
      </c>
      <c r="D45" s="77" t="s">
        <v>79</v>
      </c>
      <c r="E45" s="77">
        <v>-16.3</v>
      </c>
      <c r="F45" s="77" t="s">
        <v>79</v>
      </c>
      <c r="G45" s="77">
        <v>-6.5</v>
      </c>
    </row>
    <row r="46" spans="1:7" ht="12" x14ac:dyDescent="0.15">
      <c r="A46" s="74" t="s">
        <v>97</v>
      </c>
      <c r="B46" s="77">
        <v>-6.5</v>
      </c>
      <c r="C46" s="77" t="s">
        <v>79</v>
      </c>
      <c r="D46" s="77" t="s">
        <v>79</v>
      </c>
      <c r="E46" s="77">
        <v>-2.2000000000000002</v>
      </c>
      <c r="F46" s="77">
        <v>-5.3</v>
      </c>
      <c r="G46" s="77">
        <v>-20.2</v>
      </c>
    </row>
    <row r="47" spans="1:7" x14ac:dyDescent="0.15">
      <c r="A47" s="76" t="s">
        <v>98</v>
      </c>
      <c r="B47" s="84">
        <v>75.75</v>
      </c>
      <c r="C47" s="84">
        <v>103.419</v>
      </c>
      <c r="D47" s="84">
        <v>127.538</v>
      </c>
      <c r="E47" s="84">
        <v>78.599999999999994</v>
      </c>
      <c r="F47" s="84">
        <v>98.2</v>
      </c>
      <c r="G47" s="84">
        <v>90.9</v>
      </c>
    </row>
    <row r="48" spans="1:7" x14ac:dyDescent="0.15">
      <c r="A48" s="74"/>
      <c r="B48" s="74"/>
      <c r="C48" s="74"/>
      <c r="D48" s="74"/>
      <c r="E48" s="74"/>
      <c r="F48" s="74"/>
      <c r="G48" s="74"/>
    </row>
    <row r="49" spans="1:7" x14ac:dyDescent="0.15">
      <c r="A49" s="74" t="s">
        <v>99</v>
      </c>
      <c r="B49" s="77">
        <v>29.164999999999999</v>
      </c>
      <c r="C49" s="77">
        <v>37.470999999999997</v>
      </c>
      <c r="D49" s="77">
        <v>45.423999999999999</v>
      </c>
      <c r="E49" s="77">
        <v>-1.6</v>
      </c>
      <c r="F49" s="77">
        <v>24.9</v>
      </c>
      <c r="G49" s="77">
        <v>23.4</v>
      </c>
    </row>
    <row r="50" spans="1:7" x14ac:dyDescent="0.15">
      <c r="A50" s="76" t="s">
        <v>100</v>
      </c>
      <c r="B50" s="84">
        <v>46.585000000000001</v>
      </c>
      <c r="C50" s="84">
        <v>65.947999999999993</v>
      </c>
      <c r="D50" s="84">
        <v>82.114000000000004</v>
      </c>
      <c r="E50" s="84">
        <v>80.2</v>
      </c>
      <c r="F50" s="84">
        <v>73.3</v>
      </c>
      <c r="G50" s="84">
        <v>67.5</v>
      </c>
    </row>
    <row r="51" spans="1:7" x14ac:dyDescent="0.15">
      <c r="A51" s="74"/>
      <c r="B51" s="74"/>
      <c r="C51" s="74"/>
      <c r="D51" s="74"/>
      <c r="E51" s="74"/>
      <c r="F51" s="74"/>
      <c r="G51" s="74"/>
    </row>
    <row r="52" spans="1:7" ht="12" x14ac:dyDescent="0.15">
      <c r="A52" s="74" t="s">
        <v>101</v>
      </c>
      <c r="B52" s="77" t="s">
        <v>79</v>
      </c>
      <c r="C52" s="77" t="s">
        <v>79</v>
      </c>
      <c r="D52" s="77" t="s">
        <v>79</v>
      </c>
      <c r="E52" s="77" t="s">
        <v>79</v>
      </c>
      <c r="F52" s="77" t="s">
        <v>79</v>
      </c>
      <c r="G52" s="77" t="s">
        <v>79</v>
      </c>
    </row>
    <row r="53" spans="1:7" ht="12" x14ac:dyDescent="0.15">
      <c r="A53" s="74" t="s">
        <v>102</v>
      </c>
      <c r="B53" s="77" t="s">
        <v>79</v>
      </c>
      <c r="C53" s="77" t="s">
        <v>79</v>
      </c>
      <c r="D53" s="77" t="s">
        <v>79</v>
      </c>
      <c r="E53" s="77" t="s">
        <v>79</v>
      </c>
      <c r="F53" s="77" t="s">
        <v>79</v>
      </c>
      <c r="G53" s="77" t="s">
        <v>79</v>
      </c>
    </row>
    <row r="54" spans="1:7" x14ac:dyDescent="0.15">
      <c r="A54" s="76" t="s">
        <v>103</v>
      </c>
      <c r="B54" s="84">
        <v>46.585000000000001</v>
      </c>
      <c r="C54" s="84">
        <v>65.947999999999993</v>
      </c>
      <c r="D54" s="84">
        <v>82.114000000000004</v>
      </c>
      <c r="E54" s="84">
        <v>80.2</v>
      </c>
      <c r="F54" s="84">
        <v>73.3</v>
      </c>
      <c r="G54" s="84">
        <v>67.5</v>
      </c>
    </row>
    <row r="55" spans="1:7" x14ac:dyDescent="0.15">
      <c r="A55" s="74"/>
      <c r="B55" s="74"/>
      <c r="C55" s="74"/>
      <c r="D55" s="74"/>
      <c r="E55" s="74"/>
      <c r="F55" s="74"/>
      <c r="G55" s="74"/>
    </row>
    <row r="56" spans="1:7" ht="12" x14ac:dyDescent="0.15">
      <c r="A56" s="74" t="s">
        <v>104</v>
      </c>
      <c r="B56" s="77">
        <v>1.0999999999999999E-2</v>
      </c>
      <c r="C56" s="77">
        <v>1.4999999999999999E-2</v>
      </c>
      <c r="D56" s="77">
        <v>0</v>
      </c>
      <c r="E56" s="77" t="s">
        <v>79</v>
      </c>
      <c r="F56" s="77" t="s">
        <v>79</v>
      </c>
      <c r="G56" s="77" t="s">
        <v>79</v>
      </c>
    </row>
    <row r="57" spans="1:7" x14ac:dyDescent="0.15">
      <c r="A57" s="76" t="s">
        <v>105</v>
      </c>
      <c r="B57" s="83">
        <v>46.595999999999997</v>
      </c>
      <c r="C57" s="83">
        <v>65.962999999999994</v>
      </c>
      <c r="D57" s="83">
        <v>82.084000000000003</v>
      </c>
      <c r="E57" s="83">
        <v>80.2</v>
      </c>
      <c r="F57" s="83">
        <v>73.3</v>
      </c>
      <c r="G57" s="83">
        <v>67.5</v>
      </c>
    </row>
    <row r="58" spans="1:7" x14ac:dyDescent="0.15">
      <c r="A58" s="74"/>
      <c r="B58" s="74"/>
      <c r="C58" s="74"/>
      <c r="D58" s="74"/>
      <c r="E58" s="74"/>
      <c r="F58" s="74"/>
      <c r="G58" s="74"/>
    </row>
    <row r="59" spans="1:7" ht="12" x14ac:dyDescent="0.15">
      <c r="A59" s="74" t="s">
        <v>106</v>
      </c>
      <c r="B59" s="77" t="s">
        <v>79</v>
      </c>
      <c r="C59" s="77" t="s">
        <v>79</v>
      </c>
      <c r="D59" s="77" t="s">
        <v>79</v>
      </c>
      <c r="E59" s="77" t="s">
        <v>79</v>
      </c>
      <c r="F59" s="77" t="s">
        <v>79</v>
      </c>
      <c r="G59" s="77" t="s">
        <v>79</v>
      </c>
    </row>
    <row r="60" spans="1:7" x14ac:dyDescent="0.15">
      <c r="A60" s="74"/>
      <c r="B60" s="74"/>
      <c r="C60" s="74"/>
      <c r="D60" s="74"/>
      <c r="E60" s="74"/>
      <c r="F60" s="74"/>
      <c r="G60" s="74"/>
    </row>
    <row r="61" spans="1:7" x14ac:dyDescent="0.15">
      <c r="A61" s="76" t="s">
        <v>107</v>
      </c>
      <c r="B61" s="75">
        <v>46.595999999999997</v>
      </c>
      <c r="C61" s="75">
        <v>65.962999999999994</v>
      </c>
      <c r="D61" s="75">
        <v>82.084000000000003</v>
      </c>
      <c r="E61" s="75">
        <v>80.2</v>
      </c>
      <c r="F61" s="75">
        <v>73.3</v>
      </c>
      <c r="G61" s="75">
        <v>67.5</v>
      </c>
    </row>
    <row r="62" spans="1:7" x14ac:dyDescent="0.15">
      <c r="A62" s="76" t="s">
        <v>108</v>
      </c>
      <c r="B62" s="75">
        <v>46.595999999999997</v>
      </c>
      <c r="C62" s="75">
        <v>65.962999999999994</v>
      </c>
      <c r="D62" s="75">
        <v>82.084000000000003</v>
      </c>
      <c r="E62" s="75">
        <v>80.2</v>
      </c>
      <c r="F62" s="75">
        <v>73.3</v>
      </c>
      <c r="G62" s="75">
        <v>67.5</v>
      </c>
    </row>
    <row r="63" spans="1:7" x14ac:dyDescent="0.15">
      <c r="A63" s="74"/>
      <c r="B63" s="74"/>
      <c r="C63" s="74"/>
      <c r="D63" s="74"/>
      <c r="E63" s="74"/>
      <c r="F63" s="74"/>
      <c r="G63" s="74"/>
    </row>
    <row r="64" spans="1:7" x14ac:dyDescent="0.15">
      <c r="A64" s="76" t="s">
        <v>109</v>
      </c>
      <c r="B64" s="74"/>
      <c r="C64" s="74"/>
      <c r="D64" s="74"/>
      <c r="E64" s="74"/>
      <c r="F64" s="74"/>
      <c r="G64" s="74"/>
    </row>
    <row r="65" spans="1:7" x14ac:dyDescent="0.15">
      <c r="A65" s="74" t="s">
        <v>110</v>
      </c>
      <c r="B65" s="81">
        <v>0.98</v>
      </c>
      <c r="C65" s="81">
        <v>1.38</v>
      </c>
      <c r="D65" s="81">
        <v>1.71</v>
      </c>
      <c r="E65" s="81">
        <v>1.66</v>
      </c>
      <c r="F65" s="81">
        <v>1.51</v>
      </c>
      <c r="G65" s="81">
        <v>1.38</v>
      </c>
    </row>
    <row r="66" spans="1:7" x14ac:dyDescent="0.15">
      <c r="A66" s="74" t="s">
        <v>111</v>
      </c>
      <c r="B66" s="82">
        <v>0.98414800000000002</v>
      </c>
      <c r="C66" s="82">
        <v>1.3815189999999999</v>
      </c>
      <c r="D66" s="82">
        <v>1.706766</v>
      </c>
      <c r="E66" s="82">
        <v>1.656237</v>
      </c>
      <c r="F66" s="82">
        <v>1.5064630000000001</v>
      </c>
      <c r="G66" s="82">
        <v>1.381894</v>
      </c>
    </row>
    <row r="67" spans="1:7" x14ac:dyDescent="0.15">
      <c r="A67" s="74" t="s">
        <v>112</v>
      </c>
      <c r="B67" s="77">
        <v>47.346532000000003</v>
      </c>
      <c r="C67" s="77">
        <v>47.746707000000001</v>
      </c>
      <c r="D67" s="77">
        <v>48.093294</v>
      </c>
      <c r="E67" s="77">
        <v>48.423000000000002</v>
      </c>
      <c r="F67" s="77">
        <v>48.656999999999996</v>
      </c>
      <c r="G67" s="77">
        <v>48.845999999999997</v>
      </c>
    </row>
    <row r="68" spans="1:7" x14ac:dyDescent="0.15">
      <c r="A68" s="74"/>
      <c r="B68" s="74"/>
      <c r="C68" s="74"/>
      <c r="D68" s="74"/>
      <c r="E68" s="74"/>
      <c r="F68" s="74"/>
      <c r="G68" s="74"/>
    </row>
    <row r="69" spans="1:7" x14ac:dyDescent="0.15">
      <c r="A69" s="74" t="s">
        <v>113</v>
      </c>
      <c r="B69" s="81">
        <v>0.97</v>
      </c>
      <c r="C69" s="81">
        <v>1.36</v>
      </c>
      <c r="D69" s="81">
        <v>1.68</v>
      </c>
      <c r="E69" s="81">
        <v>1.63</v>
      </c>
      <c r="F69" s="81">
        <v>1.49</v>
      </c>
      <c r="G69" s="81">
        <v>1.36</v>
      </c>
    </row>
    <row r="70" spans="1:7" x14ac:dyDescent="0.15">
      <c r="A70" s="74" t="s">
        <v>114</v>
      </c>
      <c r="B70" s="82">
        <v>0.97</v>
      </c>
      <c r="C70" s="82">
        <v>1.359999</v>
      </c>
      <c r="D70" s="82">
        <v>1.679999</v>
      </c>
      <c r="E70" s="82">
        <v>1.63</v>
      </c>
      <c r="F70" s="82">
        <v>1.49</v>
      </c>
      <c r="G70" s="82">
        <v>1.36</v>
      </c>
    </row>
    <row r="71" spans="1:7" x14ac:dyDescent="0.15">
      <c r="A71" s="74" t="s">
        <v>115</v>
      </c>
      <c r="B71" s="77">
        <v>48.068249000000002</v>
      </c>
      <c r="C71" s="77">
        <v>48.438231000000002</v>
      </c>
      <c r="D71" s="77">
        <v>48.919108000000001</v>
      </c>
      <c r="E71" s="77">
        <v>49.16</v>
      </c>
      <c r="F71" s="77">
        <v>49.218000000000004</v>
      </c>
      <c r="G71" s="77">
        <v>49.457000000000001</v>
      </c>
    </row>
    <row r="72" spans="1:7" x14ac:dyDescent="0.15">
      <c r="A72" s="74"/>
      <c r="B72" s="74"/>
      <c r="C72" s="74"/>
      <c r="D72" s="74"/>
      <c r="E72" s="74"/>
      <c r="F72" s="74"/>
      <c r="G72" s="74"/>
    </row>
    <row r="73" spans="1:7" x14ac:dyDescent="0.15">
      <c r="A73" s="74" t="s">
        <v>116</v>
      </c>
      <c r="B73" s="81">
        <v>1.1200000000000001</v>
      </c>
      <c r="C73" s="81">
        <v>1.51</v>
      </c>
      <c r="D73" s="81">
        <v>1.66</v>
      </c>
      <c r="E73" s="81">
        <v>1.28</v>
      </c>
      <c r="F73" s="81">
        <v>1.43</v>
      </c>
      <c r="G73" s="81">
        <v>1.51</v>
      </c>
    </row>
    <row r="74" spans="1:7" x14ac:dyDescent="0.15">
      <c r="A74" s="74" t="s">
        <v>117</v>
      </c>
      <c r="B74" s="82">
        <v>1.09894</v>
      </c>
      <c r="C74" s="82">
        <v>1.483706</v>
      </c>
      <c r="D74" s="82">
        <v>1.628836</v>
      </c>
      <c r="E74" s="82">
        <v>1.262459</v>
      </c>
      <c r="F74" s="82">
        <v>1.412085</v>
      </c>
      <c r="G74" s="82">
        <v>1.4962489999999999</v>
      </c>
    </row>
    <row r="75" spans="1:7" x14ac:dyDescent="0.15">
      <c r="A75" s="74"/>
      <c r="B75" s="74"/>
      <c r="C75" s="74"/>
      <c r="D75" s="74"/>
      <c r="E75" s="74"/>
      <c r="F75" s="74"/>
      <c r="G75" s="74"/>
    </row>
    <row r="76" spans="1:7" x14ac:dyDescent="0.15">
      <c r="A76" s="74" t="s">
        <v>118</v>
      </c>
      <c r="B76" s="81">
        <v>0.48</v>
      </c>
      <c r="C76" s="81">
        <v>0.51</v>
      </c>
      <c r="D76" s="81">
        <v>0.6</v>
      </c>
      <c r="E76" s="81">
        <v>0.6</v>
      </c>
      <c r="F76" s="81">
        <v>0.6</v>
      </c>
      <c r="G76" s="81">
        <v>0.66</v>
      </c>
    </row>
    <row r="77" spans="1:7" x14ac:dyDescent="0.15">
      <c r="A77" s="74" t="s">
        <v>287</v>
      </c>
      <c r="B77" s="80">
        <v>0.48806699999999997</v>
      </c>
      <c r="C77" s="80">
        <v>0.36935800000000002</v>
      </c>
      <c r="D77" s="80">
        <v>0.35593999999999998</v>
      </c>
      <c r="E77" s="80">
        <v>0.376558</v>
      </c>
      <c r="F77" s="80">
        <v>0.40927599999999997</v>
      </c>
      <c r="G77" s="80">
        <v>0.485925</v>
      </c>
    </row>
    <row r="78" spans="1:7" x14ac:dyDescent="0.15">
      <c r="A78" s="74"/>
      <c r="B78" s="74"/>
      <c r="C78" s="74"/>
      <c r="D78" s="74"/>
      <c r="E78" s="74"/>
      <c r="F78" s="74"/>
      <c r="G78" s="74"/>
    </row>
    <row r="79" spans="1:7" x14ac:dyDescent="0.15">
      <c r="A79" s="76" t="s">
        <v>120</v>
      </c>
      <c r="B79" s="74"/>
      <c r="C79" s="74"/>
      <c r="D79" s="74"/>
      <c r="E79" s="74"/>
      <c r="F79" s="74"/>
      <c r="G79" s="74"/>
    </row>
    <row r="80" spans="1:7" x14ac:dyDescent="0.15">
      <c r="A80" s="74" t="s">
        <v>21</v>
      </c>
      <c r="B80" s="77">
        <v>104.93600000000001</v>
      </c>
      <c r="C80" s="77">
        <v>133.23500000000001</v>
      </c>
      <c r="D80" s="77">
        <v>158.63300000000001</v>
      </c>
      <c r="E80" s="77">
        <v>134.5</v>
      </c>
      <c r="F80" s="77">
        <v>163.80000000000001</v>
      </c>
      <c r="G80" s="77">
        <v>181.2</v>
      </c>
    </row>
    <row r="81" spans="1:7" x14ac:dyDescent="0.15">
      <c r="A81" s="74" t="s">
        <v>48</v>
      </c>
      <c r="B81" s="77">
        <v>88.608999999999995</v>
      </c>
      <c r="C81" s="77">
        <v>115.871</v>
      </c>
      <c r="D81" s="77">
        <v>139.56200000000001</v>
      </c>
      <c r="E81" s="77">
        <v>111.8</v>
      </c>
      <c r="F81" s="77">
        <v>138.30000000000001</v>
      </c>
      <c r="G81" s="77">
        <v>151.6</v>
      </c>
    </row>
    <row r="82" spans="1:7" x14ac:dyDescent="0.15">
      <c r="A82" s="74" t="s">
        <v>13</v>
      </c>
      <c r="B82" s="77">
        <v>85.593999999999994</v>
      </c>
      <c r="C82" s="77">
        <v>112.65600000000001</v>
      </c>
      <c r="D82" s="77">
        <v>136.30799999999999</v>
      </c>
      <c r="E82" s="77">
        <v>108.6</v>
      </c>
      <c r="F82" s="77">
        <v>129.6</v>
      </c>
      <c r="G82" s="77">
        <v>142.69999999999999</v>
      </c>
    </row>
    <row r="83" spans="1:7" x14ac:dyDescent="0.15">
      <c r="A83" s="74" t="s">
        <v>121</v>
      </c>
      <c r="B83" s="77">
        <v>133.73599999999999</v>
      </c>
      <c r="C83" s="77">
        <v>161.83500000000001</v>
      </c>
      <c r="D83" s="77">
        <v>188.43299999999999</v>
      </c>
      <c r="E83" s="77">
        <v>163.4</v>
      </c>
      <c r="F83" s="77">
        <v>195.9</v>
      </c>
      <c r="G83" s="77">
        <v>212.9</v>
      </c>
    </row>
    <row r="84" spans="1:7" ht="12" x14ac:dyDescent="0.15">
      <c r="A84" s="74" t="s">
        <v>122</v>
      </c>
      <c r="B84" s="80">
        <v>0.38501600000000002</v>
      </c>
      <c r="C84" s="80">
        <v>0.36232199999999998</v>
      </c>
      <c r="D84" s="80">
        <v>0.35615999999999998</v>
      </c>
      <c r="E84" s="80" t="s">
        <v>123</v>
      </c>
      <c r="F84" s="80">
        <v>0.25356400000000001</v>
      </c>
      <c r="G84" s="80">
        <v>0.25742500000000001</v>
      </c>
    </row>
    <row r="85" spans="1:7" x14ac:dyDescent="0.15">
      <c r="A85" s="74" t="s">
        <v>124</v>
      </c>
      <c r="B85" s="77">
        <v>24.626000000000001</v>
      </c>
      <c r="C85" s="77">
        <v>31.088999999999999</v>
      </c>
      <c r="D85" s="77">
        <v>14.82</v>
      </c>
      <c r="E85" s="77">
        <v>14.1</v>
      </c>
      <c r="F85" s="77">
        <v>6.4</v>
      </c>
      <c r="G85" s="77">
        <v>13.8</v>
      </c>
    </row>
    <row r="86" spans="1:7" x14ac:dyDescent="0.15">
      <c r="A86" s="74" t="s">
        <v>125</v>
      </c>
      <c r="B86" s="77">
        <v>4.8079999999999998</v>
      </c>
      <c r="C86" s="77">
        <v>6.2240000000000002</v>
      </c>
      <c r="D86" s="77">
        <v>4.5880000000000001</v>
      </c>
      <c r="E86" s="77">
        <v>3.9</v>
      </c>
      <c r="F86" s="77">
        <v>13.7</v>
      </c>
      <c r="G86" s="77">
        <v>10.9</v>
      </c>
    </row>
    <row r="87" spans="1:7" x14ac:dyDescent="0.15">
      <c r="A87" s="74" t="s">
        <v>126</v>
      </c>
      <c r="B87" s="77">
        <v>29.434000000000001</v>
      </c>
      <c r="C87" s="77">
        <v>37.313000000000002</v>
      </c>
      <c r="D87" s="77">
        <v>19.408000000000001</v>
      </c>
      <c r="E87" s="77">
        <v>18</v>
      </c>
      <c r="F87" s="77">
        <v>20.100000000000001</v>
      </c>
      <c r="G87" s="77">
        <v>24.7</v>
      </c>
    </row>
    <row r="88" spans="1:7" x14ac:dyDescent="0.15">
      <c r="A88" s="74" t="s">
        <v>127</v>
      </c>
      <c r="B88" s="77">
        <v>-0.6</v>
      </c>
      <c r="C88" s="77">
        <v>-0.6</v>
      </c>
      <c r="D88" s="77">
        <v>26.161000000000001</v>
      </c>
      <c r="E88" s="77">
        <v>-18.100000000000001</v>
      </c>
      <c r="F88" s="77">
        <v>7.2</v>
      </c>
      <c r="G88" s="77">
        <v>-1.1000000000000001</v>
      </c>
    </row>
    <row r="89" spans="1:7" x14ac:dyDescent="0.15">
      <c r="A89" s="74" t="s">
        <v>128</v>
      </c>
      <c r="B89" s="77">
        <v>0.29299999999999998</v>
      </c>
      <c r="C89" s="77">
        <v>0.751</v>
      </c>
      <c r="D89" s="77">
        <v>-0.1</v>
      </c>
      <c r="E89" s="77">
        <v>-1.5</v>
      </c>
      <c r="F89" s="77">
        <v>-2.4</v>
      </c>
      <c r="G89" s="77">
        <v>-0.2</v>
      </c>
    </row>
    <row r="90" spans="1:7" x14ac:dyDescent="0.15">
      <c r="A90" s="74" t="s">
        <v>129</v>
      </c>
      <c r="B90" s="77">
        <v>-0.3</v>
      </c>
      <c r="C90" s="77">
        <v>0.158</v>
      </c>
      <c r="D90" s="77">
        <v>26.015999999999998</v>
      </c>
      <c r="E90" s="77">
        <v>-19.600000000000001</v>
      </c>
      <c r="F90" s="77">
        <v>4.8</v>
      </c>
      <c r="G90" s="77">
        <v>-1.3</v>
      </c>
    </row>
    <row r="91" spans="1:7" x14ac:dyDescent="0.15">
      <c r="A91" s="74"/>
      <c r="B91" s="74"/>
      <c r="C91" s="74"/>
      <c r="D91" s="74"/>
      <c r="E91" s="74"/>
      <c r="F91" s="74"/>
      <c r="G91" s="74"/>
    </row>
    <row r="92" spans="1:7" x14ac:dyDescent="0.15">
      <c r="A92" s="74" t="s">
        <v>130</v>
      </c>
      <c r="B92" s="77">
        <v>52.824125000000002</v>
      </c>
      <c r="C92" s="77">
        <v>71.868125000000006</v>
      </c>
      <c r="D92" s="77">
        <v>79.681250000000006</v>
      </c>
      <c r="E92" s="77">
        <v>62.0625</v>
      </c>
      <c r="F92" s="77">
        <v>69.5</v>
      </c>
      <c r="G92" s="77">
        <v>74</v>
      </c>
    </row>
    <row r="93" spans="1:7" x14ac:dyDescent="0.15">
      <c r="A93" s="74" t="s">
        <v>288</v>
      </c>
      <c r="B93" s="77">
        <v>0.4</v>
      </c>
      <c r="C93" s="77">
        <v>0.3</v>
      </c>
      <c r="D93" s="77">
        <v>0.7</v>
      </c>
      <c r="E93" s="77">
        <v>0.8</v>
      </c>
      <c r="F93" s="77">
        <v>0.8</v>
      </c>
      <c r="G93" s="77">
        <v>0.5</v>
      </c>
    </row>
    <row r="94" spans="1:7" x14ac:dyDescent="0.15">
      <c r="A94" s="74" t="s">
        <v>289</v>
      </c>
      <c r="B94" s="77">
        <v>5.6740000000000004</v>
      </c>
      <c r="C94" s="77">
        <v>4.2060000000000004</v>
      </c>
      <c r="D94" s="77">
        <v>-4.5999999999999996</v>
      </c>
      <c r="E94" s="77">
        <v>-6.1</v>
      </c>
      <c r="F94" s="77">
        <v>-0.7</v>
      </c>
      <c r="G94" s="77">
        <v>15.3</v>
      </c>
    </row>
    <row r="95" spans="1:7" x14ac:dyDescent="0.15">
      <c r="A95" s="74" t="s">
        <v>131</v>
      </c>
      <c r="B95" s="79">
        <v>42795</v>
      </c>
      <c r="C95" s="79">
        <v>43158</v>
      </c>
      <c r="D95" s="79">
        <v>43522</v>
      </c>
      <c r="E95" s="79">
        <v>43882</v>
      </c>
      <c r="F95" s="79">
        <v>43882</v>
      </c>
      <c r="G95" s="79">
        <v>43882</v>
      </c>
    </row>
    <row r="96" spans="1:7" ht="12" x14ac:dyDescent="0.15">
      <c r="A96" s="74" t="s">
        <v>132</v>
      </c>
      <c r="B96" s="78" t="s">
        <v>133</v>
      </c>
      <c r="C96" s="78" t="s">
        <v>133</v>
      </c>
      <c r="D96" s="78" t="s">
        <v>133</v>
      </c>
      <c r="E96" s="78" t="s">
        <v>195</v>
      </c>
      <c r="F96" s="78" t="s">
        <v>195</v>
      </c>
      <c r="G96" s="78" t="s">
        <v>134</v>
      </c>
    </row>
    <row r="97" spans="1:7" ht="12" x14ac:dyDescent="0.15">
      <c r="A97" s="74" t="s">
        <v>135</v>
      </c>
      <c r="B97" s="78" t="s">
        <v>136</v>
      </c>
      <c r="C97" s="78" t="s">
        <v>136</v>
      </c>
      <c r="D97" s="78" t="s">
        <v>136</v>
      </c>
      <c r="E97" s="78" t="s">
        <v>136</v>
      </c>
      <c r="F97" s="78" t="s">
        <v>136</v>
      </c>
      <c r="G97" s="78" t="s">
        <v>136</v>
      </c>
    </row>
    <row r="98" spans="1:7" x14ac:dyDescent="0.15">
      <c r="A98" s="74"/>
      <c r="B98" s="74"/>
      <c r="C98" s="74"/>
      <c r="D98" s="74"/>
      <c r="E98" s="74"/>
      <c r="F98" s="74"/>
      <c r="G98" s="74"/>
    </row>
    <row r="99" spans="1:7" x14ac:dyDescent="0.15">
      <c r="A99" s="76" t="s">
        <v>137</v>
      </c>
      <c r="B99" s="74"/>
      <c r="C99" s="74"/>
      <c r="D99" s="74"/>
      <c r="E99" s="74"/>
      <c r="F99" s="74"/>
      <c r="G99" s="74"/>
    </row>
    <row r="100" spans="1:7" x14ac:dyDescent="0.15">
      <c r="A100" s="74" t="s">
        <v>290</v>
      </c>
      <c r="B100" s="77">
        <v>19.2</v>
      </c>
      <c r="C100" s="77">
        <v>20.7</v>
      </c>
      <c r="D100" s="77">
        <v>21.7</v>
      </c>
      <c r="E100" s="77">
        <v>19.2</v>
      </c>
      <c r="F100" s="77">
        <v>20.100000000000001</v>
      </c>
      <c r="G100" s="77">
        <v>16.399999999999999</v>
      </c>
    </row>
    <row r="101" spans="1:7" x14ac:dyDescent="0.15">
      <c r="A101" s="74" t="s">
        <v>138</v>
      </c>
      <c r="B101" s="77">
        <v>28.8</v>
      </c>
      <c r="C101" s="77">
        <v>28.6</v>
      </c>
      <c r="D101" s="77">
        <v>29.8</v>
      </c>
      <c r="E101" s="77">
        <v>28.9</v>
      </c>
      <c r="F101" s="77">
        <v>32.1</v>
      </c>
      <c r="G101" s="77">
        <v>31.7</v>
      </c>
    </row>
    <row r="102" spans="1:7" x14ac:dyDescent="0.15">
      <c r="A102" s="74" t="s">
        <v>139</v>
      </c>
      <c r="B102" s="77">
        <v>8.3155970000000003</v>
      </c>
      <c r="C102" s="77">
        <v>6.8630849999999999</v>
      </c>
      <c r="D102" s="77">
        <v>6.6442079999999999</v>
      </c>
      <c r="E102" s="77">
        <v>9.2607160000000004</v>
      </c>
      <c r="F102" s="77">
        <v>17.045356999999999</v>
      </c>
      <c r="G102" s="77">
        <v>11.005478999999999</v>
      </c>
    </row>
    <row r="103" spans="1:7" x14ac:dyDescent="0.15">
      <c r="A103" s="74" t="s">
        <v>140</v>
      </c>
      <c r="B103" s="77">
        <v>20.484403</v>
      </c>
      <c r="C103" s="77">
        <v>21.736915</v>
      </c>
      <c r="D103" s="77">
        <v>23.155792000000002</v>
      </c>
      <c r="E103" s="77">
        <v>19.639284</v>
      </c>
      <c r="F103" s="77">
        <v>15.054643</v>
      </c>
      <c r="G103" s="77">
        <v>20.694521000000002</v>
      </c>
    </row>
    <row r="104" spans="1:7" x14ac:dyDescent="0.15">
      <c r="A104" s="74"/>
      <c r="B104" s="74"/>
      <c r="C104" s="74"/>
      <c r="D104" s="74"/>
      <c r="E104" s="74"/>
      <c r="F104" s="74"/>
      <c r="G104" s="74"/>
    </row>
    <row r="105" spans="1:7" x14ac:dyDescent="0.15">
      <c r="A105" s="74" t="s">
        <v>291</v>
      </c>
      <c r="B105" s="77">
        <v>7.8</v>
      </c>
      <c r="C105" s="77">
        <v>8.3000000000000007</v>
      </c>
      <c r="D105" s="77">
        <v>10.468999999999999</v>
      </c>
      <c r="E105" s="77">
        <v>9.6</v>
      </c>
      <c r="F105" s="77">
        <v>9.1999999999999993</v>
      </c>
      <c r="G105" s="77">
        <v>10.8</v>
      </c>
    </row>
    <row r="106" spans="1:7" ht="12" x14ac:dyDescent="0.15">
      <c r="A106" s="74" t="s">
        <v>141</v>
      </c>
      <c r="B106" s="77">
        <v>0.26200000000000001</v>
      </c>
      <c r="C106" s="77" t="s">
        <v>79</v>
      </c>
      <c r="D106" s="77" t="s">
        <v>79</v>
      </c>
      <c r="E106" s="77">
        <v>0.1</v>
      </c>
      <c r="F106" s="77" t="s">
        <v>79</v>
      </c>
      <c r="G106" s="77" t="s">
        <v>79</v>
      </c>
    </row>
    <row r="107" spans="1:7" x14ac:dyDescent="0.15">
      <c r="A107" s="76" t="s">
        <v>142</v>
      </c>
      <c r="B107" s="75">
        <v>8.0619999999999994</v>
      </c>
      <c r="C107" s="75">
        <v>8.3000000000000007</v>
      </c>
      <c r="D107" s="75">
        <v>10.468999999999999</v>
      </c>
      <c r="E107" s="75">
        <v>9.6999999999999993</v>
      </c>
      <c r="F107" s="75">
        <v>9.1999999999999993</v>
      </c>
      <c r="G107" s="75">
        <v>10.8</v>
      </c>
    </row>
    <row r="108" spans="1:7" x14ac:dyDescent="0.15">
      <c r="A108" s="74"/>
      <c r="B108" s="74"/>
      <c r="C108" s="74"/>
      <c r="D108" s="74"/>
      <c r="E108" s="74"/>
      <c r="F108" s="74"/>
      <c r="G108" s="74"/>
    </row>
    <row r="109" spans="1:7" x14ac:dyDescent="0.15">
      <c r="A109" s="73"/>
      <c r="B109" s="73"/>
      <c r="C109" s="73"/>
      <c r="D109" s="73"/>
      <c r="E109" s="73"/>
      <c r="F109" s="73"/>
      <c r="G109" s="73"/>
    </row>
    <row r="110" spans="1:7" x14ac:dyDescent="0.15">
      <c r="A110" s="71" t="s">
        <v>143</v>
      </c>
    </row>
    <row r="111" spans="1:7" x14ac:dyDescent="0.15">
      <c r="A111" s="72" t="s">
        <v>144</v>
      </c>
    </row>
    <row r="1000" spans="648:648" ht="16" x14ac:dyDescent="0.2">
      <c r="XX1000" s="153">
        <v>63803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2855-9682-47EE-B180-58CA18F227DA}">
  <sheetPr>
    <tabColor rgb="FFFFFF00"/>
    <outlinePr summaryBelow="0" summaryRight="0"/>
    <pageSetUpPr autoPageBreaks="0"/>
  </sheetPr>
  <dimension ref="A5:XX1000"/>
  <sheetViews>
    <sheetView topLeftCell="A50" zoomScale="125" workbookViewId="0">
      <selection activeCell="G40" sqref="G40"/>
    </sheetView>
  </sheetViews>
  <sheetFormatPr baseColWidth="10" defaultColWidth="9" defaultRowHeight="11" x14ac:dyDescent="0.15"/>
  <cols>
    <col min="1" max="1" width="45.83203125" style="71" customWidth="1"/>
    <col min="2" max="7" width="14.83203125" style="71" customWidth="1"/>
    <col min="8" max="16384" width="9" style="71"/>
  </cols>
  <sheetData>
    <row r="5" spans="1:255" ht="17" x14ac:dyDescent="0.2">
      <c r="A5" s="95"/>
    </row>
    <row r="7" spans="1:255" ht="12" x14ac:dyDescent="0.15">
      <c r="A7" s="94" t="s">
        <v>54</v>
      </c>
      <c r="B7" s="92" t="s">
        <v>55</v>
      </c>
      <c r="C7" s="71" t="s">
        <v>56</v>
      </c>
      <c r="D7" s="74" t="s">
        <v>57</v>
      </c>
      <c r="E7" s="92" t="s">
        <v>58</v>
      </c>
      <c r="F7" s="71" t="s">
        <v>59</v>
      </c>
    </row>
    <row r="8" spans="1:255" x14ac:dyDescent="0.15">
      <c r="A8" s="74"/>
      <c r="B8" s="92" t="s">
        <v>60</v>
      </c>
      <c r="C8" s="71" t="s">
        <v>61</v>
      </c>
      <c r="D8" s="74" t="s">
        <v>57</v>
      </c>
      <c r="E8" s="92" t="s">
        <v>62</v>
      </c>
      <c r="F8" s="71" t="s">
        <v>63</v>
      </c>
    </row>
    <row r="9" spans="1:255" x14ac:dyDescent="0.15">
      <c r="A9" s="74"/>
      <c r="B9" s="92" t="s">
        <v>64</v>
      </c>
      <c r="C9" s="71" t="s">
        <v>65</v>
      </c>
      <c r="D9" s="74" t="s">
        <v>57</v>
      </c>
      <c r="E9" s="92" t="s">
        <v>66</v>
      </c>
      <c r="F9" s="71" t="s">
        <v>309</v>
      </c>
    </row>
    <row r="10" spans="1:255" x14ac:dyDescent="0.15">
      <c r="A10" s="74"/>
      <c r="B10" s="92" t="s">
        <v>67</v>
      </c>
      <c r="C10" s="71" t="s">
        <v>68</v>
      </c>
      <c r="D10" s="74" t="s">
        <v>57</v>
      </c>
      <c r="E10" s="92" t="s">
        <v>69</v>
      </c>
      <c r="F10" s="93" t="s">
        <v>70</v>
      </c>
    </row>
    <row r="11" spans="1:255" x14ac:dyDescent="0.15">
      <c r="A11" s="74"/>
      <c r="B11" s="92" t="s">
        <v>71</v>
      </c>
      <c r="C11" s="71" t="s">
        <v>72</v>
      </c>
      <c r="D11" s="74" t="s">
        <v>57</v>
      </c>
      <c r="E11" s="91"/>
      <c r="F11" s="91"/>
    </row>
    <row r="14" spans="1:255" x14ac:dyDescent="0.15">
      <c r="A14" s="90" t="s">
        <v>22</v>
      </c>
      <c r="B14" s="90"/>
      <c r="C14" s="90"/>
      <c r="D14" s="90"/>
      <c r="E14" s="90"/>
      <c r="F14" s="90"/>
      <c r="G14" s="90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89"/>
      <c r="IT14" s="89"/>
      <c r="IU14" s="89"/>
    </row>
    <row r="15" spans="1:255" ht="36" x14ac:dyDescent="0.15">
      <c r="A15" s="88" t="s">
        <v>145</v>
      </c>
      <c r="B15" s="87" t="s">
        <v>74</v>
      </c>
      <c r="C15" s="87" t="s">
        <v>274</v>
      </c>
      <c r="D15" s="87" t="s">
        <v>308</v>
      </c>
      <c r="E15" s="87" t="s">
        <v>334</v>
      </c>
      <c r="F15" s="87" t="s">
        <v>335</v>
      </c>
      <c r="G15" s="87" t="s">
        <v>336</v>
      </c>
    </row>
    <row r="16" spans="1:255" ht="12" x14ac:dyDescent="0.15">
      <c r="A16" s="86" t="s">
        <v>75</v>
      </c>
      <c r="B16" s="85" t="s">
        <v>76</v>
      </c>
      <c r="C16" s="85" t="s">
        <v>76</v>
      </c>
      <c r="D16" s="85" t="s">
        <v>76</v>
      </c>
      <c r="E16" s="85" t="s">
        <v>76</v>
      </c>
      <c r="F16" s="85" t="s">
        <v>76</v>
      </c>
      <c r="G16" s="85" t="s">
        <v>76</v>
      </c>
    </row>
    <row r="17" spans="1:7" x14ac:dyDescent="0.15">
      <c r="A17" s="76" t="s">
        <v>146</v>
      </c>
      <c r="B17" s="74"/>
      <c r="C17" s="74"/>
      <c r="D17" s="74"/>
      <c r="E17" s="74"/>
      <c r="F17" s="74"/>
      <c r="G17" s="74"/>
    </row>
    <row r="18" spans="1:7" x14ac:dyDescent="0.15">
      <c r="A18" s="74" t="s">
        <v>147</v>
      </c>
      <c r="B18" s="77">
        <v>19.021000000000001</v>
      </c>
      <c r="C18" s="77">
        <v>4.1920000000000002</v>
      </c>
      <c r="D18" s="77">
        <v>9.8539999999999992</v>
      </c>
      <c r="E18" s="77">
        <v>2.2029999999999998</v>
      </c>
      <c r="F18" s="77">
        <v>1.6</v>
      </c>
      <c r="G18" s="77">
        <v>8.5</v>
      </c>
    </row>
    <row r="19" spans="1:7" x14ac:dyDescent="0.15">
      <c r="A19" s="76" t="s">
        <v>148</v>
      </c>
      <c r="B19" s="84">
        <v>19.021000000000001</v>
      </c>
      <c r="C19" s="84">
        <v>4.1920000000000002</v>
      </c>
      <c r="D19" s="84">
        <v>9.8539999999999992</v>
      </c>
      <c r="E19" s="84">
        <v>2.2029999999999998</v>
      </c>
      <c r="F19" s="84">
        <v>1.6</v>
      </c>
      <c r="G19" s="84">
        <v>8.5</v>
      </c>
    </row>
    <row r="20" spans="1:7" x14ac:dyDescent="0.15">
      <c r="A20" s="74"/>
      <c r="B20" s="74"/>
      <c r="C20" s="74"/>
      <c r="D20" s="74"/>
      <c r="E20" s="74"/>
      <c r="F20" s="74"/>
      <c r="G20" s="74"/>
    </row>
    <row r="21" spans="1:7" x14ac:dyDescent="0.15">
      <c r="A21" s="74" t="s">
        <v>149</v>
      </c>
      <c r="B21" s="77">
        <v>114.551</v>
      </c>
      <c r="C21" s="77">
        <v>116.532</v>
      </c>
      <c r="D21" s="77">
        <v>84.424999999999997</v>
      </c>
      <c r="E21" s="77">
        <v>86.686999999999998</v>
      </c>
      <c r="F21" s="77">
        <v>120.2</v>
      </c>
      <c r="G21" s="77">
        <v>107.4</v>
      </c>
    </row>
    <row r="22" spans="1:7" x14ac:dyDescent="0.15">
      <c r="A22" s="76" t="s">
        <v>150</v>
      </c>
      <c r="B22" s="84">
        <v>114.551</v>
      </c>
      <c r="C22" s="84">
        <v>116.532</v>
      </c>
      <c r="D22" s="84">
        <v>84.424999999999997</v>
      </c>
      <c r="E22" s="84">
        <v>86.686999999999998</v>
      </c>
      <c r="F22" s="84">
        <v>120.2</v>
      </c>
      <c r="G22" s="84">
        <v>107.4</v>
      </c>
    </row>
    <row r="23" spans="1:7" x14ac:dyDescent="0.15">
      <c r="A23" s="74"/>
      <c r="B23" s="74"/>
      <c r="C23" s="74"/>
      <c r="D23" s="74"/>
      <c r="E23" s="74"/>
      <c r="F23" s="74"/>
      <c r="G23" s="74"/>
    </row>
    <row r="24" spans="1:7" x14ac:dyDescent="0.15">
      <c r="A24" s="74" t="s">
        <v>1</v>
      </c>
      <c r="B24" s="77">
        <v>140.83500000000001</v>
      </c>
      <c r="C24" s="77">
        <v>140.798</v>
      </c>
      <c r="D24" s="77">
        <v>142.072</v>
      </c>
      <c r="E24" s="77">
        <v>144.94499999999999</v>
      </c>
      <c r="F24" s="77">
        <v>170.5</v>
      </c>
      <c r="G24" s="77">
        <v>195.9</v>
      </c>
    </row>
    <row r="25" spans="1:7" x14ac:dyDescent="0.15">
      <c r="A25" s="74" t="s">
        <v>151</v>
      </c>
      <c r="B25" s="77">
        <v>21.544</v>
      </c>
      <c r="C25" s="77">
        <v>14.798</v>
      </c>
      <c r="D25" s="77">
        <v>27.460999999999999</v>
      </c>
      <c r="E25" s="77">
        <v>29.271999999999998</v>
      </c>
      <c r="F25" s="77">
        <v>25.6</v>
      </c>
      <c r="G25" s="77">
        <v>17.2</v>
      </c>
    </row>
    <row r="26" spans="1:7" x14ac:dyDescent="0.15">
      <c r="A26" s="74" t="s">
        <v>292</v>
      </c>
      <c r="B26" s="77">
        <v>15.868</v>
      </c>
      <c r="C26" s="77">
        <v>20.484999999999999</v>
      </c>
      <c r="D26" s="77">
        <v>0</v>
      </c>
      <c r="E26" s="77">
        <v>0</v>
      </c>
      <c r="F26" s="77">
        <v>0</v>
      </c>
      <c r="G26" s="77">
        <v>0</v>
      </c>
    </row>
    <row r="27" spans="1:7" x14ac:dyDescent="0.15">
      <c r="A27" s="74" t="s">
        <v>152</v>
      </c>
      <c r="B27" s="77">
        <v>0</v>
      </c>
      <c r="C27" s="77">
        <v>11.967000000000001</v>
      </c>
      <c r="D27" s="77">
        <v>12.996</v>
      </c>
      <c r="E27" s="77">
        <v>15.163</v>
      </c>
      <c r="F27" s="77">
        <v>13.7</v>
      </c>
      <c r="G27" s="77">
        <v>11.6</v>
      </c>
    </row>
    <row r="28" spans="1:7" x14ac:dyDescent="0.15">
      <c r="A28" s="76" t="s">
        <v>153</v>
      </c>
      <c r="B28" s="84">
        <v>311.81900000000002</v>
      </c>
      <c r="C28" s="84">
        <v>308.77199999999999</v>
      </c>
      <c r="D28" s="84">
        <v>276.80799999999999</v>
      </c>
      <c r="E28" s="84">
        <v>278.27</v>
      </c>
      <c r="F28" s="84">
        <v>331.6</v>
      </c>
      <c r="G28" s="84">
        <v>340.6</v>
      </c>
    </row>
    <row r="29" spans="1:7" x14ac:dyDescent="0.15">
      <c r="A29" s="74"/>
      <c r="B29" s="74"/>
      <c r="C29" s="74"/>
      <c r="D29" s="74"/>
      <c r="E29" s="74"/>
      <c r="F29" s="74"/>
      <c r="G29" s="74"/>
    </row>
    <row r="30" spans="1:7" x14ac:dyDescent="0.15">
      <c r="A30" s="74" t="s">
        <v>154</v>
      </c>
      <c r="B30" s="77">
        <v>405.26400000000001</v>
      </c>
      <c r="C30" s="77">
        <v>404.60599999999999</v>
      </c>
      <c r="D30" s="77">
        <v>445.82100000000003</v>
      </c>
      <c r="E30" s="77">
        <v>469.94</v>
      </c>
      <c r="F30" s="77">
        <v>493.3</v>
      </c>
      <c r="G30" s="77">
        <v>615</v>
      </c>
    </row>
    <row r="31" spans="1:7" x14ac:dyDescent="0.15">
      <c r="A31" s="74" t="s">
        <v>155</v>
      </c>
      <c r="B31" s="77">
        <v>-240.2</v>
      </c>
      <c r="C31" s="77">
        <v>-232.5</v>
      </c>
      <c r="D31" s="77">
        <v>-248.7</v>
      </c>
      <c r="E31" s="77">
        <v>-269.3</v>
      </c>
      <c r="F31" s="77">
        <v>-278.3</v>
      </c>
      <c r="G31" s="77">
        <v>-281.60000000000002</v>
      </c>
    </row>
    <row r="32" spans="1:7" x14ac:dyDescent="0.15">
      <c r="A32" s="76" t="s">
        <v>156</v>
      </c>
      <c r="B32" s="84">
        <v>165.01900000000001</v>
      </c>
      <c r="C32" s="84">
        <v>172.142</v>
      </c>
      <c r="D32" s="84">
        <v>197.084</v>
      </c>
      <c r="E32" s="84">
        <v>200.63</v>
      </c>
      <c r="F32" s="84">
        <v>215</v>
      </c>
      <c r="G32" s="84">
        <v>333.4</v>
      </c>
    </row>
    <row r="33" spans="1:7" x14ac:dyDescent="0.15">
      <c r="A33" s="74"/>
      <c r="B33" s="74"/>
      <c r="C33" s="74"/>
      <c r="D33" s="74"/>
      <c r="E33" s="74"/>
      <c r="F33" s="74"/>
      <c r="G33" s="74"/>
    </row>
    <row r="34" spans="1:7" x14ac:dyDescent="0.15">
      <c r="A34" s="74" t="s">
        <v>157</v>
      </c>
      <c r="B34" s="77">
        <v>128.91800000000001</v>
      </c>
      <c r="C34" s="77">
        <v>127.67100000000001</v>
      </c>
      <c r="D34" s="77">
        <v>141.39099999999999</v>
      </c>
      <c r="E34" s="77">
        <v>142.113</v>
      </c>
      <c r="F34" s="77">
        <v>320.8</v>
      </c>
      <c r="G34" s="77">
        <v>332.1</v>
      </c>
    </row>
    <row r="35" spans="1:7" x14ac:dyDescent="0.15">
      <c r="A35" s="74" t="s">
        <v>158</v>
      </c>
      <c r="B35" s="77">
        <v>253.739</v>
      </c>
      <c r="C35" s="77">
        <v>240.16900000000001</v>
      </c>
      <c r="D35" s="77">
        <v>241.87</v>
      </c>
      <c r="E35" s="77">
        <v>238.58099999999999</v>
      </c>
      <c r="F35" s="77">
        <v>353.9</v>
      </c>
      <c r="G35" s="77">
        <v>348.2</v>
      </c>
    </row>
    <row r="36" spans="1:7" x14ac:dyDescent="0.15">
      <c r="A36" s="74" t="s">
        <v>159</v>
      </c>
      <c r="B36" s="77">
        <v>9.4480000000000004</v>
      </c>
      <c r="C36" s="77">
        <v>5.0490000000000004</v>
      </c>
      <c r="D36" s="77">
        <v>1.46</v>
      </c>
      <c r="E36" s="77">
        <v>1.4470000000000001</v>
      </c>
      <c r="F36" s="77">
        <v>5.6</v>
      </c>
      <c r="G36" s="77">
        <v>3.6</v>
      </c>
    </row>
    <row r="37" spans="1:7" x14ac:dyDescent="0.15">
      <c r="A37" s="76" t="s">
        <v>160</v>
      </c>
      <c r="B37" s="83">
        <v>868.94299999999998</v>
      </c>
      <c r="C37" s="83">
        <v>853.803</v>
      </c>
      <c r="D37" s="83">
        <v>858.61300000000006</v>
      </c>
      <c r="E37" s="83">
        <v>861.04100000000005</v>
      </c>
      <c r="F37" s="83">
        <v>1226.9000000000001</v>
      </c>
      <c r="G37" s="83">
        <v>1357.9</v>
      </c>
    </row>
    <row r="38" spans="1:7" x14ac:dyDescent="0.15">
      <c r="A38" s="74"/>
      <c r="B38" s="74"/>
      <c r="C38" s="74"/>
      <c r="D38" s="74"/>
      <c r="E38" s="74"/>
      <c r="F38" s="74"/>
      <c r="G38" s="74"/>
    </row>
    <row r="39" spans="1:7" x14ac:dyDescent="0.15">
      <c r="A39" s="76" t="s">
        <v>161</v>
      </c>
      <c r="B39" s="74"/>
      <c r="C39" s="74"/>
      <c r="D39" s="74"/>
      <c r="E39" s="74"/>
      <c r="F39" s="74"/>
      <c r="G39" s="74"/>
    </row>
    <row r="40" spans="1:7" x14ac:dyDescent="0.15">
      <c r="A40" s="74" t="s">
        <v>162</v>
      </c>
      <c r="B40" s="77">
        <v>114.914</v>
      </c>
      <c r="C40" s="77">
        <v>89.552000000000007</v>
      </c>
      <c r="D40" s="77">
        <v>97.518000000000001</v>
      </c>
      <c r="E40" s="77">
        <v>108.922</v>
      </c>
      <c r="F40" s="77">
        <v>126.7</v>
      </c>
      <c r="G40" s="77">
        <v>131.9</v>
      </c>
    </row>
    <row r="41" spans="1:7" x14ac:dyDescent="0.15">
      <c r="A41" s="74" t="s">
        <v>163</v>
      </c>
      <c r="B41" s="77">
        <v>35.03</v>
      </c>
      <c r="C41" s="77">
        <v>44.011000000000003</v>
      </c>
      <c r="D41" s="77">
        <v>46.508000000000003</v>
      </c>
      <c r="E41" s="77">
        <v>41.143999999999998</v>
      </c>
      <c r="F41" s="77">
        <v>40.6</v>
      </c>
      <c r="G41" s="77">
        <v>37.4</v>
      </c>
    </row>
    <row r="42" spans="1:7" x14ac:dyDescent="0.15">
      <c r="A42" s="74" t="s">
        <v>164</v>
      </c>
      <c r="B42" s="77">
        <v>10</v>
      </c>
      <c r="C42" s="77">
        <v>10</v>
      </c>
      <c r="D42" s="77">
        <v>10</v>
      </c>
      <c r="E42" s="77">
        <v>10</v>
      </c>
      <c r="F42" s="77">
        <v>17.5</v>
      </c>
      <c r="G42" s="77">
        <v>19.7</v>
      </c>
    </row>
    <row r="43" spans="1:7" x14ac:dyDescent="0.15">
      <c r="A43" s="74" t="s">
        <v>311</v>
      </c>
      <c r="B43" s="77">
        <v>0</v>
      </c>
      <c r="C43" s="77">
        <v>0</v>
      </c>
      <c r="D43" s="77">
        <v>0</v>
      </c>
      <c r="E43" s="77">
        <v>0</v>
      </c>
      <c r="F43" s="77">
        <v>0</v>
      </c>
      <c r="G43" s="77">
        <v>20.7</v>
      </c>
    </row>
    <row r="44" spans="1:7" x14ac:dyDescent="0.15">
      <c r="A44" s="74" t="s">
        <v>293</v>
      </c>
      <c r="B44" s="77">
        <v>12.895</v>
      </c>
      <c r="C44" s="77">
        <v>1.58</v>
      </c>
      <c r="D44" s="77">
        <v>0</v>
      </c>
      <c r="E44" s="77">
        <v>0</v>
      </c>
      <c r="F44" s="77">
        <v>0</v>
      </c>
      <c r="G44" s="77">
        <v>0</v>
      </c>
    </row>
    <row r="45" spans="1:7" x14ac:dyDescent="0.15">
      <c r="A45" s="74" t="s">
        <v>276</v>
      </c>
      <c r="B45" s="77">
        <v>0</v>
      </c>
      <c r="C45" s="77">
        <v>0</v>
      </c>
      <c r="D45" s="77">
        <v>31.216000000000001</v>
      </c>
      <c r="E45" s="77">
        <v>30.484000000000002</v>
      </c>
      <c r="F45" s="77">
        <v>37.700000000000003</v>
      </c>
      <c r="G45" s="77">
        <v>32.5</v>
      </c>
    </row>
    <row r="46" spans="1:7" x14ac:dyDescent="0.15">
      <c r="A46" s="74" t="s">
        <v>165</v>
      </c>
      <c r="B46" s="77">
        <v>58.935000000000002</v>
      </c>
      <c r="C46" s="77">
        <v>70.897000000000006</v>
      </c>
      <c r="D46" s="77">
        <v>37.131</v>
      </c>
      <c r="E46" s="77">
        <v>32.53</v>
      </c>
      <c r="F46" s="77">
        <v>50.3</v>
      </c>
      <c r="G46" s="77">
        <v>47.8</v>
      </c>
    </row>
    <row r="47" spans="1:7" x14ac:dyDescent="0.15">
      <c r="A47" s="76" t="s">
        <v>166</v>
      </c>
      <c r="B47" s="84">
        <v>231.774</v>
      </c>
      <c r="C47" s="84">
        <v>216.04</v>
      </c>
      <c r="D47" s="84">
        <v>222.37299999999999</v>
      </c>
      <c r="E47" s="84">
        <v>223.08</v>
      </c>
      <c r="F47" s="84">
        <v>272.8</v>
      </c>
      <c r="G47" s="84">
        <v>290</v>
      </c>
    </row>
    <row r="48" spans="1:7" x14ac:dyDescent="0.15">
      <c r="A48" s="74"/>
      <c r="B48" s="74"/>
      <c r="C48" s="74"/>
      <c r="D48" s="74"/>
      <c r="E48" s="74"/>
      <c r="F48" s="74"/>
      <c r="G48" s="74"/>
    </row>
    <row r="49" spans="1:7" x14ac:dyDescent="0.15">
      <c r="A49" s="74" t="s">
        <v>167</v>
      </c>
      <c r="B49" s="77">
        <v>248</v>
      </c>
      <c r="C49" s="77">
        <v>209.71799999999999</v>
      </c>
      <c r="D49" s="77">
        <v>208.38300000000001</v>
      </c>
      <c r="E49" s="77">
        <v>181.048</v>
      </c>
      <c r="F49" s="77">
        <v>445.3</v>
      </c>
      <c r="G49" s="77">
        <v>432.9</v>
      </c>
    </row>
    <row r="50" spans="1:7" ht="12" x14ac:dyDescent="0.15">
      <c r="A50" s="74" t="s">
        <v>310</v>
      </c>
      <c r="B50" s="77" t="s">
        <v>79</v>
      </c>
      <c r="C50" s="77" t="s">
        <v>79</v>
      </c>
      <c r="D50" s="77" t="s">
        <v>79</v>
      </c>
      <c r="E50" s="77" t="s">
        <v>79</v>
      </c>
      <c r="F50" s="77" t="s">
        <v>79</v>
      </c>
      <c r="G50" s="77">
        <v>87</v>
      </c>
    </row>
    <row r="51" spans="1:7" x14ac:dyDescent="0.15">
      <c r="A51" s="74" t="s">
        <v>294</v>
      </c>
      <c r="B51" s="77">
        <v>79.534999999999997</v>
      </c>
      <c r="C51" s="77">
        <v>69.734999999999999</v>
      </c>
      <c r="D51" s="77">
        <v>22.552</v>
      </c>
      <c r="E51" s="77">
        <v>25.245999999999999</v>
      </c>
      <c r="F51" s="77">
        <v>17.2</v>
      </c>
      <c r="G51" s="77">
        <v>25.6</v>
      </c>
    </row>
    <row r="52" spans="1:7" x14ac:dyDescent="0.15">
      <c r="A52" s="74" t="s">
        <v>168</v>
      </c>
      <c r="B52" s="77">
        <v>64.203000000000003</v>
      </c>
      <c r="C52" s="77">
        <v>75.959000000000003</v>
      </c>
      <c r="D52" s="77">
        <v>76.853999999999999</v>
      </c>
      <c r="E52" s="77">
        <v>54.670999999999999</v>
      </c>
      <c r="F52" s="77">
        <v>86.5</v>
      </c>
      <c r="G52" s="77">
        <v>87.5</v>
      </c>
    </row>
    <row r="53" spans="1:7" x14ac:dyDescent="0.15">
      <c r="A53" s="74" t="s">
        <v>169</v>
      </c>
      <c r="B53" s="77">
        <v>32.213000000000001</v>
      </c>
      <c r="C53" s="77">
        <v>26.876999999999999</v>
      </c>
      <c r="D53" s="77">
        <v>18.981999999999999</v>
      </c>
      <c r="E53" s="77">
        <v>18.266999999999999</v>
      </c>
      <c r="F53" s="77">
        <v>18.600000000000001</v>
      </c>
      <c r="G53" s="77">
        <v>7.3</v>
      </c>
    </row>
    <row r="54" spans="1:7" x14ac:dyDescent="0.15">
      <c r="A54" s="76" t="s">
        <v>170</v>
      </c>
      <c r="B54" s="84">
        <v>655.72500000000002</v>
      </c>
      <c r="C54" s="84">
        <v>598.32899999999995</v>
      </c>
      <c r="D54" s="84">
        <v>549.14400000000001</v>
      </c>
      <c r="E54" s="84">
        <v>502.31200000000001</v>
      </c>
      <c r="F54" s="84">
        <v>840.4</v>
      </c>
      <c r="G54" s="84">
        <v>930.3</v>
      </c>
    </row>
    <row r="55" spans="1:7" x14ac:dyDescent="0.15">
      <c r="A55" s="74"/>
      <c r="B55" s="74"/>
      <c r="C55" s="74"/>
      <c r="D55" s="74"/>
      <c r="E55" s="74"/>
      <c r="F55" s="74"/>
      <c r="G55" s="74"/>
    </row>
    <row r="56" spans="1:7" x14ac:dyDescent="0.15">
      <c r="A56" s="74" t="s">
        <v>171</v>
      </c>
      <c r="B56" s="77">
        <v>0.48699999999999999</v>
      </c>
      <c r="C56" s="77">
        <v>0.48799999999999999</v>
      </c>
      <c r="D56" s="77">
        <v>0.49099999999999999</v>
      </c>
      <c r="E56" s="77">
        <v>0.49299999999999999</v>
      </c>
      <c r="F56" s="77">
        <v>0.5</v>
      </c>
      <c r="G56" s="77">
        <v>0.5</v>
      </c>
    </row>
    <row r="57" spans="1:7" x14ac:dyDescent="0.15">
      <c r="A57" s="74" t="s">
        <v>172</v>
      </c>
      <c r="B57" s="77">
        <v>41.143000000000001</v>
      </c>
      <c r="C57" s="77">
        <v>47.164999999999999</v>
      </c>
      <c r="D57" s="77">
        <v>55.148000000000003</v>
      </c>
      <c r="E57" s="77">
        <v>54.454999999999998</v>
      </c>
      <c r="F57" s="77">
        <v>58.8</v>
      </c>
      <c r="G57" s="77">
        <v>66.8</v>
      </c>
    </row>
    <row r="58" spans="1:7" x14ac:dyDescent="0.15">
      <c r="A58" s="74" t="s">
        <v>173</v>
      </c>
      <c r="B58" s="77">
        <v>204.06299999999999</v>
      </c>
      <c r="C58" s="77">
        <v>244.947</v>
      </c>
      <c r="D58" s="77">
        <v>297.01100000000002</v>
      </c>
      <c r="E58" s="77">
        <v>347.30399999999997</v>
      </c>
      <c r="F58" s="77">
        <v>395.4</v>
      </c>
      <c r="G58" s="77">
        <v>429.7</v>
      </c>
    </row>
    <row r="59" spans="1:7" ht="12" x14ac:dyDescent="0.15">
      <c r="A59" s="74" t="s">
        <v>174</v>
      </c>
      <c r="B59" s="77" t="s">
        <v>79</v>
      </c>
      <c r="C59" s="77" t="s">
        <v>79</v>
      </c>
      <c r="D59" s="77" t="s">
        <v>79</v>
      </c>
      <c r="E59" s="77" t="s">
        <v>79</v>
      </c>
      <c r="F59" s="77" t="s">
        <v>79</v>
      </c>
      <c r="G59" s="77" t="s">
        <v>79</v>
      </c>
    </row>
    <row r="60" spans="1:7" x14ac:dyDescent="0.15">
      <c r="A60" s="74" t="s">
        <v>175</v>
      </c>
      <c r="B60" s="77">
        <v>-32.700000000000003</v>
      </c>
      <c r="C60" s="77">
        <v>-37.299999999999997</v>
      </c>
      <c r="D60" s="77">
        <v>-43.4</v>
      </c>
      <c r="E60" s="77">
        <v>-43.8</v>
      </c>
      <c r="F60" s="77">
        <v>-68.400000000000006</v>
      </c>
      <c r="G60" s="77">
        <v>-69.400000000000006</v>
      </c>
    </row>
    <row r="61" spans="1:7" x14ac:dyDescent="0.15">
      <c r="A61" s="76" t="s">
        <v>176</v>
      </c>
      <c r="B61" s="84">
        <v>213.011</v>
      </c>
      <c r="C61" s="84">
        <v>255.28200000000001</v>
      </c>
      <c r="D61" s="84">
        <v>309.24700000000001</v>
      </c>
      <c r="E61" s="84">
        <v>358.47800000000001</v>
      </c>
      <c r="F61" s="84">
        <v>386.3</v>
      </c>
      <c r="G61" s="84">
        <v>427.6</v>
      </c>
    </row>
    <row r="62" spans="1:7" x14ac:dyDescent="0.15">
      <c r="A62" s="74"/>
      <c r="B62" s="74"/>
      <c r="C62" s="74"/>
      <c r="D62" s="74"/>
      <c r="E62" s="74"/>
      <c r="F62" s="74"/>
      <c r="G62" s="74"/>
    </row>
    <row r="63" spans="1:7" ht="12" x14ac:dyDescent="0.15">
      <c r="A63" s="74" t="s">
        <v>177</v>
      </c>
      <c r="B63" s="77">
        <v>0.20699999999999999</v>
      </c>
      <c r="C63" s="77">
        <v>0.192</v>
      </c>
      <c r="D63" s="77">
        <v>0.222</v>
      </c>
      <c r="E63" s="77">
        <v>0.251</v>
      </c>
      <c r="F63" s="77">
        <v>0.2</v>
      </c>
      <c r="G63" s="77" t="s">
        <v>79</v>
      </c>
    </row>
    <row r="64" spans="1:7" x14ac:dyDescent="0.15">
      <c r="A64" s="74"/>
      <c r="B64" s="74"/>
      <c r="C64" s="74"/>
      <c r="D64" s="74"/>
      <c r="E64" s="74"/>
      <c r="F64" s="74"/>
      <c r="G64" s="74"/>
    </row>
    <row r="65" spans="1:7" x14ac:dyDescent="0.15">
      <c r="A65" s="76" t="s">
        <v>178</v>
      </c>
      <c r="B65" s="98">
        <v>213.21799999999999</v>
      </c>
      <c r="C65" s="98">
        <v>255.47399999999999</v>
      </c>
      <c r="D65" s="98">
        <v>309.46899999999999</v>
      </c>
      <c r="E65" s="98">
        <v>358.72899999999998</v>
      </c>
      <c r="F65" s="98">
        <v>386.5</v>
      </c>
      <c r="G65" s="98">
        <v>427.6</v>
      </c>
    </row>
    <row r="66" spans="1:7" x14ac:dyDescent="0.15">
      <c r="A66" s="74"/>
      <c r="B66" s="74"/>
      <c r="C66" s="74"/>
      <c r="D66" s="74"/>
      <c r="E66" s="74"/>
      <c r="F66" s="74"/>
      <c r="G66" s="74"/>
    </row>
    <row r="67" spans="1:7" x14ac:dyDescent="0.15">
      <c r="A67" s="76" t="s">
        <v>179</v>
      </c>
      <c r="B67" s="97">
        <v>868.94299999999998</v>
      </c>
      <c r="C67" s="97">
        <v>853.803</v>
      </c>
      <c r="D67" s="97">
        <v>858.61300000000006</v>
      </c>
      <c r="E67" s="97">
        <v>861.04100000000005</v>
      </c>
      <c r="F67" s="97">
        <v>1226.9000000000001</v>
      </c>
      <c r="G67" s="97">
        <v>1357.9</v>
      </c>
    </row>
    <row r="68" spans="1:7" x14ac:dyDescent="0.15">
      <c r="A68" s="74"/>
      <c r="B68" s="74"/>
      <c r="C68" s="74"/>
      <c r="D68" s="74"/>
      <c r="E68" s="74"/>
      <c r="F68" s="74"/>
      <c r="G68" s="74"/>
    </row>
    <row r="69" spans="1:7" x14ac:dyDescent="0.15">
      <c r="A69" s="76" t="s">
        <v>120</v>
      </c>
      <c r="B69" s="74"/>
      <c r="C69" s="74"/>
      <c r="D69" s="74"/>
      <c r="E69" s="74"/>
      <c r="F69" s="74"/>
      <c r="G69" s="74"/>
    </row>
    <row r="70" spans="1:7" x14ac:dyDescent="0.15">
      <c r="A70" s="74" t="s">
        <v>180</v>
      </c>
      <c r="B70" s="77">
        <v>47.861204999999998</v>
      </c>
      <c r="C70" s="77">
        <v>47.828079000000002</v>
      </c>
      <c r="D70" s="77">
        <v>48.101168000000001</v>
      </c>
      <c r="E70" s="77">
        <v>48.596046999999999</v>
      </c>
      <c r="F70" s="77">
        <v>48.827710000000003</v>
      </c>
      <c r="G70" s="77">
        <v>49.061937</v>
      </c>
    </row>
    <row r="71" spans="1:7" x14ac:dyDescent="0.15">
      <c r="A71" s="74" t="s">
        <v>181</v>
      </c>
      <c r="B71" s="77">
        <v>47.48751</v>
      </c>
      <c r="C71" s="77">
        <v>47.828079000000002</v>
      </c>
      <c r="D71" s="77">
        <v>48.102328</v>
      </c>
      <c r="E71" s="77">
        <v>48.497942000000002</v>
      </c>
      <c r="F71" s="77">
        <v>48.705925999999998</v>
      </c>
      <c r="G71" s="77">
        <v>48.878999999999998</v>
      </c>
    </row>
    <row r="72" spans="1:7" x14ac:dyDescent="0.15">
      <c r="A72" s="74" t="s">
        <v>182</v>
      </c>
      <c r="B72" s="81">
        <v>4.49</v>
      </c>
      <c r="C72" s="81">
        <v>5.34</v>
      </c>
      <c r="D72" s="81">
        <v>6.43</v>
      </c>
      <c r="E72" s="81">
        <v>7.39</v>
      </c>
      <c r="F72" s="81">
        <v>7.93</v>
      </c>
      <c r="G72" s="81">
        <v>8.75</v>
      </c>
    </row>
    <row r="73" spans="1:7" x14ac:dyDescent="0.15">
      <c r="A73" s="74" t="s">
        <v>183</v>
      </c>
      <c r="B73" s="77">
        <v>-169.6</v>
      </c>
      <c r="C73" s="77">
        <v>-112.6</v>
      </c>
      <c r="D73" s="77">
        <v>-74</v>
      </c>
      <c r="E73" s="77">
        <v>-22.2</v>
      </c>
      <c r="F73" s="77">
        <v>-288.39999999999998</v>
      </c>
      <c r="G73" s="77">
        <v>-252.7</v>
      </c>
    </row>
    <row r="74" spans="1:7" x14ac:dyDescent="0.15">
      <c r="A74" s="74" t="s">
        <v>184</v>
      </c>
      <c r="B74" s="81">
        <v>-3.57</v>
      </c>
      <c r="C74" s="81">
        <v>-2.35</v>
      </c>
      <c r="D74" s="81">
        <v>-1.54</v>
      </c>
      <c r="E74" s="81">
        <v>-0.46</v>
      </c>
      <c r="F74" s="81">
        <v>-5.92</v>
      </c>
      <c r="G74" s="81">
        <v>-5.17</v>
      </c>
    </row>
    <row r="75" spans="1:7" x14ac:dyDescent="0.15">
      <c r="A75" s="74" t="s">
        <v>185</v>
      </c>
      <c r="B75" s="77">
        <v>258</v>
      </c>
      <c r="C75" s="77">
        <v>219.71799999999999</v>
      </c>
      <c r="D75" s="77">
        <v>218.38300000000001</v>
      </c>
      <c r="E75" s="77">
        <v>191.048</v>
      </c>
      <c r="F75" s="77">
        <v>462.8</v>
      </c>
      <c r="G75" s="77">
        <v>560.29999999999995</v>
      </c>
    </row>
    <row r="76" spans="1:7" x14ac:dyDescent="0.15">
      <c r="A76" s="74" t="s">
        <v>186</v>
      </c>
      <c r="B76" s="77">
        <v>238.97900000000001</v>
      </c>
      <c r="C76" s="77">
        <v>215.52600000000001</v>
      </c>
      <c r="D76" s="77">
        <v>208.529</v>
      </c>
      <c r="E76" s="77">
        <v>188.845</v>
      </c>
      <c r="F76" s="77">
        <v>461.2</v>
      </c>
      <c r="G76" s="77">
        <v>551.79999999999995</v>
      </c>
    </row>
    <row r="77" spans="1:7" x14ac:dyDescent="0.15">
      <c r="A77" s="74" t="s">
        <v>295</v>
      </c>
      <c r="B77" s="77">
        <v>70.554000000000002</v>
      </c>
      <c r="C77" s="77">
        <v>63.253</v>
      </c>
      <c r="D77" s="77">
        <v>17.166</v>
      </c>
      <c r="E77" s="77">
        <v>21.670999999999999</v>
      </c>
      <c r="F77" s="77">
        <v>9.6999999999999993</v>
      </c>
      <c r="G77" s="77">
        <v>22</v>
      </c>
    </row>
    <row r="78" spans="1:7" x14ac:dyDescent="0.15">
      <c r="A78" s="74" t="s">
        <v>187</v>
      </c>
      <c r="B78" s="77">
        <v>230.4</v>
      </c>
      <c r="C78" s="77">
        <v>228.8</v>
      </c>
      <c r="D78" s="77">
        <v>238.4</v>
      </c>
      <c r="E78" s="77">
        <v>231.2</v>
      </c>
      <c r="F78" s="77">
        <v>256.8</v>
      </c>
      <c r="G78" s="77">
        <v>253.6</v>
      </c>
    </row>
    <row r="79" spans="1:7" ht="12" x14ac:dyDescent="0.15">
      <c r="A79" s="74" t="s">
        <v>188</v>
      </c>
      <c r="B79" s="77">
        <v>0.20699999999999999</v>
      </c>
      <c r="C79" s="77">
        <v>0.192</v>
      </c>
      <c r="D79" s="77">
        <v>0.222</v>
      </c>
      <c r="E79" s="77">
        <v>0.251</v>
      </c>
      <c r="F79" s="77">
        <v>0.2</v>
      </c>
      <c r="G79" s="77" t="s">
        <v>119</v>
      </c>
    </row>
    <row r="80" spans="1:7" ht="12" x14ac:dyDescent="0.15">
      <c r="A80" s="74" t="s">
        <v>189</v>
      </c>
      <c r="B80" s="78" t="s">
        <v>296</v>
      </c>
      <c r="C80" s="78" t="s">
        <v>296</v>
      </c>
      <c r="D80" s="78" t="s">
        <v>296</v>
      </c>
      <c r="E80" s="78" t="s">
        <v>296</v>
      </c>
      <c r="F80" s="78" t="s">
        <v>296</v>
      </c>
      <c r="G80" s="78" t="s">
        <v>296</v>
      </c>
    </row>
    <row r="81" spans="1:7" x14ac:dyDescent="0.15">
      <c r="A81" s="74" t="s">
        <v>297</v>
      </c>
      <c r="B81" s="77">
        <v>54.375999999999998</v>
      </c>
      <c r="C81" s="77">
        <v>58.411999999999999</v>
      </c>
      <c r="D81" s="77">
        <v>60.216999999999999</v>
      </c>
      <c r="E81" s="77">
        <v>58.725000000000001</v>
      </c>
      <c r="F81" s="77">
        <v>65.2</v>
      </c>
      <c r="G81" s="77">
        <v>58.7</v>
      </c>
    </row>
    <row r="82" spans="1:7" x14ac:dyDescent="0.15">
      <c r="A82" s="74" t="s">
        <v>298</v>
      </c>
      <c r="B82" s="77">
        <v>7.2649999999999997</v>
      </c>
      <c r="C82" s="77">
        <v>7.47</v>
      </c>
      <c r="D82" s="77">
        <v>7.1859999999999999</v>
      </c>
      <c r="E82" s="77">
        <v>6.9429999999999996</v>
      </c>
      <c r="F82" s="77">
        <v>8.3000000000000007</v>
      </c>
      <c r="G82" s="77">
        <v>8.1</v>
      </c>
    </row>
    <row r="83" spans="1:7" x14ac:dyDescent="0.15">
      <c r="A83" s="74" t="s">
        <v>299</v>
      </c>
      <c r="B83" s="77">
        <v>79.194000000000003</v>
      </c>
      <c r="C83" s="77">
        <v>74.915999999999997</v>
      </c>
      <c r="D83" s="77">
        <v>74.668999999999997</v>
      </c>
      <c r="E83" s="77">
        <v>79.277000000000001</v>
      </c>
      <c r="F83" s="77">
        <v>97</v>
      </c>
      <c r="G83" s="77">
        <v>129.1</v>
      </c>
    </row>
    <row r="84" spans="1:7" x14ac:dyDescent="0.15">
      <c r="A84" s="74" t="s">
        <v>190</v>
      </c>
      <c r="B84" s="77">
        <v>13.138</v>
      </c>
      <c r="C84" s="77">
        <v>11.826000000000001</v>
      </c>
      <c r="D84" s="77">
        <v>11.93</v>
      </c>
      <c r="E84" s="77">
        <v>12.489000000000001</v>
      </c>
      <c r="F84" s="77">
        <v>12</v>
      </c>
      <c r="G84" s="77">
        <v>16</v>
      </c>
    </row>
    <row r="85" spans="1:7" x14ac:dyDescent="0.15">
      <c r="A85" s="74" t="s">
        <v>191</v>
      </c>
      <c r="B85" s="77">
        <v>66.262</v>
      </c>
      <c r="C85" s="77">
        <v>63.122</v>
      </c>
      <c r="D85" s="77">
        <v>63.749000000000002</v>
      </c>
      <c r="E85" s="77">
        <v>67.465000000000003</v>
      </c>
      <c r="F85" s="77">
        <v>68.900000000000006</v>
      </c>
      <c r="G85" s="77">
        <v>71.900000000000006</v>
      </c>
    </row>
    <row r="86" spans="1:7" x14ac:dyDescent="0.15">
      <c r="A86" s="74" t="s">
        <v>192</v>
      </c>
      <c r="B86" s="77">
        <v>261.41500000000002</v>
      </c>
      <c r="C86" s="77">
        <v>254.79400000000001</v>
      </c>
      <c r="D86" s="77">
        <v>247.21700000000001</v>
      </c>
      <c r="E86" s="77">
        <v>262.13200000000001</v>
      </c>
      <c r="F86" s="77">
        <v>256.7</v>
      </c>
      <c r="G86" s="77">
        <v>263.60000000000002</v>
      </c>
    </row>
    <row r="87" spans="1:7" x14ac:dyDescent="0.15">
      <c r="A87" s="74" t="s">
        <v>283</v>
      </c>
      <c r="B87" s="77">
        <v>23.684000000000001</v>
      </c>
      <c r="C87" s="77">
        <v>32.966999999999999</v>
      </c>
      <c r="D87" s="77">
        <v>55.89</v>
      </c>
      <c r="E87" s="77">
        <v>32.481000000000002</v>
      </c>
      <c r="F87" s="77">
        <v>52.7</v>
      </c>
      <c r="G87" s="77">
        <v>35</v>
      </c>
    </row>
    <row r="88" spans="1:7" x14ac:dyDescent="0.15">
      <c r="A88" s="74" t="s">
        <v>300</v>
      </c>
      <c r="B88" s="77">
        <v>40.765000000000001</v>
      </c>
      <c r="C88" s="77">
        <v>41.896999999999998</v>
      </c>
      <c r="D88" s="77">
        <v>46.125</v>
      </c>
      <c r="E88" s="77">
        <v>54.994999999999997</v>
      </c>
      <c r="F88" s="77">
        <v>59.6</v>
      </c>
      <c r="G88" s="77">
        <v>62.9</v>
      </c>
    </row>
    <row r="89" spans="1:7" x14ac:dyDescent="0.15">
      <c r="A89" s="74" t="s">
        <v>193</v>
      </c>
      <c r="B89" s="96">
        <v>3343</v>
      </c>
      <c r="C89" s="96">
        <v>3386</v>
      </c>
      <c r="D89" s="96">
        <v>3471</v>
      </c>
      <c r="E89" s="96">
        <v>3402</v>
      </c>
      <c r="F89" s="96">
        <v>3541</v>
      </c>
      <c r="G89" s="96">
        <v>3734</v>
      </c>
    </row>
    <row r="90" spans="1:7" x14ac:dyDescent="0.15">
      <c r="A90" s="74" t="s">
        <v>194</v>
      </c>
      <c r="B90" s="77">
        <v>7.1970000000000001</v>
      </c>
      <c r="C90" s="77">
        <v>7.9189999999999996</v>
      </c>
      <c r="D90" s="77">
        <v>8.0589999999999993</v>
      </c>
      <c r="E90" s="77">
        <v>4.0389999999999997</v>
      </c>
      <c r="F90" s="77">
        <v>3.7</v>
      </c>
      <c r="G90" s="77">
        <v>4</v>
      </c>
    </row>
    <row r="91" spans="1:7" ht="12" x14ac:dyDescent="0.15">
      <c r="A91" s="74" t="s">
        <v>275</v>
      </c>
      <c r="B91" s="77" t="s">
        <v>119</v>
      </c>
      <c r="C91" s="77" t="s">
        <v>119</v>
      </c>
      <c r="D91" s="77" t="s">
        <v>119</v>
      </c>
      <c r="E91" s="77" t="s">
        <v>119</v>
      </c>
      <c r="F91" s="77">
        <v>249.7</v>
      </c>
      <c r="G91" s="77">
        <v>249.6</v>
      </c>
    </row>
    <row r="92" spans="1:7" x14ac:dyDescent="0.15">
      <c r="A92" s="74" t="s">
        <v>131</v>
      </c>
      <c r="B92" s="79">
        <v>42795</v>
      </c>
      <c r="C92" s="79">
        <v>43158</v>
      </c>
      <c r="D92" s="79">
        <v>43522</v>
      </c>
      <c r="E92" s="79">
        <v>43882</v>
      </c>
      <c r="F92" s="79">
        <v>43882</v>
      </c>
      <c r="G92" s="79">
        <v>43882</v>
      </c>
    </row>
    <row r="93" spans="1:7" ht="12" x14ac:dyDescent="0.15">
      <c r="A93" s="74" t="s">
        <v>132</v>
      </c>
      <c r="B93" s="78" t="s">
        <v>133</v>
      </c>
      <c r="C93" s="78" t="s">
        <v>195</v>
      </c>
      <c r="D93" s="78" t="s">
        <v>133</v>
      </c>
      <c r="E93" s="78" t="s">
        <v>133</v>
      </c>
      <c r="F93" s="78" t="s">
        <v>195</v>
      </c>
      <c r="G93" s="78" t="s">
        <v>134</v>
      </c>
    </row>
    <row r="94" spans="1:7" ht="12" x14ac:dyDescent="0.15">
      <c r="A94" s="74" t="s">
        <v>135</v>
      </c>
      <c r="B94" s="78" t="s">
        <v>196</v>
      </c>
      <c r="C94" s="78" t="s">
        <v>196</v>
      </c>
      <c r="D94" s="78" t="s">
        <v>196</v>
      </c>
      <c r="E94" s="78" t="s">
        <v>196</v>
      </c>
      <c r="F94" s="78" t="s">
        <v>136</v>
      </c>
      <c r="G94" s="78" t="s">
        <v>136</v>
      </c>
    </row>
    <row r="95" spans="1:7" x14ac:dyDescent="0.15">
      <c r="A95" s="74"/>
      <c r="B95" s="74"/>
      <c r="C95" s="74"/>
      <c r="D95" s="74"/>
      <c r="E95" s="74"/>
      <c r="F95" s="74"/>
      <c r="G95" s="74"/>
    </row>
    <row r="96" spans="1:7" x14ac:dyDescent="0.15">
      <c r="A96" s="73"/>
      <c r="B96" s="73"/>
      <c r="C96" s="73"/>
      <c r="D96" s="73"/>
      <c r="E96" s="73"/>
      <c r="F96" s="73"/>
      <c r="G96" s="73"/>
    </row>
    <row r="97" spans="1:1" x14ac:dyDescent="0.15">
      <c r="A97" s="71" t="s">
        <v>197</v>
      </c>
    </row>
    <row r="98" spans="1:1" x14ac:dyDescent="0.15">
      <c r="A98" s="72" t="s">
        <v>144</v>
      </c>
    </row>
    <row r="1000" spans="648:648" ht="16" x14ac:dyDescent="0.2">
      <c r="XX1000" s="153">
        <v>63803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922D-5F5E-4C71-8CBF-8AD551A6054E}">
  <sheetPr>
    <tabColor rgb="FFFFFF00"/>
    <outlinePr summaryBelow="0" summaryRight="0"/>
    <pageSetUpPr autoPageBreaks="0"/>
  </sheetPr>
  <dimension ref="A5:XX1000"/>
  <sheetViews>
    <sheetView topLeftCell="A11" workbookViewId="0">
      <selection activeCell="A74" sqref="A1:G74"/>
    </sheetView>
  </sheetViews>
  <sheetFormatPr baseColWidth="10" defaultColWidth="9" defaultRowHeight="11" x14ac:dyDescent="0.15"/>
  <cols>
    <col min="1" max="1" width="45.83203125" style="71" customWidth="1"/>
    <col min="2" max="7" width="14.83203125" style="71" customWidth="1"/>
    <col min="8" max="16384" width="9" style="71"/>
  </cols>
  <sheetData>
    <row r="5" spans="1:255" ht="17" x14ac:dyDescent="0.2">
      <c r="A5" s="95"/>
    </row>
    <row r="7" spans="1:255" ht="12" x14ac:dyDescent="0.15">
      <c r="A7" s="94" t="s">
        <v>54</v>
      </c>
      <c r="B7" s="92" t="s">
        <v>55</v>
      </c>
      <c r="C7" s="71" t="s">
        <v>56</v>
      </c>
      <c r="D7" s="74" t="s">
        <v>57</v>
      </c>
      <c r="E7" s="92" t="s">
        <v>58</v>
      </c>
      <c r="F7" s="71" t="s">
        <v>59</v>
      </c>
    </row>
    <row r="8" spans="1:255" x14ac:dyDescent="0.15">
      <c r="A8" s="74"/>
      <c r="B8" s="92" t="s">
        <v>60</v>
      </c>
      <c r="C8" s="71" t="s">
        <v>61</v>
      </c>
      <c r="D8" s="74" t="s">
        <v>57</v>
      </c>
      <c r="E8" s="92" t="s">
        <v>62</v>
      </c>
      <c r="F8" s="71" t="s">
        <v>63</v>
      </c>
    </row>
    <row r="9" spans="1:255" x14ac:dyDescent="0.15">
      <c r="A9" s="74"/>
      <c r="B9" s="92" t="s">
        <v>64</v>
      </c>
      <c r="C9" s="71" t="s">
        <v>65</v>
      </c>
      <c r="D9" s="74" t="s">
        <v>57</v>
      </c>
      <c r="E9" s="92" t="s">
        <v>66</v>
      </c>
      <c r="F9" s="71" t="s">
        <v>309</v>
      </c>
    </row>
    <row r="10" spans="1:255" x14ac:dyDescent="0.15">
      <c r="A10" s="74"/>
      <c r="B10" s="92" t="s">
        <v>67</v>
      </c>
      <c r="C10" s="71" t="s">
        <v>68</v>
      </c>
      <c r="D10" s="74" t="s">
        <v>57</v>
      </c>
      <c r="E10" s="92" t="s">
        <v>69</v>
      </c>
      <c r="F10" s="93" t="s">
        <v>70</v>
      </c>
    </row>
    <row r="11" spans="1:255" x14ac:dyDescent="0.15">
      <c r="A11" s="74"/>
      <c r="B11" s="92" t="s">
        <v>71</v>
      </c>
      <c r="C11" s="71" t="s">
        <v>72</v>
      </c>
      <c r="D11" s="74" t="s">
        <v>57</v>
      </c>
      <c r="E11" s="91"/>
      <c r="F11" s="91"/>
    </row>
    <row r="14" spans="1:255" x14ac:dyDescent="0.15">
      <c r="A14" s="90" t="s">
        <v>198</v>
      </c>
      <c r="B14" s="90"/>
      <c r="C14" s="90"/>
      <c r="D14" s="90"/>
      <c r="E14" s="90"/>
      <c r="F14" s="90"/>
      <c r="G14" s="90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89"/>
      <c r="IT14" s="89"/>
      <c r="IU14" s="89"/>
    </row>
    <row r="15" spans="1:255" ht="36" x14ac:dyDescent="0.15">
      <c r="A15" s="88" t="s">
        <v>73</v>
      </c>
      <c r="B15" s="87" t="s">
        <v>74</v>
      </c>
      <c r="C15" s="87" t="s">
        <v>274</v>
      </c>
      <c r="D15" s="87" t="s">
        <v>308</v>
      </c>
      <c r="E15" s="87" t="s">
        <v>334</v>
      </c>
      <c r="F15" s="87" t="s">
        <v>335</v>
      </c>
      <c r="G15" s="87" t="s">
        <v>336</v>
      </c>
    </row>
    <row r="16" spans="1:255" ht="12" x14ac:dyDescent="0.15">
      <c r="A16" s="86" t="s">
        <v>75</v>
      </c>
      <c r="B16" s="85" t="s">
        <v>76</v>
      </c>
      <c r="C16" s="85" t="s">
        <v>76</v>
      </c>
      <c r="D16" s="85" t="s">
        <v>76</v>
      </c>
      <c r="E16" s="85" t="s">
        <v>76</v>
      </c>
      <c r="F16" s="85" t="s">
        <v>76</v>
      </c>
      <c r="G16" s="85" t="s">
        <v>76</v>
      </c>
    </row>
    <row r="17" spans="1:7" x14ac:dyDescent="0.15">
      <c r="A17" s="76" t="s">
        <v>77</v>
      </c>
      <c r="B17" s="74"/>
      <c r="C17" s="74"/>
      <c r="D17" s="74"/>
      <c r="E17" s="74"/>
      <c r="F17" s="74"/>
      <c r="G17" s="74"/>
    </row>
    <row r="18" spans="1:7" x14ac:dyDescent="0.15">
      <c r="A18" s="76" t="s">
        <v>15</v>
      </c>
      <c r="B18" s="75">
        <v>46.595999999999997</v>
      </c>
      <c r="C18" s="75">
        <v>65.962999999999994</v>
      </c>
      <c r="D18" s="75">
        <v>82.084000000000003</v>
      </c>
      <c r="E18" s="75">
        <v>80.2</v>
      </c>
      <c r="F18" s="75">
        <v>73.3</v>
      </c>
      <c r="G18" s="75">
        <v>67.5</v>
      </c>
    </row>
    <row r="19" spans="1:7" x14ac:dyDescent="0.15">
      <c r="A19" s="74" t="s">
        <v>85</v>
      </c>
      <c r="B19" s="77">
        <v>16.327000000000002</v>
      </c>
      <c r="C19" s="77">
        <v>17.364000000000001</v>
      </c>
      <c r="D19" s="77">
        <v>19.071000000000002</v>
      </c>
      <c r="E19" s="77">
        <v>22.7</v>
      </c>
      <c r="F19" s="77">
        <v>25.5</v>
      </c>
      <c r="G19" s="77">
        <v>29.6</v>
      </c>
    </row>
    <row r="20" spans="1:7" x14ac:dyDescent="0.15">
      <c r="A20" s="74" t="s">
        <v>199</v>
      </c>
      <c r="B20" s="77">
        <v>3.0150000000000001</v>
      </c>
      <c r="C20" s="77">
        <v>3.2149999999999999</v>
      </c>
      <c r="D20" s="77">
        <v>3.254</v>
      </c>
      <c r="E20" s="77">
        <v>3.2</v>
      </c>
      <c r="F20" s="77">
        <v>8.6999999999999993</v>
      </c>
      <c r="G20" s="77">
        <v>8.9</v>
      </c>
    </row>
    <row r="21" spans="1:7" x14ac:dyDescent="0.15">
      <c r="A21" s="76" t="s">
        <v>200</v>
      </c>
      <c r="B21" s="84">
        <v>19.341999999999999</v>
      </c>
      <c r="C21" s="84">
        <v>20.579000000000001</v>
      </c>
      <c r="D21" s="84">
        <v>22.324999999999999</v>
      </c>
      <c r="E21" s="84">
        <v>25.9</v>
      </c>
      <c r="F21" s="84">
        <v>34.200000000000003</v>
      </c>
      <c r="G21" s="84">
        <v>38.5</v>
      </c>
    </row>
    <row r="22" spans="1:7" x14ac:dyDescent="0.15">
      <c r="A22" s="74"/>
      <c r="B22" s="74"/>
      <c r="C22" s="74"/>
      <c r="D22" s="74"/>
      <c r="E22" s="74"/>
      <c r="F22" s="74"/>
      <c r="G22" s="74"/>
    </row>
    <row r="23" spans="1:7" x14ac:dyDescent="0.15">
      <c r="A23" s="74" t="s">
        <v>301</v>
      </c>
      <c r="B23" s="77">
        <v>1.0469999999999999</v>
      </c>
      <c r="C23" s="77">
        <v>0.7</v>
      </c>
      <c r="D23" s="77">
        <v>0.7</v>
      </c>
      <c r="E23" s="77">
        <v>0.7</v>
      </c>
      <c r="F23" s="77">
        <v>1.1000000000000001</v>
      </c>
      <c r="G23" s="77">
        <v>1</v>
      </c>
    </row>
    <row r="24" spans="1:7" ht="12" x14ac:dyDescent="0.15">
      <c r="A24" s="74" t="s">
        <v>201</v>
      </c>
      <c r="B24" s="77">
        <v>0.46400000000000002</v>
      </c>
      <c r="C24" s="77">
        <v>1.2290000000000001</v>
      </c>
      <c r="D24" s="77">
        <v>5.0000000000000001E-3</v>
      </c>
      <c r="E24" s="77" t="s">
        <v>79</v>
      </c>
      <c r="F24" s="77" t="s">
        <v>79</v>
      </c>
      <c r="G24" s="77" t="s">
        <v>79</v>
      </c>
    </row>
    <row r="25" spans="1:7" ht="12" x14ac:dyDescent="0.15">
      <c r="A25" s="74" t="s">
        <v>202</v>
      </c>
      <c r="B25" s="77" t="s">
        <v>79</v>
      </c>
      <c r="C25" s="77">
        <v>10.65</v>
      </c>
      <c r="D25" s="77" t="s">
        <v>79</v>
      </c>
      <c r="E25" s="77">
        <v>16.3</v>
      </c>
      <c r="F25" s="77" t="s">
        <v>79</v>
      </c>
      <c r="G25" s="77">
        <v>6.5</v>
      </c>
    </row>
    <row r="26" spans="1:7" x14ac:dyDescent="0.15">
      <c r="A26" s="74" t="s">
        <v>203</v>
      </c>
      <c r="B26" s="77">
        <v>8.0619999999999994</v>
      </c>
      <c r="C26" s="77">
        <v>8.1660000000000004</v>
      </c>
      <c r="D26" s="77">
        <v>10.468999999999999</v>
      </c>
      <c r="E26" s="77">
        <v>9.6999999999999993</v>
      </c>
      <c r="F26" s="77">
        <v>9.1999999999999993</v>
      </c>
      <c r="G26" s="77">
        <v>10.8</v>
      </c>
    </row>
    <row r="27" spans="1:7" ht="12" x14ac:dyDescent="0.15">
      <c r="A27" s="74" t="s">
        <v>302</v>
      </c>
      <c r="B27" s="77">
        <v>2.59</v>
      </c>
      <c r="C27" s="77">
        <v>1.4770000000000001</v>
      </c>
      <c r="D27" s="77">
        <v>6.3029999999999999</v>
      </c>
      <c r="E27" s="77" t="s">
        <v>79</v>
      </c>
      <c r="F27" s="77" t="s">
        <v>79</v>
      </c>
      <c r="G27" s="77" t="s">
        <v>79</v>
      </c>
    </row>
    <row r="28" spans="1:7" x14ac:dyDescent="0.15">
      <c r="A28" s="74" t="s">
        <v>204</v>
      </c>
      <c r="B28" s="77">
        <v>-5.2</v>
      </c>
      <c r="C28" s="77">
        <v>-6</v>
      </c>
      <c r="D28" s="77">
        <v>29.248999999999999</v>
      </c>
      <c r="E28" s="77">
        <v>-12.4</v>
      </c>
      <c r="F28" s="77">
        <v>16.899999999999999</v>
      </c>
      <c r="G28" s="77">
        <v>25.9</v>
      </c>
    </row>
    <row r="29" spans="1:7" x14ac:dyDescent="0.15">
      <c r="A29" s="74" t="s">
        <v>205</v>
      </c>
      <c r="B29" s="77">
        <v>-13.8</v>
      </c>
      <c r="C29" s="77">
        <v>-4.3</v>
      </c>
      <c r="D29" s="77">
        <v>26.591000000000001</v>
      </c>
      <c r="E29" s="77">
        <v>-5.5</v>
      </c>
      <c r="F29" s="77">
        <v>-25</v>
      </c>
      <c r="G29" s="77">
        <v>13</v>
      </c>
    </row>
    <row r="30" spans="1:7" x14ac:dyDescent="0.15">
      <c r="A30" s="74" t="s">
        <v>206</v>
      </c>
      <c r="B30" s="77">
        <v>-23.1</v>
      </c>
      <c r="C30" s="77">
        <v>-4.5</v>
      </c>
      <c r="D30" s="77">
        <v>-2.2000000000000002</v>
      </c>
      <c r="E30" s="77">
        <v>-4</v>
      </c>
      <c r="F30" s="77">
        <v>-16.2</v>
      </c>
      <c r="G30" s="77">
        <v>-20.9</v>
      </c>
    </row>
    <row r="31" spans="1:7" x14ac:dyDescent="0.15">
      <c r="A31" s="74" t="s">
        <v>207</v>
      </c>
      <c r="B31" s="77">
        <v>23.001999999999999</v>
      </c>
      <c r="C31" s="77">
        <v>-26.3</v>
      </c>
      <c r="D31" s="77">
        <v>4.5910000000000002</v>
      </c>
      <c r="E31" s="77">
        <v>12.1</v>
      </c>
      <c r="F31" s="77">
        <v>12.5</v>
      </c>
      <c r="G31" s="77">
        <v>-1.4</v>
      </c>
    </row>
    <row r="32" spans="1:7" ht="12" x14ac:dyDescent="0.15">
      <c r="A32" s="74" t="s">
        <v>303</v>
      </c>
      <c r="B32" s="77">
        <v>-5.5</v>
      </c>
      <c r="C32" s="77">
        <v>0.67500000000000004</v>
      </c>
      <c r="D32" s="77">
        <v>-6.9</v>
      </c>
      <c r="E32" s="77" t="s">
        <v>79</v>
      </c>
      <c r="F32" s="77" t="s">
        <v>79</v>
      </c>
      <c r="G32" s="77" t="s">
        <v>79</v>
      </c>
    </row>
    <row r="33" spans="1:7" x14ac:dyDescent="0.15">
      <c r="A33" s="74" t="s">
        <v>208</v>
      </c>
      <c r="B33" s="77">
        <v>34.688000000000002</v>
      </c>
      <c r="C33" s="77">
        <v>20.431000000000001</v>
      </c>
      <c r="D33" s="77">
        <v>-69</v>
      </c>
      <c r="E33" s="77">
        <v>-19.3</v>
      </c>
      <c r="F33" s="77">
        <v>2.2000000000000002</v>
      </c>
      <c r="G33" s="77">
        <v>-2.7</v>
      </c>
    </row>
    <row r="34" spans="1:7" x14ac:dyDescent="0.15">
      <c r="A34" s="76" t="s">
        <v>209</v>
      </c>
      <c r="B34" s="84">
        <v>88.227000000000004</v>
      </c>
      <c r="C34" s="84">
        <v>88.853999999999999</v>
      </c>
      <c r="D34" s="84">
        <v>104.295</v>
      </c>
      <c r="E34" s="84">
        <v>103.7</v>
      </c>
      <c r="F34" s="84">
        <v>108.2</v>
      </c>
      <c r="G34" s="84">
        <v>138.19999999999999</v>
      </c>
    </row>
    <row r="35" spans="1:7" x14ac:dyDescent="0.15">
      <c r="A35" s="74"/>
      <c r="B35" s="74"/>
      <c r="C35" s="74"/>
      <c r="D35" s="74"/>
      <c r="E35" s="74"/>
      <c r="F35" s="74"/>
      <c r="G35" s="74"/>
    </row>
    <row r="36" spans="1:7" x14ac:dyDescent="0.15">
      <c r="A36" s="74" t="s">
        <v>210</v>
      </c>
      <c r="B36" s="77">
        <v>-41.9</v>
      </c>
      <c r="C36" s="77">
        <v>-29.6</v>
      </c>
      <c r="D36" s="77">
        <v>-40.1</v>
      </c>
      <c r="E36" s="77">
        <v>-40.6</v>
      </c>
      <c r="F36" s="77">
        <v>-40.299999999999997</v>
      </c>
      <c r="G36" s="77">
        <v>-49.9</v>
      </c>
    </row>
    <row r="37" spans="1:7" ht="12" x14ac:dyDescent="0.15">
      <c r="A37" s="74" t="s">
        <v>312</v>
      </c>
      <c r="B37" s="77" t="s">
        <v>79</v>
      </c>
      <c r="C37" s="77" t="s">
        <v>79</v>
      </c>
      <c r="D37" s="77" t="s">
        <v>79</v>
      </c>
      <c r="E37" s="77" t="s">
        <v>79</v>
      </c>
      <c r="F37" s="77" t="s">
        <v>79</v>
      </c>
      <c r="G37" s="77">
        <v>0.1</v>
      </c>
    </row>
    <row r="38" spans="1:7" ht="12" x14ac:dyDescent="0.15">
      <c r="A38" s="74" t="s">
        <v>211</v>
      </c>
      <c r="B38" s="77">
        <v>-93.3</v>
      </c>
      <c r="C38" s="77" t="s">
        <v>79</v>
      </c>
      <c r="D38" s="77">
        <v>-18.5</v>
      </c>
      <c r="E38" s="77" t="s">
        <v>79</v>
      </c>
      <c r="F38" s="77">
        <v>-308</v>
      </c>
      <c r="G38" s="77">
        <v>-30.9</v>
      </c>
    </row>
    <row r="39" spans="1:7" ht="12" x14ac:dyDescent="0.15">
      <c r="A39" s="74" t="s">
        <v>212</v>
      </c>
      <c r="B39" s="77" t="s">
        <v>79</v>
      </c>
      <c r="C39" s="77" t="s">
        <v>79</v>
      </c>
      <c r="D39" s="77" t="s">
        <v>79</v>
      </c>
      <c r="E39" s="77" t="s">
        <v>79</v>
      </c>
      <c r="F39" s="77" t="s">
        <v>79</v>
      </c>
      <c r="G39" s="77" t="s">
        <v>79</v>
      </c>
    </row>
    <row r="40" spans="1:7" ht="12" x14ac:dyDescent="0.15">
      <c r="A40" s="74" t="s">
        <v>213</v>
      </c>
      <c r="B40" s="77" t="s">
        <v>79</v>
      </c>
      <c r="C40" s="77" t="s">
        <v>79</v>
      </c>
      <c r="D40" s="77" t="s">
        <v>79</v>
      </c>
      <c r="E40" s="77" t="s">
        <v>79</v>
      </c>
      <c r="F40" s="77" t="s">
        <v>79</v>
      </c>
      <c r="G40" s="77" t="s">
        <v>79</v>
      </c>
    </row>
    <row r="41" spans="1:7" ht="12" x14ac:dyDescent="0.15">
      <c r="A41" s="74" t="s">
        <v>214</v>
      </c>
      <c r="B41" s="77" t="s">
        <v>79</v>
      </c>
      <c r="C41" s="77" t="s">
        <v>79</v>
      </c>
      <c r="D41" s="77" t="s">
        <v>79</v>
      </c>
      <c r="E41" s="77" t="s">
        <v>79</v>
      </c>
      <c r="F41" s="77" t="s">
        <v>79</v>
      </c>
      <c r="G41" s="77" t="s">
        <v>79</v>
      </c>
    </row>
    <row r="42" spans="1:7" ht="12" x14ac:dyDescent="0.15">
      <c r="A42" s="74" t="s">
        <v>215</v>
      </c>
      <c r="B42" s="77" t="s">
        <v>79</v>
      </c>
      <c r="C42" s="77" t="s">
        <v>79</v>
      </c>
      <c r="D42" s="77" t="s">
        <v>79</v>
      </c>
      <c r="E42" s="77" t="s">
        <v>79</v>
      </c>
      <c r="F42" s="77" t="s">
        <v>79</v>
      </c>
      <c r="G42" s="77" t="s">
        <v>79</v>
      </c>
    </row>
    <row r="43" spans="1:7" x14ac:dyDescent="0.15">
      <c r="A43" s="76" t="s">
        <v>216</v>
      </c>
      <c r="B43" s="84">
        <v>-135.30000000000001</v>
      </c>
      <c r="C43" s="84">
        <v>-29.6</v>
      </c>
      <c r="D43" s="84">
        <v>-58.6</v>
      </c>
      <c r="E43" s="84">
        <v>-40.6</v>
      </c>
      <c r="F43" s="84">
        <v>-348.3</v>
      </c>
      <c r="G43" s="84">
        <v>-80.7</v>
      </c>
    </row>
    <row r="44" spans="1:7" x14ac:dyDescent="0.15">
      <c r="A44" s="74"/>
      <c r="B44" s="74"/>
      <c r="C44" s="74"/>
      <c r="D44" s="74"/>
      <c r="E44" s="74"/>
      <c r="F44" s="74"/>
      <c r="G44" s="74"/>
    </row>
    <row r="45" spans="1:7" ht="12" x14ac:dyDescent="0.15">
      <c r="A45" s="74" t="s">
        <v>217</v>
      </c>
      <c r="B45" s="77" t="s">
        <v>79</v>
      </c>
      <c r="C45" s="77" t="s">
        <v>79</v>
      </c>
      <c r="D45" s="77" t="s">
        <v>79</v>
      </c>
      <c r="E45" s="77" t="s">
        <v>79</v>
      </c>
      <c r="F45" s="77" t="s">
        <v>79</v>
      </c>
      <c r="G45" s="77" t="s">
        <v>79</v>
      </c>
    </row>
    <row r="46" spans="1:7" x14ac:dyDescent="0.15">
      <c r="A46" s="74" t="s">
        <v>218</v>
      </c>
      <c r="B46" s="77">
        <v>789</v>
      </c>
      <c r="C46" s="77">
        <v>309</v>
      </c>
      <c r="D46" s="77">
        <v>377.5</v>
      </c>
      <c r="E46" s="77">
        <v>310</v>
      </c>
      <c r="F46" s="77">
        <v>840.7</v>
      </c>
      <c r="G46" s="77">
        <v>417.5</v>
      </c>
    </row>
    <row r="47" spans="1:7" x14ac:dyDescent="0.15">
      <c r="A47" s="76" t="s">
        <v>219</v>
      </c>
      <c r="B47" s="84">
        <v>789</v>
      </c>
      <c r="C47" s="84">
        <v>309</v>
      </c>
      <c r="D47" s="84">
        <v>377.5</v>
      </c>
      <c r="E47" s="84">
        <v>310</v>
      </c>
      <c r="F47" s="84">
        <v>840.7</v>
      </c>
      <c r="G47" s="84">
        <v>417.5</v>
      </c>
    </row>
    <row r="48" spans="1:7" ht="12" x14ac:dyDescent="0.15">
      <c r="A48" s="74" t="s">
        <v>220</v>
      </c>
      <c r="B48" s="77" t="s">
        <v>79</v>
      </c>
      <c r="C48" s="77" t="s">
        <v>79</v>
      </c>
      <c r="D48" s="77" t="s">
        <v>79</v>
      </c>
      <c r="E48" s="77" t="s">
        <v>79</v>
      </c>
      <c r="F48" s="77" t="s">
        <v>79</v>
      </c>
      <c r="G48" s="77" t="s">
        <v>79</v>
      </c>
    </row>
    <row r="49" spans="1:7" x14ac:dyDescent="0.15">
      <c r="A49" s="74" t="s">
        <v>221</v>
      </c>
      <c r="B49" s="77">
        <v>-704</v>
      </c>
      <c r="C49" s="77">
        <v>-345</v>
      </c>
      <c r="D49" s="77">
        <v>-379.5</v>
      </c>
      <c r="E49" s="77">
        <v>-338</v>
      </c>
      <c r="F49" s="77">
        <v>-560.9</v>
      </c>
      <c r="G49" s="77">
        <v>-430.6</v>
      </c>
    </row>
    <row r="50" spans="1:7" x14ac:dyDescent="0.15">
      <c r="A50" s="76" t="s">
        <v>222</v>
      </c>
      <c r="B50" s="84">
        <v>-704</v>
      </c>
      <c r="C50" s="84">
        <v>-345</v>
      </c>
      <c r="D50" s="84">
        <v>-379.5</v>
      </c>
      <c r="E50" s="84">
        <v>-338</v>
      </c>
      <c r="F50" s="84">
        <v>-560.9</v>
      </c>
      <c r="G50" s="84">
        <v>-430.6</v>
      </c>
    </row>
    <row r="51" spans="1:7" x14ac:dyDescent="0.15">
      <c r="A51" s="74"/>
      <c r="B51" s="74"/>
      <c r="C51" s="74"/>
      <c r="D51" s="74"/>
      <c r="E51" s="74"/>
      <c r="F51" s="74"/>
      <c r="G51" s="74"/>
    </row>
    <row r="52" spans="1:7" ht="12" x14ac:dyDescent="0.15">
      <c r="A52" s="74" t="s">
        <v>284</v>
      </c>
      <c r="B52" s="77">
        <v>4.9139999999999997</v>
      </c>
      <c r="C52" s="77">
        <v>5.7560000000000002</v>
      </c>
      <c r="D52" s="77">
        <v>2.847</v>
      </c>
      <c r="E52" s="77">
        <v>0.6</v>
      </c>
      <c r="F52" s="77" t="s">
        <v>79</v>
      </c>
      <c r="G52" s="77" t="s">
        <v>79</v>
      </c>
    </row>
    <row r="53" spans="1:7" x14ac:dyDescent="0.15">
      <c r="A53" s="74" t="s">
        <v>223</v>
      </c>
      <c r="B53" s="77">
        <v>-9</v>
      </c>
      <c r="C53" s="77">
        <v>-8.6999999999999993</v>
      </c>
      <c r="D53" s="77">
        <v>-5.5</v>
      </c>
      <c r="E53" s="77">
        <v>-10.9</v>
      </c>
      <c r="F53" s="77">
        <v>-4.4000000000000004</v>
      </c>
      <c r="G53" s="77">
        <v>-3.3</v>
      </c>
    </row>
    <row r="54" spans="1:7" x14ac:dyDescent="0.15">
      <c r="A54" s="74"/>
      <c r="B54" s="74"/>
      <c r="C54" s="74"/>
      <c r="D54" s="74"/>
      <c r="E54" s="74"/>
      <c r="F54" s="74"/>
      <c r="G54" s="74"/>
    </row>
    <row r="55" spans="1:7" x14ac:dyDescent="0.15">
      <c r="A55" s="74" t="s">
        <v>304</v>
      </c>
      <c r="B55" s="77">
        <v>-22.7</v>
      </c>
      <c r="C55" s="77">
        <v>-24.4</v>
      </c>
      <c r="D55" s="77">
        <v>-29.2</v>
      </c>
      <c r="E55" s="77">
        <v>-30.2</v>
      </c>
      <c r="F55" s="77">
        <v>-30</v>
      </c>
      <c r="G55" s="77">
        <v>-32.799999999999997</v>
      </c>
    </row>
    <row r="56" spans="1:7" x14ac:dyDescent="0.15">
      <c r="A56" s="76" t="s">
        <v>224</v>
      </c>
      <c r="B56" s="84">
        <v>-22.7</v>
      </c>
      <c r="C56" s="84">
        <v>-24.4</v>
      </c>
      <c r="D56" s="84">
        <v>-29.2</v>
      </c>
      <c r="E56" s="84">
        <v>-30.2</v>
      </c>
      <c r="F56" s="84">
        <v>-30</v>
      </c>
      <c r="G56" s="84">
        <v>-32.799999999999997</v>
      </c>
    </row>
    <row r="57" spans="1:7" x14ac:dyDescent="0.15">
      <c r="A57" s="74"/>
      <c r="B57" s="74"/>
      <c r="C57" s="74"/>
      <c r="D57" s="74"/>
      <c r="E57" s="74"/>
      <c r="F57" s="74"/>
      <c r="G57" s="74"/>
    </row>
    <row r="58" spans="1:7" ht="12" x14ac:dyDescent="0.15">
      <c r="A58" s="74" t="s">
        <v>225</v>
      </c>
      <c r="B58" s="77" t="s">
        <v>79</v>
      </c>
      <c r="C58" s="77" t="s">
        <v>79</v>
      </c>
      <c r="D58" s="77" t="s">
        <v>79</v>
      </c>
      <c r="E58" s="77" t="s">
        <v>79</v>
      </c>
      <c r="F58" s="77" t="s">
        <v>79</v>
      </c>
      <c r="G58" s="77" t="s">
        <v>79</v>
      </c>
    </row>
    <row r="59" spans="1:7" x14ac:dyDescent="0.15">
      <c r="A59" s="74" t="s">
        <v>226</v>
      </c>
      <c r="B59" s="77">
        <v>-0.9</v>
      </c>
      <c r="C59" s="77">
        <v>-4.2</v>
      </c>
      <c r="D59" s="77">
        <v>-5</v>
      </c>
      <c r="E59" s="77">
        <v>-6</v>
      </c>
      <c r="F59" s="77">
        <v>-5.6</v>
      </c>
      <c r="G59" s="77">
        <v>-1.5</v>
      </c>
    </row>
    <row r="60" spans="1:7" x14ac:dyDescent="0.15">
      <c r="A60" s="76" t="s">
        <v>227</v>
      </c>
      <c r="B60" s="84">
        <v>57.265000000000001</v>
      </c>
      <c r="C60" s="84">
        <v>-67.5</v>
      </c>
      <c r="D60" s="84">
        <v>-38.799999999999997</v>
      </c>
      <c r="E60" s="84">
        <v>-74.5</v>
      </c>
      <c r="F60" s="84">
        <v>239.8</v>
      </c>
      <c r="G60" s="84">
        <v>-50.7</v>
      </c>
    </row>
    <row r="61" spans="1:7" x14ac:dyDescent="0.15">
      <c r="A61" s="74"/>
      <c r="B61" s="74"/>
      <c r="C61" s="74"/>
      <c r="D61" s="74"/>
      <c r="E61" s="74"/>
      <c r="F61" s="74"/>
      <c r="G61" s="74"/>
    </row>
    <row r="62" spans="1:7" x14ac:dyDescent="0.15">
      <c r="A62" s="74" t="s">
        <v>228</v>
      </c>
      <c r="B62" s="77">
        <v>-3.2</v>
      </c>
      <c r="C62" s="77">
        <v>-6.6</v>
      </c>
      <c r="D62" s="77">
        <v>-1.2</v>
      </c>
      <c r="E62" s="77">
        <v>3.7</v>
      </c>
      <c r="F62" s="77">
        <v>-0.3</v>
      </c>
      <c r="G62" s="77">
        <v>0.1</v>
      </c>
    </row>
    <row r="63" spans="1:7" x14ac:dyDescent="0.15">
      <c r="A63" s="76" t="s">
        <v>229</v>
      </c>
      <c r="B63" s="83">
        <v>6.9950000000000001</v>
      </c>
      <c r="C63" s="83">
        <v>-14.8</v>
      </c>
      <c r="D63" s="83">
        <v>5.6619999999999999</v>
      </c>
      <c r="E63" s="83">
        <v>-7.7</v>
      </c>
      <c r="F63" s="83">
        <v>-0.6</v>
      </c>
      <c r="G63" s="83">
        <v>6.9</v>
      </c>
    </row>
    <row r="64" spans="1:7" x14ac:dyDescent="0.15">
      <c r="A64" s="74"/>
      <c r="B64" s="74"/>
      <c r="C64" s="74"/>
      <c r="D64" s="74"/>
      <c r="E64" s="74"/>
      <c r="F64" s="74"/>
      <c r="G64" s="74"/>
    </row>
    <row r="65" spans="1:7" x14ac:dyDescent="0.15">
      <c r="A65" s="76" t="s">
        <v>120</v>
      </c>
      <c r="B65" s="74"/>
      <c r="C65" s="74"/>
      <c r="D65" s="74"/>
      <c r="E65" s="74"/>
      <c r="F65" s="74"/>
      <c r="G65" s="74"/>
    </row>
    <row r="66" spans="1:7" x14ac:dyDescent="0.15">
      <c r="A66" s="74" t="s">
        <v>230</v>
      </c>
      <c r="B66" s="77">
        <v>6.8789999999999996</v>
      </c>
      <c r="C66" s="77">
        <v>6.1680000000000001</v>
      </c>
      <c r="D66" s="77">
        <v>5.2279999999999998</v>
      </c>
      <c r="E66" s="77">
        <v>7.6</v>
      </c>
      <c r="F66" s="77">
        <v>18.3</v>
      </c>
      <c r="G66" s="77">
        <v>20.3</v>
      </c>
    </row>
    <row r="67" spans="1:7" x14ac:dyDescent="0.15">
      <c r="A67" s="74" t="s">
        <v>231</v>
      </c>
      <c r="B67" s="77">
        <v>18.646000000000001</v>
      </c>
      <c r="C67" s="77">
        <v>40.799999999999997</v>
      </c>
      <c r="D67" s="77">
        <v>27.4</v>
      </c>
      <c r="E67" s="77">
        <v>22.4</v>
      </c>
      <c r="F67" s="77">
        <v>9.6</v>
      </c>
      <c r="G67" s="77">
        <v>12.5</v>
      </c>
    </row>
    <row r="68" spans="1:7" x14ac:dyDescent="0.15">
      <c r="A68" s="74" t="s">
        <v>232</v>
      </c>
      <c r="B68" s="77">
        <v>19.212</v>
      </c>
      <c r="C68" s="77">
        <v>38.572375000000001</v>
      </c>
      <c r="D68" s="77">
        <v>119.162375</v>
      </c>
      <c r="E68" s="77">
        <v>50.543999999999997</v>
      </c>
      <c r="F68" s="77">
        <v>60.424500000000002</v>
      </c>
      <c r="G68" s="77">
        <v>68.224999999999994</v>
      </c>
    </row>
    <row r="69" spans="1:7" x14ac:dyDescent="0.15">
      <c r="A69" s="74" t="s">
        <v>233</v>
      </c>
      <c r="B69" s="77">
        <v>22.776250000000001</v>
      </c>
      <c r="C69" s="77">
        <v>42.162999999999997</v>
      </c>
      <c r="D69" s="77">
        <v>121.84050000000001</v>
      </c>
      <c r="E69" s="77">
        <v>54.469000000000001</v>
      </c>
      <c r="F69" s="77">
        <v>72.387</v>
      </c>
      <c r="G69" s="77">
        <v>80.787499999999994</v>
      </c>
    </row>
    <row r="70" spans="1:7" x14ac:dyDescent="0.15">
      <c r="A70" s="74" t="s">
        <v>234</v>
      </c>
      <c r="B70" s="77">
        <v>16.222999999999999</v>
      </c>
      <c r="C70" s="77">
        <v>27.515999999999998</v>
      </c>
      <c r="D70" s="77">
        <v>-44</v>
      </c>
      <c r="E70" s="77">
        <v>8.4060000000000006</v>
      </c>
      <c r="F70" s="77">
        <v>11.712999999999999</v>
      </c>
      <c r="G70" s="77">
        <v>7.8</v>
      </c>
    </row>
    <row r="71" spans="1:7" x14ac:dyDescent="0.15">
      <c r="A71" s="74" t="s">
        <v>235</v>
      </c>
      <c r="B71" s="77">
        <v>85</v>
      </c>
      <c r="C71" s="77">
        <v>-36</v>
      </c>
      <c r="D71" s="77">
        <v>-2</v>
      </c>
      <c r="E71" s="77">
        <v>-28</v>
      </c>
      <c r="F71" s="77">
        <v>279.8</v>
      </c>
      <c r="G71" s="77">
        <v>-13.1</v>
      </c>
    </row>
    <row r="72" spans="1:7" x14ac:dyDescent="0.15">
      <c r="A72" s="74" t="s">
        <v>131</v>
      </c>
      <c r="B72" s="79">
        <v>42795</v>
      </c>
      <c r="C72" s="79">
        <v>43158</v>
      </c>
      <c r="D72" s="79">
        <v>43522</v>
      </c>
      <c r="E72" s="79">
        <v>43882</v>
      </c>
      <c r="F72" s="79">
        <v>43882</v>
      </c>
      <c r="G72" s="79">
        <v>43882</v>
      </c>
    </row>
    <row r="73" spans="1:7" ht="12" x14ac:dyDescent="0.15">
      <c r="A73" s="74" t="s">
        <v>132</v>
      </c>
      <c r="B73" s="78" t="s">
        <v>133</v>
      </c>
      <c r="C73" s="78" t="s">
        <v>133</v>
      </c>
      <c r="D73" s="78" t="s">
        <v>133</v>
      </c>
      <c r="E73" s="78" t="s">
        <v>195</v>
      </c>
      <c r="F73" s="78" t="s">
        <v>195</v>
      </c>
      <c r="G73" s="78" t="s">
        <v>134</v>
      </c>
    </row>
    <row r="74" spans="1:7" ht="12" x14ac:dyDescent="0.15">
      <c r="A74" s="74" t="s">
        <v>135</v>
      </c>
      <c r="B74" s="78" t="s">
        <v>136</v>
      </c>
      <c r="C74" s="78" t="s">
        <v>136</v>
      </c>
      <c r="D74" s="78" t="s">
        <v>136</v>
      </c>
      <c r="E74" s="78" t="s">
        <v>136</v>
      </c>
      <c r="F74" s="78" t="s">
        <v>136</v>
      </c>
      <c r="G74" s="78" t="s">
        <v>136</v>
      </c>
    </row>
    <row r="75" spans="1:7" x14ac:dyDescent="0.15">
      <c r="A75" s="74"/>
      <c r="B75" s="74"/>
      <c r="C75" s="74"/>
      <c r="D75" s="74"/>
      <c r="E75" s="74"/>
      <c r="F75" s="74"/>
      <c r="G75" s="74"/>
    </row>
    <row r="76" spans="1:7" ht="72" x14ac:dyDescent="0.15">
      <c r="A76" s="99" t="s">
        <v>144</v>
      </c>
      <c r="B76" s="73"/>
      <c r="C76" s="73"/>
      <c r="D76" s="73"/>
      <c r="E76" s="73"/>
      <c r="F76" s="73"/>
      <c r="G76" s="73"/>
    </row>
    <row r="1000" spans="648:648" ht="16" x14ac:dyDescent="0.2">
      <c r="XX1000" s="153">
        <v>63803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Income Statement</vt:lpstr>
      <vt:lpstr> Working Capital - Fixed Assets</vt:lpstr>
      <vt:lpstr>BS 12.31.2022</vt:lpstr>
      <vt:lpstr>WACC</vt:lpstr>
      <vt:lpstr>DCFCF</vt:lpstr>
      <vt:lpstr>CAPITAL IQ ---&gt;</vt:lpstr>
      <vt:lpstr>Income Statement (2)</vt:lpstr>
      <vt:lpstr>Balance Sheet</vt:lpstr>
      <vt:lpstr>Cash Flow</vt:lpstr>
      <vt:lpstr>' Working Capital - Fixed Assets'!Print_Area</vt:lpstr>
      <vt:lpstr>'BS 12.31.2022'!Print_Area</vt:lpstr>
      <vt:lpstr>DCFCF!Print_Area</vt:lpstr>
      <vt:lpstr>'Income Statement'!Print_Area</vt:lpstr>
      <vt:lpstr>WACC!Print_Area</vt:lpstr>
      <vt:lpstr>'Balance Sheet'!Print_Titles</vt:lpstr>
      <vt:lpstr>'Cash Flow'!Print_Titles</vt:lpstr>
      <vt:lpstr>'Income Statement (2)'!Print_Titles</vt:lpstr>
    </vt:vector>
  </TitlesOfParts>
  <Company>Stout Risius Ross,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Kenny</dc:creator>
  <cp:lastModifiedBy>Chengyi Xu</cp:lastModifiedBy>
  <cp:lastPrinted>2020-03-27T13:36:20Z</cp:lastPrinted>
  <dcterms:created xsi:type="dcterms:W3CDTF">2018-12-28T18:42:26Z</dcterms:created>
  <dcterms:modified xsi:type="dcterms:W3CDTF">2023-03-30T20:38:08Z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{2E165770-A648-4BA8-BFA4-E9CA3B95C4EE}</vt:lpwstr>
  </property>
</Properties>
</file>