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Dairy project\"/>
    </mc:Choice>
  </mc:AlternateContent>
  <xr:revisionPtr revIDLastSave="0" documentId="13_ncr:1_{7073DA3A-F730-4526-93BA-71526E018A11}" xr6:coauthVersionLast="43" xr6:coauthVersionMax="43" xr10:uidLastSave="{00000000-0000-0000-0000-000000000000}"/>
  <bookViews>
    <workbookView xWindow="-120" yWindow="-120" windowWidth="20730" windowHeight="11160" firstSheet="4" activeTab="7" xr2:uid="{9C7FCFE7-C6BC-44E9-8ABD-730DE557660F}"/>
  </bookViews>
  <sheets>
    <sheet name="Al-Paper Table1" sheetId="2" r:id="rId1"/>
    <sheet name="Al-Table1-FMT check" sheetId="3" r:id="rId2"/>
    <sheet name="Isolates that can grow at 6C" sheetId="4" r:id="rId3"/>
    <sheet name="RAW DATA-Silin 2014" sheetId="5" r:id="rId4"/>
    <sheet name="LOG DATA-Silin 2014" sheetId="6" r:id="rId5"/>
    <sheet name="Sheet8" sheetId="8" r:id="rId6"/>
    <sheet name="Random data from Al notebook" sheetId="9" r:id="rId7"/>
    <sheet name="Sheet1" sheetId="10" r:id="rId8"/>
  </sheets>
  <externalReferences>
    <externalReference r:id="rId9"/>
  </externalReferences>
  <definedNames>
    <definedName name="_xlnm._FilterDatabase" localSheetId="6" hidden="1">'Random data from Al notebook'!$A$1:$I$277</definedName>
    <definedName name="_xlnm._FilterDatabase" localSheetId="5" hidden="1">Sheet8!$A$1:$C$1</definedName>
    <definedName name="_xlnm.Print_Area" localSheetId="0">'Al-Paper Table1'!$A$3:$C$20</definedName>
    <definedName name="_xlnm.Print_Area" localSheetId="1">'Al-Table1-FMT check'!$A$1:$S$24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2" i="10"/>
  <c r="H13" i="10"/>
  <c r="H12" i="10"/>
  <c r="H11" i="10"/>
  <c r="H10" i="10"/>
  <c r="H9" i="10"/>
  <c r="H8" i="10"/>
  <c r="H7" i="10"/>
  <c r="H6" i="10"/>
  <c r="H5" i="10"/>
  <c r="H4" i="10"/>
  <c r="H3" i="10"/>
  <c r="H2" i="10"/>
  <c r="H21" i="9" l="1"/>
  <c r="H20" i="9"/>
  <c r="H19" i="9"/>
  <c r="H18" i="9"/>
  <c r="H17" i="9"/>
  <c r="H16" i="9"/>
  <c r="H257" i="9"/>
  <c r="H256" i="9"/>
  <c r="H13" i="9"/>
  <c r="H12" i="9"/>
  <c r="H237" i="9"/>
  <c r="H236" i="9"/>
  <c r="H87" i="9"/>
  <c r="H86" i="9"/>
  <c r="H85" i="9"/>
  <c r="H84" i="9"/>
  <c r="H83" i="9"/>
  <c r="H82" i="9"/>
  <c r="H81" i="9"/>
  <c r="H80" i="9"/>
  <c r="H11" i="9"/>
  <c r="H10" i="9"/>
  <c r="H9" i="9"/>
  <c r="H8" i="9"/>
  <c r="H7" i="9"/>
  <c r="H6" i="9"/>
  <c r="H5" i="9"/>
  <c r="H4" i="9"/>
  <c r="H255" i="9"/>
  <c r="H254" i="9"/>
  <c r="H79" i="9"/>
  <c r="H78" i="9"/>
  <c r="H77" i="9"/>
  <c r="H76" i="9"/>
  <c r="H75" i="9"/>
  <c r="H74" i="9"/>
  <c r="H231" i="9"/>
  <c r="H230" i="9"/>
  <c r="H71" i="9"/>
  <c r="H70" i="9"/>
  <c r="H189" i="9"/>
  <c r="H188" i="9"/>
  <c r="H187" i="9"/>
  <c r="H186" i="9"/>
  <c r="H185" i="9"/>
  <c r="H184" i="9"/>
  <c r="H139" i="9"/>
  <c r="H138" i="9"/>
  <c r="H137" i="9"/>
  <c r="H136" i="9"/>
  <c r="H180" i="9"/>
  <c r="H179" i="9"/>
  <c r="H178" i="9"/>
  <c r="H177" i="9"/>
  <c r="H176" i="9"/>
  <c r="H175" i="9"/>
  <c r="H172" i="9"/>
  <c r="H129" i="9"/>
  <c r="H128" i="9"/>
  <c r="H127" i="9"/>
  <c r="H126" i="9"/>
  <c r="H235" i="9"/>
  <c r="H234" i="9"/>
  <c r="H233" i="9"/>
  <c r="H232" i="9"/>
  <c r="H261" i="9"/>
  <c r="H260" i="9"/>
  <c r="H259" i="9"/>
  <c r="H258" i="9"/>
  <c r="H245" i="9"/>
  <c r="H244" i="9"/>
  <c r="H243" i="9"/>
  <c r="H242" i="9"/>
  <c r="H119" i="9" l="1"/>
  <c r="H118" i="9"/>
  <c r="H117" i="9"/>
  <c r="H116" i="9"/>
  <c r="H115" i="9"/>
  <c r="H114" i="9"/>
  <c r="H203" i="9"/>
  <c r="H202" i="9"/>
  <c r="H221" i="9"/>
  <c r="H220" i="9"/>
  <c r="H113" i="9"/>
  <c r="H112" i="9"/>
  <c r="H111" i="9"/>
  <c r="H110" i="9"/>
  <c r="H241" i="9"/>
  <c r="H240" i="9"/>
  <c r="H239" i="9"/>
  <c r="H238" i="9"/>
  <c r="H265" i="9"/>
  <c r="H264" i="9"/>
  <c r="H263" i="9"/>
  <c r="H262" i="9"/>
  <c r="H109" i="9"/>
  <c r="H108" i="9"/>
  <c r="H107" i="9"/>
  <c r="H106" i="9"/>
  <c r="H105" i="9"/>
  <c r="H104" i="9"/>
  <c r="H103" i="9"/>
  <c r="H102" i="9"/>
  <c r="H201" i="9"/>
  <c r="H200" i="9"/>
  <c r="H199" i="9"/>
  <c r="H198" i="9"/>
  <c r="H219" i="9"/>
  <c r="H218" i="9"/>
  <c r="H217" i="9"/>
  <c r="H216" i="9"/>
  <c r="H249" i="9"/>
  <c r="H248" i="9"/>
  <c r="H247" i="9"/>
  <c r="H246" i="9"/>
  <c r="H229" i="9"/>
  <c r="H228" i="9"/>
  <c r="H227" i="9"/>
  <c r="H226" i="9"/>
  <c r="H253" i="9"/>
  <c r="H252" i="9"/>
  <c r="H251" i="9"/>
  <c r="H250" i="9"/>
  <c r="H101" i="9"/>
  <c r="H100" i="9"/>
  <c r="H99" i="9"/>
  <c r="H98" i="9"/>
  <c r="H97" i="9"/>
  <c r="H96" i="9"/>
  <c r="H95" i="9"/>
  <c r="H94" i="9"/>
  <c r="H197" i="9"/>
  <c r="H196" i="9"/>
  <c r="H195" i="9"/>
  <c r="H194" i="9"/>
  <c r="H193" i="9"/>
  <c r="H192" i="9"/>
  <c r="H191" i="9"/>
  <c r="H190" i="9"/>
  <c r="H15" i="9" l="1"/>
  <c r="H14" i="9"/>
  <c r="H3" i="9"/>
  <c r="H2" i="9"/>
  <c r="H93" i="9"/>
  <c r="H92" i="9"/>
  <c r="H91" i="9"/>
  <c r="H90" i="9"/>
  <c r="H215" i="9"/>
  <c r="H214" i="9"/>
  <c r="H213" i="9"/>
  <c r="H212" i="9"/>
  <c r="H25" i="9"/>
  <c r="H24" i="9"/>
  <c r="H23" i="9"/>
  <c r="H2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7" i="9"/>
  <c r="H269" i="9"/>
  <c r="H268" i="9"/>
  <c r="H2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225" i="9"/>
  <c r="H224" i="9"/>
  <c r="H223" i="9"/>
  <c r="H222" i="9"/>
  <c r="H29" i="9"/>
  <c r="H28" i="9"/>
  <c r="H27" i="9"/>
  <c r="H26" i="9"/>
  <c r="H273" i="9"/>
  <c r="H272" i="9"/>
  <c r="H271" i="9"/>
  <c r="H270" i="9"/>
  <c r="H69" i="9"/>
  <c r="H68" i="9"/>
  <c r="H67" i="9"/>
  <c r="H66" i="9"/>
  <c r="H277" i="9"/>
  <c r="H276" i="9"/>
  <c r="H275" i="9"/>
  <c r="H274" i="9"/>
  <c r="H89" i="9"/>
  <c r="H88" i="9"/>
  <c r="H73" i="9"/>
  <c r="H72" i="9"/>
  <c r="J26" i="6" l="1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J22" i="6"/>
  <c r="I22" i="6"/>
  <c r="H22" i="6"/>
  <c r="G22" i="6"/>
  <c r="F22" i="6"/>
  <c r="E22" i="6"/>
  <c r="D22" i="6"/>
  <c r="C22" i="6"/>
  <c r="B22" i="6"/>
  <c r="J21" i="6"/>
  <c r="I21" i="6"/>
  <c r="H21" i="6"/>
  <c r="F21" i="6"/>
  <c r="E21" i="6"/>
  <c r="B21" i="6"/>
  <c r="H20" i="6"/>
  <c r="G20" i="6"/>
  <c r="F20" i="6"/>
  <c r="E20" i="6"/>
  <c r="D20" i="6"/>
  <c r="C20" i="6"/>
  <c r="B20" i="6"/>
  <c r="H19" i="6"/>
  <c r="E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H10" i="6"/>
  <c r="E10" i="6"/>
  <c r="B10" i="6"/>
  <c r="H9" i="6"/>
  <c r="E9" i="6"/>
  <c r="B9" i="6"/>
  <c r="H8" i="6"/>
  <c r="G8" i="6"/>
  <c r="F8" i="6"/>
  <c r="E8" i="6"/>
  <c r="D8" i="6"/>
  <c r="C8" i="6"/>
  <c r="B8" i="6"/>
  <c r="H7" i="6"/>
  <c r="E7" i="6"/>
  <c r="B7" i="6"/>
  <c r="H6" i="6"/>
  <c r="G6" i="6"/>
  <c r="F6" i="6"/>
  <c r="E6" i="6"/>
  <c r="D6" i="6"/>
  <c r="C6" i="6"/>
  <c r="B6" i="6"/>
  <c r="H5" i="6"/>
  <c r="G5" i="6"/>
  <c r="F5" i="6"/>
  <c r="E5" i="6"/>
  <c r="B5" i="6"/>
  <c r="H4" i="6"/>
  <c r="E4" i="6"/>
  <c r="B4" i="6"/>
  <c r="H3" i="6"/>
  <c r="E3" i="6"/>
  <c r="B3" i="6"/>
  <c r="C20" i="5"/>
</calcChain>
</file>

<file path=xl/sharedStrings.xml><?xml version="1.0" encoding="utf-8"?>
<sst xmlns="http://schemas.openxmlformats.org/spreadsheetml/2006/main" count="2193" uniqueCount="243">
  <si>
    <t>Table 1: Overview of isolates and their relevant characteristics</t>
  </si>
  <si>
    <r>
      <rPr>
        <i/>
        <sz val="11"/>
        <rFont val="Calibri"/>
        <family val="2"/>
        <scheme val="minor"/>
      </rPr>
      <t>rpoB</t>
    </r>
    <r>
      <rPr>
        <sz val="11"/>
        <rFont val="Calibri"/>
        <family val="2"/>
        <scheme val="minor"/>
      </rPr>
      <t xml:space="preserve"> allelic type</t>
    </r>
  </si>
  <si>
    <r>
      <t xml:space="preserve">Growth Characteristics </t>
    </r>
    <r>
      <rPr>
        <vertAlign val="superscript"/>
        <sz val="11"/>
        <rFont val="Calibri"/>
        <family val="2"/>
        <scheme val="minor"/>
      </rPr>
      <t>3 4</t>
    </r>
  </si>
  <si>
    <t>β-galacto-</t>
  </si>
  <si>
    <t>Proteolytic activity</t>
  </si>
  <si>
    <t>Lipolytic activity</t>
  </si>
  <si>
    <r>
      <t>Cornell ID</t>
    </r>
    <r>
      <rPr>
        <vertAlign val="superscript"/>
        <sz val="11"/>
        <rFont val="Calibri"/>
        <family val="2"/>
        <scheme val="minor"/>
      </rPr>
      <t xml:space="preserve"> 1</t>
    </r>
  </si>
  <si>
    <r>
      <t xml:space="preserve">Genus </t>
    </r>
    <r>
      <rPr>
        <vertAlign val="superscript"/>
        <sz val="11"/>
        <rFont val="Calibri"/>
        <family val="2"/>
        <scheme val="minor"/>
      </rPr>
      <t>2</t>
    </r>
  </si>
  <si>
    <r>
      <t xml:space="preserve">Species </t>
    </r>
    <r>
      <rPr>
        <vertAlign val="superscript"/>
        <sz val="11"/>
        <rFont val="Calibri"/>
        <family val="2"/>
        <scheme val="minor"/>
      </rPr>
      <t>2</t>
    </r>
  </si>
  <si>
    <t>Organism group</t>
  </si>
  <si>
    <t>6°C/21 days</t>
  </si>
  <si>
    <t>21°C/24h</t>
  </si>
  <si>
    <t>32°C/24h</t>
  </si>
  <si>
    <t>37°C/24h</t>
  </si>
  <si>
    <t>55°C /24h</t>
  </si>
  <si>
    <r>
      <t xml:space="preserve">sidase </t>
    </r>
    <r>
      <rPr>
        <vertAlign val="superscript"/>
        <sz val="11"/>
        <rFont val="Calibri"/>
        <family val="2"/>
        <scheme val="minor"/>
      </rPr>
      <t>6</t>
    </r>
  </si>
  <si>
    <t>6°C /14 days</t>
  </si>
  <si>
    <t xml:space="preserve">21°C/48h </t>
  </si>
  <si>
    <r>
      <t xml:space="preserve">T (°C)/48h </t>
    </r>
    <r>
      <rPr>
        <vertAlign val="superscript"/>
        <sz val="11"/>
        <rFont val="Calibri"/>
        <family val="2"/>
      </rPr>
      <t>6</t>
    </r>
  </si>
  <si>
    <t>21°C/48h</t>
  </si>
  <si>
    <r>
      <t xml:space="preserve">Source </t>
    </r>
    <r>
      <rPr>
        <vertAlign val="superscript"/>
        <sz val="11"/>
        <rFont val="Calibri"/>
        <family val="2"/>
        <scheme val="minor"/>
      </rPr>
      <t>7</t>
    </r>
  </si>
  <si>
    <t>Non-psychrotolerant</t>
  </si>
  <si>
    <t>N</t>
  </si>
  <si>
    <r>
      <t xml:space="preserve">H </t>
    </r>
    <r>
      <rPr>
        <vertAlign val="superscript"/>
        <sz val="11"/>
        <rFont val="Calibri"/>
        <family val="2"/>
        <scheme val="minor"/>
      </rPr>
      <t>5</t>
    </r>
  </si>
  <si>
    <t>M</t>
  </si>
  <si>
    <t>- (32°C)</t>
  </si>
  <si>
    <t>ND</t>
  </si>
  <si>
    <t>+</t>
  </si>
  <si>
    <t>+ (32°C)</t>
  </si>
  <si>
    <t>Pasteurized Fluid Milk</t>
  </si>
  <si>
    <t>-</t>
  </si>
  <si>
    <t>- (37°C)</t>
  </si>
  <si>
    <t>+ (37°C)</t>
  </si>
  <si>
    <t>sp.</t>
  </si>
  <si>
    <t>H</t>
  </si>
  <si>
    <t>- (21°C)</t>
  </si>
  <si>
    <t>++</t>
  </si>
  <si>
    <t>+ (21°C)</t>
  </si>
  <si>
    <t>Psychrotolerant</t>
  </si>
  <si>
    <t xml:space="preserve">H </t>
  </si>
  <si>
    <t>++ (32°C)</t>
  </si>
  <si>
    <r>
      <t xml:space="preserve">M </t>
    </r>
    <r>
      <rPr>
        <vertAlign val="superscript"/>
        <sz val="11"/>
        <rFont val="Calibri"/>
        <family val="2"/>
        <scheme val="minor"/>
      </rPr>
      <t>5</t>
    </r>
  </si>
  <si>
    <r>
      <t xml:space="preserve">L </t>
    </r>
    <r>
      <rPr>
        <vertAlign val="superscript"/>
        <sz val="11"/>
        <rFont val="Calibri"/>
        <family val="2"/>
        <scheme val="minor"/>
      </rPr>
      <t>5</t>
    </r>
  </si>
  <si>
    <t>NA</t>
  </si>
  <si>
    <t>Other</t>
  </si>
  <si>
    <t>Gram-negative</t>
  </si>
  <si>
    <t>FSL W5-0777</t>
  </si>
  <si>
    <t xml:space="preserve">Escherichia </t>
  </si>
  <si>
    <t>fergusonii</t>
  </si>
  <si>
    <r>
      <t xml:space="preserve">H </t>
    </r>
    <r>
      <rPr>
        <vertAlign val="superscript"/>
        <sz val="1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</si>
  <si>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FSL W4-0242</t>
  </si>
  <si>
    <t>Enterobacter</t>
  </si>
  <si>
    <t>FSL W4-0268</t>
  </si>
  <si>
    <t>Hafnia</t>
  </si>
  <si>
    <t>paralvei</t>
  </si>
  <si>
    <t>FSL P4-0811</t>
  </si>
  <si>
    <t>Serratia</t>
  </si>
  <si>
    <t>FSL W4-0276</t>
  </si>
  <si>
    <t>Citrobacter</t>
  </si>
  <si>
    <t>FSL A6-0213</t>
  </si>
  <si>
    <t>Rahnella</t>
  </si>
  <si>
    <t>FSL W5-0628</t>
  </si>
  <si>
    <t>Klebsiella</t>
  </si>
  <si>
    <t>Ropy Raw Milk</t>
  </si>
  <si>
    <t>FSL W4-0273</t>
  </si>
  <si>
    <t>Raoultella</t>
  </si>
  <si>
    <t>FSL W5-0203</t>
  </si>
  <si>
    <t>Pseudomonas</t>
  </si>
  <si>
    <t>fluorescens</t>
  </si>
  <si>
    <t>Cheese</t>
  </si>
  <si>
    <t>FSL W7-0098</t>
  </si>
  <si>
    <t>fragi</t>
  </si>
  <si>
    <t>FSL R5-0202</t>
  </si>
  <si>
    <t>FSL R5-0318</t>
  </si>
  <si>
    <t>FSL J3-0127</t>
  </si>
  <si>
    <t>Acinetobacter</t>
  </si>
  <si>
    <t>FSL J3-0142</t>
  </si>
  <si>
    <t>Brevundimonas</t>
  </si>
  <si>
    <t>FSL W6-0482</t>
  </si>
  <si>
    <t>Flavobacterium</t>
  </si>
  <si>
    <t>Raw Milk</t>
  </si>
  <si>
    <t>FSL A5-0095</t>
  </si>
  <si>
    <t>Vibrio</t>
  </si>
  <si>
    <t>casei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</si>
  <si>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Cornell University Food Safety Laboratory isolate designation.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</si>
  <si>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Genus and Species identification was based on 16S rDNA sequence data.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</si>
  <si>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N = no growth (&lt;1 log  Δ growth), L = &lt;2 log Δ growth, M = 2-4 log Δ growth, H = &gt;4 log Δ growth, ND=Not determined</t>
    </r>
  </si>
  <si>
    <r>
      <rPr>
        <vertAlign val="superscript"/>
        <sz val="11"/>
        <rFont val="Calibri"/>
        <family val="2"/>
        <scheme val="minor"/>
      </rPr>
      <t xml:space="preserve">4 </t>
    </r>
    <r>
      <rPr>
        <sz val="11"/>
        <rFont val="Calibri"/>
        <family val="2"/>
        <scheme val="minor"/>
      </rPr>
      <t xml:space="preserve">Result of two independent trials. Additional third trial was performed if results of previous two were inconsistent. </t>
    </r>
  </si>
  <si>
    <r>
      <rPr>
        <vertAlign val="super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Growth at optimum temperature.</t>
    </r>
  </si>
  <si>
    <r>
      <rPr>
        <vertAlign val="super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β-galactosidase activity, proteolytic activity and lipolytic activity  determined at the optimum growth temperature (</t>
    </r>
    <r>
      <rPr>
        <vertAlign val="super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).</t>
    </r>
  </si>
  <si>
    <r>
      <rPr>
        <vertAlign val="superscript"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If not stated otherwise the isolates were obtained from commercially pasteurized fluid milk (HTST).</t>
    </r>
  </si>
  <si>
    <r>
      <rPr>
        <vertAlign val="superscript"/>
        <sz val="11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Pilot Plant Pasteurized Milk (HTST).</t>
    </r>
  </si>
  <si>
    <r>
      <rPr>
        <vertAlign val="superscript"/>
        <sz val="11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Spore Treated Raw Milk (80°C/12min).</t>
    </r>
  </si>
  <si>
    <r>
      <rPr>
        <vertAlign val="superscript"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Growth on plate was poor</t>
    </r>
  </si>
  <si>
    <r>
      <rPr>
        <vertAlign val="superscript"/>
        <sz val="11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No growth on plate</t>
    </r>
  </si>
  <si>
    <t>NA-not applicable</t>
  </si>
  <si>
    <t>Food Microbe Tracker</t>
  </si>
  <si>
    <t>Cornell ID</t>
  </si>
  <si>
    <t xml:space="preserve">Genus </t>
  </si>
  <si>
    <t>Species</t>
  </si>
  <si>
    <t>Included in the database</t>
  </si>
  <si>
    <t>Designation in the database</t>
  </si>
  <si>
    <t>Identification in the database</t>
  </si>
  <si>
    <t>Sequence in the database</t>
  </si>
  <si>
    <t>Reference</t>
  </si>
  <si>
    <t>Last updated by</t>
  </si>
  <si>
    <t>Final identification</t>
  </si>
  <si>
    <t>ACTION: Change the name in the:</t>
  </si>
  <si>
    <t>YES</t>
  </si>
  <si>
    <t>Matt Ranieri</t>
  </si>
  <si>
    <t>Food Microbe Tracker and Table 1</t>
  </si>
  <si>
    <t>/</t>
  </si>
  <si>
    <t>Unknown</t>
  </si>
  <si>
    <t>VSL</t>
  </si>
  <si>
    <t>MJ338, Mark Jandricic</t>
  </si>
  <si>
    <t>449*</t>
  </si>
  <si>
    <t>sp</t>
  </si>
  <si>
    <t>ADA53, Lexi</t>
  </si>
  <si>
    <t>16S needs to be entered</t>
  </si>
  <si>
    <t>Column study</t>
  </si>
  <si>
    <t>NHW6, Nicole</t>
  </si>
  <si>
    <t>PI-project</t>
  </si>
  <si>
    <t>Gram-Negative</t>
  </si>
  <si>
    <t>FSL W5-777</t>
  </si>
  <si>
    <t>coli</t>
  </si>
  <si>
    <t>E. coli</t>
  </si>
  <si>
    <t>Escherichia fergusonii ATCC/albertii LMG rdp 1,000, E. coli rdp 0.968</t>
  </si>
  <si>
    <t>Hafnia paralvei</t>
  </si>
  <si>
    <t>16S</t>
  </si>
  <si>
    <t>SNM56, Stephanie</t>
  </si>
  <si>
    <t xml:space="preserve">In the Table 1 </t>
  </si>
  <si>
    <t>Citrobacter sp.</t>
  </si>
  <si>
    <t>FSL J3-0163</t>
  </si>
  <si>
    <t>2 N v sekvenci, nova sekvenca Citrobacter sp.</t>
  </si>
  <si>
    <t>Raoultella sp.</t>
  </si>
  <si>
    <t>FSL W7-098</t>
  </si>
  <si>
    <t>psychrophilia</t>
  </si>
  <si>
    <t>Pseudomonas sp.</t>
  </si>
  <si>
    <t>P. fragi (rdp 1.000)</t>
  </si>
  <si>
    <t>FSL R5-202</t>
  </si>
  <si>
    <t>P. fluorescens</t>
  </si>
  <si>
    <t>408. 432, 346</t>
  </si>
  <si>
    <t>P. lurida/poae 0.989</t>
  </si>
  <si>
    <t>FSL R5-318</t>
  </si>
  <si>
    <t>putida</t>
  </si>
  <si>
    <t>P. putida</t>
  </si>
  <si>
    <t>346. 432</t>
  </si>
  <si>
    <t>P. vranovensis in the publication 432, P.plecoglossicida , P.fulva , P. taiwanensis 0.989</t>
  </si>
  <si>
    <t>johnsonii</t>
  </si>
  <si>
    <t>isti kot J3-0128 samo da ima 1 N v sekvenci in to je v FMT J3-0127=J3-0128</t>
  </si>
  <si>
    <t>FSL J3-0128</t>
  </si>
  <si>
    <t>isti kot J3-0127 samo da ima 2 N v sekvenci in to je v FMT J3-0127=J3-0128</t>
  </si>
  <si>
    <t>FSL J3-0144</t>
  </si>
  <si>
    <t>Aurantimonas</t>
  </si>
  <si>
    <t>altamirensis</t>
  </si>
  <si>
    <t>100 x N ???</t>
  </si>
  <si>
    <r>
      <t xml:space="preserve">Brevundimonas </t>
    </r>
    <r>
      <rPr>
        <sz val="11"/>
        <color theme="1"/>
        <rFont val="Calibri"/>
        <family val="2"/>
        <charset val="238"/>
        <scheme val="minor"/>
      </rPr>
      <t>sp.</t>
    </r>
  </si>
  <si>
    <t>FSL A5-095</t>
  </si>
  <si>
    <t>V. casei</t>
  </si>
  <si>
    <t>VTF-project</t>
  </si>
  <si>
    <t>V. casei rdp 0,970</t>
  </si>
  <si>
    <t>Appl Environ Microbiol 78 (6):1853-64</t>
  </si>
  <si>
    <t>Ivy RA, Ranieri ML, Martin NH, den Bakker HC, Xavier BM, Wiedmann M, Boor KJ</t>
  </si>
  <si>
    <t>Identification and characterization of psychrotolerant sporeformers associated with fluid milk production and processing</t>
  </si>
  <si>
    <t>J Food Prot 70 (10):2354-64</t>
  </si>
  <si>
    <t>Huck JR, Woodcock NH, Ralyea RD, Boor K</t>
  </si>
  <si>
    <t>Molecular subtyping and characterization of psychrotolerant endospore-forming bacteria in two New York State fluid milk processing system</t>
  </si>
  <si>
    <t>J Dairy Sci 92 (10):4833-40</t>
  </si>
  <si>
    <t>Ranieri ML, Boor KJ</t>
  </si>
  <si>
    <t>Short communication: bacterial ecology of high-temperature, short-time pasteurized milk processed in the United States.</t>
  </si>
  <si>
    <t>J Dairy Sci 91 (3):1218-28</t>
  </si>
  <si>
    <t>Huck JR, Sonnen M, Boor K</t>
  </si>
  <si>
    <t>Tracking heat-resistant, cold-thriving fluid milk spoilage bacteria from farm to packaged product.</t>
  </si>
  <si>
    <t>BMC Genomics in preparation:</t>
  </si>
  <si>
    <t>Andrea I. Moreno Switt, Alexis Andrus, Matthew L. Ranieri, Renato H. Orsi, Reid Ivy, Henk C. den Bak</t>
  </si>
  <si>
    <t>Genomic Comparison of Sporeforming Bacilli Isolated from Milk</t>
  </si>
  <si>
    <t>J Dairy Sci 92 (10):4823-32</t>
  </si>
  <si>
    <t>Ranieri ML, Huck JR, Sonnen M, Barbano DM, Boor KJ</t>
  </si>
  <si>
    <t>High temperature, short time pasteurization temperatures inversely affect bacterial numbers during refrigerated storage of pasteurized fluid milk.</t>
  </si>
  <si>
    <t>J. Dairy Sci. 94:3176-3183</t>
  </si>
  <si>
    <t>Martin NH, Murphy SC, Ralyea RD, Wiedmann M, Boor KJ</t>
  </si>
  <si>
    <t>When cheese gets the blues: Pseudomonas fluorescens as the causative agent of cheese spoilage</t>
  </si>
  <si>
    <t>J Dairy Sci 95 (3):1568-74</t>
  </si>
  <si>
    <t>Van Tassell JA, Martin NH, Murphy SC, Wiedmann M, Boor KJ, Ivy RA</t>
  </si>
  <si>
    <t>Evaluation of various selective media for the detection of Pseudomonas species in pasteurized milk.</t>
  </si>
  <si>
    <t>* genome sequenced, the paper (Andrea, 449)</t>
  </si>
  <si>
    <t>Watterson et al., 2014</t>
  </si>
  <si>
    <t>#1 (CFU/ml)</t>
  </si>
  <si>
    <t>#2 (CFU/ml)</t>
  </si>
  <si>
    <t>#3 (CFU/ml)</t>
  </si>
  <si>
    <t>D0</t>
  </si>
  <si>
    <t>D14</t>
  </si>
  <si>
    <t>D21</t>
  </si>
  <si>
    <t>J3-113</t>
  </si>
  <si>
    <t>&lt;4</t>
  </si>
  <si>
    <t>J3-123</t>
  </si>
  <si>
    <t>J3-124</t>
  </si>
  <si>
    <t>J3-127</t>
  </si>
  <si>
    <t>J3-137</t>
  </si>
  <si>
    <t>A5-31</t>
  </si>
  <si>
    <t>H7-968</t>
  </si>
  <si>
    <t>J3-143</t>
  </si>
  <si>
    <t>A5-30</t>
  </si>
  <si>
    <t>H8-551</t>
  </si>
  <si>
    <t>J3-120</t>
  </si>
  <si>
    <t>J3-122</t>
  </si>
  <si>
    <t>J3-155</t>
  </si>
  <si>
    <t>J3-159</t>
  </si>
  <si>
    <t>R5-202</t>
  </si>
  <si>
    <t>W6-449</t>
  </si>
  <si>
    <t>A5-95</t>
  </si>
  <si>
    <t>H8-237</t>
  </si>
  <si>
    <t>J3-142</t>
  </si>
  <si>
    <t>J3-153</t>
  </si>
  <si>
    <t>R7-269</t>
  </si>
  <si>
    <t>N/A</t>
  </si>
  <si>
    <t>R7-277</t>
  </si>
  <si>
    <t>W5-353</t>
  </si>
  <si>
    <t>W6-423</t>
  </si>
  <si>
    <t>#1 (log CFU/ml)</t>
  </si>
  <si>
    <t>#2 (log CFU/ml)</t>
  </si>
  <si>
    <t>#3 (log CFU/ml)</t>
  </si>
  <si>
    <t>&lt;0.60</t>
  </si>
  <si>
    <t>Silin data</t>
  </si>
  <si>
    <t>Data?</t>
  </si>
  <si>
    <t>According to Al's notebook (p93), Molly Higgins did growth data on this</t>
  </si>
  <si>
    <t>Temp</t>
  </si>
  <si>
    <t>Day</t>
  </si>
  <si>
    <t>Rep</t>
  </si>
  <si>
    <t>A</t>
  </si>
  <si>
    <t>B</t>
  </si>
  <si>
    <t>Dilution</t>
  </si>
  <si>
    <t>Total Count</t>
  </si>
  <si>
    <t>Genus</t>
  </si>
  <si>
    <t>Page in notebook</t>
  </si>
  <si>
    <t>Al's notebook page 80, 82</t>
  </si>
  <si>
    <t>Al's notebook page 77, 80, 82</t>
  </si>
  <si>
    <t>Al's notebook page 63, 66</t>
  </si>
  <si>
    <t>Al's notebook page 60</t>
  </si>
  <si>
    <t>?</t>
  </si>
  <si>
    <t>Al's notebook page 75, 78, 31?, 32?</t>
  </si>
  <si>
    <t>25?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</si>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</sst>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i/>
      <sz val="11"/>
      <color theme="1"/>
      <name val="Calibri"/>
      <family val="2"/>
      <charset val="238"/>
      <scheme val="minor"/>
    </font>
    <font>
      <i/>
      <sz val="11"/>
      <color rgb="FF7030A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quotePrefix="1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49" fontId="3" fillId="0" borderId="3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Border="1"/>
    <xf numFmtId="0" fontId="3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8" fillId="0" borderId="2" xfId="0" applyFon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9" xfId="0" applyNumberFormat="1" applyFont="1" applyFill="1" applyBorder="1" applyAlignment="1" applyProtection="1"/>
    <xf numFmtId="11" fontId="0" fillId="0" borderId="7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16" xfId="0" applyNumberFormat="1" applyFont="1" applyFill="1" applyBorder="1" applyAlignment="1" applyProtection="1"/>
    <xf numFmtId="11" fontId="0" fillId="0" borderId="13" xfId="0" applyNumberFormat="1" applyFont="1" applyFill="1" applyBorder="1" applyAlignment="1" applyProtection="1"/>
    <xf numFmtId="11" fontId="0" fillId="0" borderId="17" xfId="0" applyNumberFormat="1" applyFont="1" applyFill="1" applyBorder="1" applyAlignment="1" applyProtection="1"/>
    <xf numFmtId="0" fontId="0" fillId="0" borderId="4" xfId="0" applyFill="1" applyBorder="1" applyAlignment="1">
      <alignment horizontal="center" vertical="center"/>
    </xf>
    <xf numFmtId="11" fontId="0" fillId="0" borderId="6" xfId="0" applyNumberFormat="1" applyFont="1" applyFill="1" applyBorder="1" applyAlignment="1" applyProtection="1"/>
    <xf numFmtId="11" fontId="0" fillId="0" borderId="10" xfId="0" applyNumberFormat="1" applyFont="1" applyFill="1" applyBorder="1" applyAlignment="1" applyProtection="1"/>
    <xf numFmtId="11" fontId="0" fillId="0" borderId="0" xfId="0" applyNumberFormat="1"/>
    <xf numFmtId="0" fontId="0" fillId="0" borderId="18" xfId="0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2" xfId="0" applyNumberFormat="1" applyFont="1" applyFill="1" applyBorder="1" applyAlignment="1" applyProtection="1"/>
    <xf numFmtId="11" fontId="0" fillId="0" borderId="20" xfId="0" applyNumberFormat="1" applyFont="1" applyFill="1" applyBorder="1" applyAlignment="1" applyProtection="1"/>
    <xf numFmtId="11" fontId="0" fillId="0" borderId="23" xfId="0" applyNumberFormat="1" applyFont="1" applyFill="1" applyBorder="1" applyAlignment="1" applyProtection="1"/>
    <xf numFmtId="11" fontId="0" fillId="0" borderId="0" xfId="0" applyNumberFormat="1" applyFont="1" applyFill="1" applyAlignment="1" applyProtection="1"/>
    <xf numFmtId="1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ont="1" applyFill="1" applyBorder="1" applyAlignment="1" applyProtection="1"/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/>
    <xf numFmtId="11" fontId="0" fillId="2" borderId="6" xfId="0" applyNumberFormat="1" applyFont="1" applyFill="1" applyBorder="1" applyAlignment="1" applyProtection="1"/>
    <xf numFmtId="11" fontId="0" fillId="2" borderId="10" xfId="0" applyNumberFormat="1" applyFont="1" applyFill="1" applyBorder="1" applyAlignment="1" applyProtection="1"/>
    <xf numFmtId="0" fontId="0" fillId="2" borderId="11" xfId="0" applyFill="1" applyBorder="1" applyAlignment="1">
      <alignment horizontal="center" vertical="center"/>
    </xf>
    <xf numFmtId="11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1" fontId="0" fillId="2" borderId="15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2" borderId="10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3" fillId="0" borderId="3" xfId="0" applyFont="1" applyBorder="1"/>
    <xf numFmtId="0" fontId="4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/>
    <xf numFmtId="11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Serratia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xVal>
          <c:yVal>
            <c:numRef>
              <c:f>Sheet1!$H$2:$H$13</c:f>
              <c:numCache>
                <c:formatCode>0.00E+00</c:formatCode>
                <c:ptCount val="12"/>
                <c:pt idx="0">
                  <c:v>1920</c:v>
                </c:pt>
                <c:pt idx="1">
                  <c:v>2020</c:v>
                </c:pt>
                <c:pt idx="2">
                  <c:v>1920</c:v>
                </c:pt>
                <c:pt idx="3">
                  <c:v>2080</c:v>
                </c:pt>
                <c:pt idx="4">
                  <c:v>8790000000</c:v>
                </c:pt>
                <c:pt idx="5">
                  <c:v>15500000000</c:v>
                </c:pt>
                <c:pt idx="6">
                  <c:v>13500000000</c:v>
                </c:pt>
                <c:pt idx="7">
                  <c:v>11800000000</c:v>
                </c:pt>
                <c:pt idx="8">
                  <c:v>18500000000</c:v>
                </c:pt>
                <c:pt idx="9">
                  <c:v>14900000000</c:v>
                </c:pt>
                <c:pt idx="10">
                  <c:v>17900000000</c:v>
                </c:pt>
                <c:pt idx="11">
                  <c:v>18300000000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4-4411-9508-7FC95B5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8192"/>
        <c:axId val="677659152"/>
      </c:scatterChart>
      <c:valAx>
        <c:axId val="677658192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9152"/>
        <c:crosses val="autoZero"/>
        <c:crossBetween val="midCat"/>
        <c:majorUnit val="7"/>
      </c:valAx>
      <c:valAx>
        <c:axId val="6776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  <a:r>
                  <a:rPr lang="en-US" baseline="0"/>
                  <a:t> (cfu/mL)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Serratia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3.2833012287035497</c:v>
                </c:pt>
                <c:pt idx="1">
                  <c:v>3.3053513694466239</c:v>
                </c:pt>
                <c:pt idx="2">
                  <c:v>3.2833012287035497</c:v>
                </c:pt>
                <c:pt idx="3">
                  <c:v>3.3180633349627615</c:v>
                </c:pt>
                <c:pt idx="4">
                  <c:v>9.9439888750737726</c:v>
                </c:pt>
                <c:pt idx="5">
                  <c:v>10.190331698170292</c:v>
                </c:pt>
                <c:pt idx="6">
                  <c:v>10.130333768495007</c:v>
                </c:pt>
                <c:pt idx="7">
                  <c:v>10.071882007306126</c:v>
                </c:pt>
                <c:pt idx="8">
                  <c:v>10.267171728403014</c:v>
                </c:pt>
                <c:pt idx="9">
                  <c:v>10.173186268412275</c:v>
                </c:pt>
                <c:pt idx="10">
                  <c:v>10.252853030979892</c:v>
                </c:pt>
                <c:pt idx="11">
                  <c:v>10.26245108973043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6F2-91FD-E259BDB7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46744"/>
        <c:axId val="608948024"/>
      </c:scatterChart>
      <c:valAx>
        <c:axId val="608946744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8024"/>
        <c:crosses val="autoZero"/>
        <c:crossBetween val="midCat"/>
        <c:majorUnit val="7"/>
      </c:valAx>
      <c:valAx>
        <c:axId val="6089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CFU/mL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66675</xdr:rowOff>
    </xdr:from>
    <xdr:to>
      <xdr:col>18</xdr:col>
      <xdr:colOff>304800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00B37-96DC-4751-9033-4F2A4FB2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15</xdr:row>
      <xdr:rowOff>114300</xdr:rowOff>
    </xdr:from>
    <xdr:to>
      <xdr:col>11</xdr:col>
      <xdr:colOff>361950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5ECB4-CA20-4A89-A2CC-53F2A93D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E/ALUMNI/WiedmannAlumni/at543_Aljosa%20(Al)%20Trmcic/AT%20Cornell/DAIRY%20SPOILAGE%20COLLECTION_Al_2014/Cold%20growth_%20Silin+Yumin_11_13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LOG DATA"/>
      <sheetName val="Sheet1"/>
      <sheetName val="Sheet2"/>
    </sheetNames>
    <sheetDataSet>
      <sheetData sheetId="0">
        <row r="3">
          <cell r="B3">
            <v>448.5</v>
          </cell>
          <cell r="E3">
            <v>373</v>
          </cell>
          <cell r="H3">
            <v>235</v>
          </cell>
        </row>
        <row r="4">
          <cell r="B4">
            <v>208.5</v>
          </cell>
          <cell r="E4">
            <v>102.4</v>
          </cell>
          <cell r="H4">
            <v>301.5</v>
          </cell>
        </row>
        <row r="5">
          <cell r="B5">
            <v>1576.5</v>
          </cell>
          <cell r="E5">
            <v>358</v>
          </cell>
          <cell r="F5">
            <v>173750</v>
          </cell>
          <cell r="G5">
            <v>2285000</v>
          </cell>
          <cell r="H5">
            <v>311.5</v>
          </cell>
        </row>
        <row r="6">
          <cell r="B6">
            <v>412.5</v>
          </cell>
          <cell r="C6">
            <v>6687.5</v>
          </cell>
          <cell r="D6">
            <v>12075000</v>
          </cell>
          <cell r="E6">
            <v>102.4</v>
          </cell>
          <cell r="F6">
            <v>82300000</v>
          </cell>
          <cell r="G6">
            <v>131000000</v>
          </cell>
          <cell r="H6">
            <v>138</v>
          </cell>
        </row>
        <row r="7">
          <cell r="B7">
            <v>821.5</v>
          </cell>
          <cell r="E7">
            <v>551.5</v>
          </cell>
          <cell r="H7">
            <v>306.5</v>
          </cell>
        </row>
        <row r="8">
          <cell r="B8">
            <v>16600</v>
          </cell>
          <cell r="C8">
            <v>4380</v>
          </cell>
          <cell r="D8">
            <v>413500</v>
          </cell>
          <cell r="E8">
            <v>352.5</v>
          </cell>
          <cell r="F8">
            <v>965.75</v>
          </cell>
          <cell r="G8">
            <v>166</v>
          </cell>
          <cell r="H8">
            <v>286</v>
          </cell>
        </row>
        <row r="9">
          <cell r="B9">
            <v>1870</v>
          </cell>
          <cell r="E9">
            <v>128</v>
          </cell>
          <cell r="H9">
            <v>189</v>
          </cell>
        </row>
        <row r="10">
          <cell r="B10">
            <v>1865</v>
          </cell>
          <cell r="E10">
            <v>107.25</v>
          </cell>
          <cell r="H10">
            <v>117.5</v>
          </cell>
        </row>
        <row r="11">
          <cell r="B11">
            <v>1675</v>
          </cell>
          <cell r="C11">
            <v>8800000</v>
          </cell>
          <cell r="D11">
            <v>30266666.666666668</v>
          </cell>
          <cell r="E11">
            <v>107.5</v>
          </cell>
          <cell r="F11">
            <v>9080000</v>
          </cell>
          <cell r="G11">
            <v>49050000</v>
          </cell>
          <cell r="H11">
            <v>319.5</v>
          </cell>
          <cell r="I11">
            <v>127000</v>
          </cell>
          <cell r="J11">
            <v>9750000</v>
          </cell>
        </row>
        <row r="12">
          <cell r="B12">
            <v>3080</v>
          </cell>
          <cell r="C12">
            <v>5993333.333333333</v>
          </cell>
          <cell r="D12">
            <v>32800000</v>
          </cell>
          <cell r="E12">
            <v>555.5</v>
          </cell>
          <cell r="F12">
            <v>5905000</v>
          </cell>
          <cell r="G12">
            <v>21500000</v>
          </cell>
          <cell r="H12">
            <v>328.5</v>
          </cell>
          <cell r="I12">
            <v>265750</v>
          </cell>
          <cell r="J12">
            <v>11550000</v>
          </cell>
        </row>
        <row r="13">
          <cell r="B13">
            <v>494</v>
          </cell>
          <cell r="C13">
            <v>9823333.333333334</v>
          </cell>
          <cell r="D13">
            <v>60250000</v>
          </cell>
          <cell r="E13">
            <v>169</v>
          </cell>
          <cell r="F13">
            <v>6790000</v>
          </cell>
          <cell r="G13">
            <v>36433333.333333336</v>
          </cell>
          <cell r="H13">
            <v>322</v>
          </cell>
          <cell r="I13">
            <v>401750</v>
          </cell>
          <cell r="J13">
            <v>15250000</v>
          </cell>
        </row>
        <row r="14">
          <cell r="B14">
            <v>453.5</v>
          </cell>
          <cell r="C14">
            <v>26666666.666666668</v>
          </cell>
          <cell r="D14">
            <v>113500000</v>
          </cell>
          <cell r="E14">
            <v>342.5</v>
          </cell>
          <cell r="F14">
            <v>60500000</v>
          </cell>
          <cell r="G14">
            <v>92300000</v>
          </cell>
          <cell r="H14">
            <v>521.5</v>
          </cell>
          <cell r="I14">
            <v>2540</v>
          </cell>
          <cell r="J14">
            <v>415</v>
          </cell>
        </row>
        <row r="15">
          <cell r="B15">
            <v>1150</v>
          </cell>
          <cell r="C15">
            <v>28766666.666666668</v>
          </cell>
          <cell r="D15">
            <v>53650000</v>
          </cell>
          <cell r="E15">
            <v>490.5</v>
          </cell>
          <cell r="F15">
            <v>47500000</v>
          </cell>
          <cell r="G15">
            <v>33733333.333333336</v>
          </cell>
          <cell r="H15">
            <v>598</v>
          </cell>
          <cell r="I15">
            <v>10800000</v>
          </cell>
          <cell r="J15">
            <v>32150000</v>
          </cell>
        </row>
        <row r="16">
          <cell r="B16">
            <v>664</v>
          </cell>
          <cell r="C16">
            <v>15705000</v>
          </cell>
          <cell r="D16">
            <v>22407500</v>
          </cell>
          <cell r="E16">
            <v>240</v>
          </cell>
          <cell r="F16">
            <v>32500000</v>
          </cell>
          <cell r="G16">
            <v>36866666.666666664</v>
          </cell>
          <cell r="H16">
            <v>102.25</v>
          </cell>
          <cell r="I16">
            <v>29266666.666666668</v>
          </cell>
          <cell r="J16">
            <v>36600000</v>
          </cell>
        </row>
        <row r="17">
          <cell r="B17">
            <v>410.5</v>
          </cell>
          <cell r="C17">
            <v>243500000</v>
          </cell>
          <cell r="D17">
            <v>1640000000</v>
          </cell>
          <cell r="E17">
            <v>122.5</v>
          </cell>
          <cell r="F17">
            <v>81950000</v>
          </cell>
          <cell r="G17">
            <v>1464750000</v>
          </cell>
          <cell r="H17">
            <v>291</v>
          </cell>
          <cell r="I17">
            <v>91500000</v>
          </cell>
          <cell r="J17">
            <v>829000000</v>
          </cell>
        </row>
        <row r="18">
          <cell r="B18">
            <v>3690</v>
          </cell>
          <cell r="C18">
            <v>39766666.666666664</v>
          </cell>
          <cell r="D18">
            <v>370250000</v>
          </cell>
          <cell r="E18">
            <v>393.5</v>
          </cell>
          <cell r="F18">
            <v>3200000</v>
          </cell>
          <cell r="G18">
            <v>48550000</v>
          </cell>
          <cell r="H18">
            <v>301</v>
          </cell>
          <cell r="I18">
            <v>14550000</v>
          </cell>
          <cell r="J18">
            <v>40975000</v>
          </cell>
        </row>
        <row r="19">
          <cell r="B19">
            <v>1430</v>
          </cell>
          <cell r="E19">
            <v>2455</v>
          </cell>
          <cell r="H19">
            <v>3700</v>
          </cell>
        </row>
        <row r="20">
          <cell r="B20">
            <v>1764</v>
          </cell>
          <cell r="C20">
            <v>99657222.222222224</v>
          </cell>
          <cell r="D20">
            <v>13447500</v>
          </cell>
          <cell r="E20">
            <v>480.5</v>
          </cell>
          <cell r="F20">
            <v>28366666.666666668</v>
          </cell>
          <cell r="G20">
            <v>53150000</v>
          </cell>
          <cell r="H20">
            <v>117.5</v>
          </cell>
        </row>
        <row r="21">
          <cell r="B21">
            <v>15.7</v>
          </cell>
          <cell r="E21">
            <v>117.5</v>
          </cell>
          <cell r="F21">
            <v>37.566666666666663</v>
          </cell>
          <cell r="H21">
            <v>1125</v>
          </cell>
          <cell r="I21">
            <v>728.75</v>
          </cell>
          <cell r="J21">
            <v>520.33333333333337</v>
          </cell>
        </row>
        <row r="22">
          <cell r="B22">
            <v>1550.5</v>
          </cell>
          <cell r="C22">
            <v>8647500</v>
          </cell>
          <cell r="D22">
            <v>7830000</v>
          </cell>
          <cell r="E22">
            <v>682</v>
          </cell>
          <cell r="F22">
            <v>35866666.666666664</v>
          </cell>
          <cell r="G22">
            <v>36250000</v>
          </cell>
          <cell r="H22">
            <v>751</v>
          </cell>
          <cell r="I22">
            <v>1025500</v>
          </cell>
          <cell r="J22">
            <v>13750000</v>
          </cell>
        </row>
        <row r="23">
          <cell r="E23">
            <v>664</v>
          </cell>
          <cell r="F23">
            <v>19100</v>
          </cell>
          <cell r="G23">
            <v>3563.3333333333335</v>
          </cell>
          <cell r="H23">
            <v>409</v>
          </cell>
          <cell r="I23">
            <v>10300</v>
          </cell>
          <cell r="J23">
            <v>1865</v>
          </cell>
        </row>
        <row r="24">
          <cell r="B24">
            <v>1835</v>
          </cell>
          <cell r="C24">
            <v>7145</v>
          </cell>
          <cell r="D24">
            <v>4780</v>
          </cell>
          <cell r="E24">
            <v>347.5</v>
          </cell>
          <cell r="F24">
            <v>12025</v>
          </cell>
          <cell r="G24">
            <v>20200</v>
          </cell>
          <cell r="H24">
            <v>577.5</v>
          </cell>
          <cell r="I24">
            <v>42700</v>
          </cell>
          <cell r="J24">
            <v>44750</v>
          </cell>
        </row>
        <row r="25">
          <cell r="B25">
            <v>314</v>
          </cell>
          <cell r="C25">
            <v>361.25</v>
          </cell>
          <cell r="D25">
            <v>504.33333333333331</v>
          </cell>
          <cell r="E25">
            <v>419</v>
          </cell>
          <cell r="F25">
            <v>369</v>
          </cell>
          <cell r="G25">
            <v>447.25</v>
          </cell>
          <cell r="H25">
            <v>158.5</v>
          </cell>
          <cell r="I25">
            <v>74.05</v>
          </cell>
          <cell r="J25">
            <v>50.724999999999994</v>
          </cell>
        </row>
        <row r="26">
          <cell r="B26">
            <v>211</v>
          </cell>
          <cell r="C26">
            <v>299.75</v>
          </cell>
          <cell r="D26">
            <v>242.25</v>
          </cell>
          <cell r="E26">
            <v>235</v>
          </cell>
          <cell r="F26">
            <v>529</v>
          </cell>
          <cell r="G26">
            <v>779.25</v>
          </cell>
          <cell r="H26">
            <v>388.5</v>
          </cell>
          <cell r="I26">
            <v>537.5</v>
          </cell>
          <cell r="J26">
            <v>411.5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A6D6-6293-43E6-868B-C1FA32F224C4}">
  <sheetPr>
    <pageSetUpPr fitToPage="1"/>
  </sheetPr>
  <dimension ref="A1:S33"/>
  <sheetViews>
    <sheetView zoomScaleNormal="100" workbookViewId="0">
      <selection activeCell="C20" sqref="A3:C20"/>
    </sheetView>
  </sheetViews>
  <sheetFormatPr defaultRowHeight="15" x14ac:dyDescent="0.25"/>
  <cols>
    <col min="1" max="1" width="13.5703125" style="1" customWidth="1"/>
    <col min="2" max="2" width="15.28515625" style="1" customWidth="1"/>
    <col min="3" max="3" width="20.85546875" style="1" customWidth="1"/>
    <col min="4" max="4" width="10.5703125" style="1" customWidth="1"/>
    <col min="5" max="5" width="21" style="1" customWidth="1"/>
    <col min="6" max="6" width="11.140625" style="1" customWidth="1"/>
    <col min="7" max="10" width="9.140625" style="1" customWidth="1"/>
    <col min="11" max="11" width="11" style="1" customWidth="1"/>
    <col min="12" max="12" width="11.42578125" style="1" customWidth="1"/>
    <col min="13" max="13" width="9.140625" style="1" customWidth="1"/>
    <col min="14" max="14" width="10.5703125" style="1" customWidth="1"/>
    <col min="15" max="15" width="1" style="1" customWidth="1"/>
    <col min="16" max="16" width="11.85546875" style="1" customWidth="1"/>
    <col min="17" max="17" width="9.140625" style="1" customWidth="1"/>
    <col min="18" max="18" width="10.7109375" style="1" customWidth="1"/>
    <col min="19" max="19" width="26.7109375" style="1" customWidth="1"/>
    <col min="20" max="16384" width="9.140625" style="2"/>
  </cols>
  <sheetData>
    <row r="1" spans="1:19" x14ac:dyDescent="0.25">
      <c r="A1" s="1" t="s">
        <v>0</v>
      </c>
    </row>
    <row r="2" spans="1:19" ht="20.100000000000001" customHeight="1" x14ac:dyDescent="0.25">
      <c r="A2" s="3"/>
      <c r="B2" s="3"/>
      <c r="C2" s="3"/>
      <c r="D2" s="153" t="s">
        <v>1</v>
      </c>
      <c r="E2" s="3"/>
      <c r="F2" s="155" t="s">
        <v>2</v>
      </c>
      <c r="G2" s="155"/>
      <c r="H2" s="155"/>
      <c r="I2" s="155"/>
      <c r="J2" s="155"/>
      <c r="K2" s="4" t="s">
        <v>3</v>
      </c>
      <c r="L2" s="155" t="s">
        <v>4</v>
      </c>
      <c r="M2" s="155"/>
      <c r="N2" s="155"/>
      <c r="O2" s="3"/>
      <c r="P2" s="156" t="s">
        <v>5</v>
      </c>
      <c r="Q2" s="156"/>
      <c r="R2" s="156"/>
      <c r="S2" s="3"/>
    </row>
    <row r="3" spans="1:19" ht="20.100000000000001" customHeight="1" x14ac:dyDescent="0.25">
      <c r="A3" s="5" t="s">
        <v>6</v>
      </c>
      <c r="B3" s="5" t="s">
        <v>7</v>
      </c>
      <c r="C3" s="5" t="s">
        <v>8</v>
      </c>
      <c r="D3" s="154"/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7" t="s">
        <v>14</v>
      </c>
      <c r="K3" s="8" t="s">
        <v>15</v>
      </c>
      <c r="L3" s="9" t="s">
        <v>16</v>
      </c>
      <c r="M3" s="9" t="s">
        <v>17</v>
      </c>
      <c r="N3" s="10" t="s">
        <v>18</v>
      </c>
      <c r="O3" s="9"/>
      <c r="P3" s="9" t="s">
        <v>16</v>
      </c>
      <c r="Q3" s="9" t="s">
        <v>19</v>
      </c>
      <c r="R3" s="10" t="s">
        <v>18</v>
      </c>
      <c r="S3" s="6" t="s">
        <v>20</v>
      </c>
    </row>
    <row r="4" spans="1:19" ht="24" customHeight="1" x14ac:dyDescent="0.25">
      <c r="A4" s="25" t="s">
        <v>45</v>
      </c>
      <c r="C4" s="25"/>
      <c r="D4" s="26"/>
      <c r="E4" s="25"/>
      <c r="F4" s="3"/>
      <c r="G4" s="3"/>
      <c r="H4" s="3"/>
      <c r="I4" s="3"/>
      <c r="J4" s="3"/>
      <c r="K4" s="3"/>
      <c r="S4" s="3"/>
    </row>
    <row r="5" spans="1:19" ht="24" customHeight="1" x14ac:dyDescent="0.25">
      <c r="A5" s="11" t="s">
        <v>46</v>
      </c>
      <c r="B5" s="22" t="s">
        <v>47</v>
      </c>
      <c r="C5" s="22" t="s">
        <v>48</v>
      </c>
      <c r="D5" s="13" t="s">
        <v>43</v>
      </c>
      <c r="E5" s="11" t="s">
        <v>21</v>
      </c>
      <c r="F5" s="14" t="s">
        <v>22</v>
      </c>
      <c r="G5" s="14" t="s">
        <v>24</v>
      </c>
      <c r="H5" s="14" t="s">
        <v>34</v>
      </c>
      <c r="I5" s="14" t="s">
        <v>49</v>
      </c>
      <c r="J5" s="14" t="s">
        <v>22</v>
      </c>
      <c r="K5" s="15" t="s">
        <v>32</v>
      </c>
      <c r="L5" s="16" t="s">
        <v>26</v>
      </c>
      <c r="M5" s="15" t="s">
        <v>30</v>
      </c>
      <c r="N5" s="15" t="s">
        <v>31</v>
      </c>
      <c r="O5" s="15"/>
      <c r="P5" s="16" t="s">
        <v>26</v>
      </c>
      <c r="Q5" s="15" t="s">
        <v>27</v>
      </c>
      <c r="R5" s="15" t="s">
        <v>32</v>
      </c>
      <c r="S5" s="14" t="s">
        <v>29</v>
      </c>
    </row>
    <row r="6" spans="1:19" ht="24" customHeight="1" x14ac:dyDescent="0.25">
      <c r="A6" s="11" t="s">
        <v>50</v>
      </c>
      <c r="B6" s="22" t="s">
        <v>51</v>
      </c>
      <c r="C6" s="21" t="s">
        <v>33</v>
      </c>
      <c r="D6" s="13" t="s">
        <v>43</v>
      </c>
      <c r="E6" s="11" t="s">
        <v>38</v>
      </c>
      <c r="F6" s="14" t="s">
        <v>34</v>
      </c>
      <c r="G6" s="14" t="s">
        <v>34</v>
      </c>
      <c r="H6" s="14" t="s">
        <v>49</v>
      </c>
      <c r="I6" s="14" t="s">
        <v>34</v>
      </c>
      <c r="J6" s="14" t="s">
        <v>22</v>
      </c>
      <c r="K6" s="15" t="s">
        <v>28</v>
      </c>
      <c r="L6" s="15" t="s">
        <v>30</v>
      </c>
      <c r="M6" s="15" t="s">
        <v>30</v>
      </c>
      <c r="N6" s="15" t="s">
        <v>25</v>
      </c>
      <c r="O6" s="15"/>
      <c r="P6" s="15" t="s">
        <v>30</v>
      </c>
      <c r="Q6" s="15" t="s">
        <v>30</v>
      </c>
      <c r="R6" s="15" t="s">
        <v>25</v>
      </c>
      <c r="S6" s="14" t="s">
        <v>29</v>
      </c>
    </row>
    <row r="7" spans="1:19" ht="24" customHeight="1" x14ac:dyDescent="0.25">
      <c r="A7" s="11" t="s">
        <v>52</v>
      </c>
      <c r="B7" s="20" t="s">
        <v>53</v>
      </c>
      <c r="C7" s="12" t="s">
        <v>54</v>
      </c>
      <c r="D7" s="13" t="s">
        <v>43</v>
      </c>
      <c r="E7" s="11" t="s">
        <v>38</v>
      </c>
      <c r="F7" s="14" t="s">
        <v>34</v>
      </c>
      <c r="G7" s="14" t="s">
        <v>24</v>
      </c>
      <c r="H7" s="14" t="s">
        <v>23</v>
      </c>
      <c r="I7" s="19" t="s">
        <v>34</v>
      </c>
      <c r="J7" s="14" t="s">
        <v>22</v>
      </c>
      <c r="K7" s="15" t="s">
        <v>28</v>
      </c>
      <c r="L7" s="15" t="s">
        <v>30</v>
      </c>
      <c r="M7" s="15" t="s">
        <v>30</v>
      </c>
      <c r="N7" s="15" t="s">
        <v>25</v>
      </c>
      <c r="O7" s="15"/>
      <c r="P7" s="15" t="s">
        <v>30</v>
      </c>
      <c r="Q7" s="15" t="s">
        <v>30</v>
      </c>
      <c r="R7" s="15" t="s">
        <v>25</v>
      </c>
      <c r="S7" s="14" t="s">
        <v>29</v>
      </c>
    </row>
    <row r="8" spans="1:19" ht="24" customHeight="1" x14ac:dyDescent="0.25">
      <c r="A8" s="11" t="s">
        <v>55</v>
      </c>
      <c r="B8" s="20" t="s">
        <v>56</v>
      </c>
      <c r="C8" s="11" t="s">
        <v>33</v>
      </c>
      <c r="D8" s="13" t="s">
        <v>43</v>
      </c>
      <c r="E8" s="11" t="s">
        <v>38</v>
      </c>
      <c r="F8" s="14" t="s">
        <v>34</v>
      </c>
      <c r="G8" s="14" t="s">
        <v>34</v>
      </c>
      <c r="H8" s="14" t="s">
        <v>49</v>
      </c>
      <c r="I8" s="19" t="s">
        <v>22</v>
      </c>
      <c r="J8" s="14" t="s">
        <v>22</v>
      </c>
      <c r="K8" s="15" t="s">
        <v>28</v>
      </c>
      <c r="L8" s="15" t="s">
        <v>27</v>
      </c>
      <c r="M8" s="15" t="s">
        <v>30</v>
      </c>
      <c r="N8" s="15" t="s">
        <v>25</v>
      </c>
      <c r="O8" s="15"/>
      <c r="P8" s="15" t="s">
        <v>30</v>
      </c>
      <c r="Q8" s="15" t="s">
        <v>30</v>
      </c>
      <c r="R8" s="15" t="s">
        <v>25</v>
      </c>
      <c r="S8" s="14" t="s">
        <v>29</v>
      </c>
    </row>
    <row r="9" spans="1:19" ht="24" customHeight="1" x14ac:dyDescent="0.25">
      <c r="A9" s="11" t="s">
        <v>57</v>
      </c>
      <c r="B9" s="12" t="s">
        <v>58</v>
      </c>
      <c r="C9" s="11" t="s">
        <v>33</v>
      </c>
      <c r="D9" s="13" t="s">
        <v>43</v>
      </c>
      <c r="E9" s="11" t="s">
        <v>38</v>
      </c>
      <c r="F9" s="14" t="s">
        <v>34</v>
      </c>
      <c r="G9" s="14" t="s">
        <v>34</v>
      </c>
      <c r="H9" s="14" t="s">
        <v>23</v>
      </c>
      <c r="I9" s="19" t="s">
        <v>34</v>
      </c>
      <c r="J9" s="14" t="s">
        <v>22</v>
      </c>
      <c r="K9" s="15" t="s">
        <v>28</v>
      </c>
      <c r="L9" s="15" t="s">
        <v>30</v>
      </c>
      <c r="M9" s="15" t="s">
        <v>30</v>
      </c>
      <c r="N9" s="15" t="s">
        <v>25</v>
      </c>
      <c r="O9" s="15"/>
      <c r="P9" s="15" t="s">
        <v>30</v>
      </c>
      <c r="Q9" s="15" t="s">
        <v>30</v>
      </c>
      <c r="R9" s="18" t="s">
        <v>25</v>
      </c>
      <c r="S9" s="14" t="s">
        <v>29</v>
      </c>
    </row>
    <row r="10" spans="1:19" ht="24" customHeight="1" x14ac:dyDescent="0.25">
      <c r="A10" s="11" t="s">
        <v>59</v>
      </c>
      <c r="B10" s="12" t="s">
        <v>60</v>
      </c>
      <c r="C10" s="11" t="s">
        <v>33</v>
      </c>
      <c r="D10" s="13" t="s">
        <v>43</v>
      </c>
      <c r="E10" s="11"/>
      <c r="F10" s="14" t="s">
        <v>34</v>
      </c>
      <c r="G10" s="14" t="s">
        <v>23</v>
      </c>
      <c r="H10" s="19" t="s">
        <v>34</v>
      </c>
      <c r="I10" s="14" t="s">
        <v>22</v>
      </c>
      <c r="J10" s="14" t="s">
        <v>22</v>
      </c>
      <c r="K10" s="15" t="s">
        <v>37</v>
      </c>
      <c r="L10" s="15" t="s">
        <v>30</v>
      </c>
      <c r="M10" s="15" t="s">
        <v>30</v>
      </c>
      <c r="N10" s="18" t="s">
        <v>35</v>
      </c>
      <c r="O10" s="16"/>
      <c r="P10" s="15" t="s">
        <v>30</v>
      </c>
      <c r="Q10" s="15" t="s">
        <v>30</v>
      </c>
      <c r="R10" s="18" t="s">
        <v>35</v>
      </c>
      <c r="S10" s="14"/>
    </row>
    <row r="11" spans="1:19" ht="24" customHeight="1" x14ac:dyDescent="0.25">
      <c r="A11" s="11" t="s">
        <v>61</v>
      </c>
      <c r="B11" s="12" t="s">
        <v>62</v>
      </c>
      <c r="C11" s="11" t="s">
        <v>33</v>
      </c>
      <c r="D11" s="13" t="s">
        <v>43</v>
      </c>
      <c r="E11" s="11"/>
      <c r="F11" s="14" t="s">
        <v>22</v>
      </c>
      <c r="G11" s="19" t="s">
        <v>34</v>
      </c>
      <c r="H11" s="14" t="s">
        <v>23</v>
      </c>
      <c r="I11" s="14" t="s">
        <v>34</v>
      </c>
      <c r="J11" s="14" t="s">
        <v>22</v>
      </c>
      <c r="K11" s="15" t="s">
        <v>28</v>
      </c>
      <c r="L11" s="16" t="s">
        <v>26</v>
      </c>
      <c r="M11" s="15" t="s">
        <v>30</v>
      </c>
      <c r="N11" s="18" t="s">
        <v>28</v>
      </c>
      <c r="O11" s="16"/>
      <c r="P11" s="16" t="s">
        <v>26</v>
      </c>
      <c r="Q11" s="15" t="s">
        <v>30</v>
      </c>
      <c r="R11" s="18" t="s">
        <v>40</v>
      </c>
      <c r="S11" s="14" t="s">
        <v>63</v>
      </c>
    </row>
    <row r="12" spans="1:19" ht="24" customHeight="1" x14ac:dyDescent="0.25">
      <c r="A12" s="11" t="s">
        <v>64</v>
      </c>
      <c r="B12" s="12" t="s">
        <v>65</v>
      </c>
      <c r="C12" s="11" t="s">
        <v>33</v>
      </c>
      <c r="D12" s="13" t="s">
        <v>43</v>
      </c>
      <c r="E12" s="11" t="s">
        <v>38</v>
      </c>
      <c r="F12" s="14" t="s">
        <v>34</v>
      </c>
      <c r="G12" s="14" t="s">
        <v>34</v>
      </c>
      <c r="H12" s="14" t="s">
        <v>23</v>
      </c>
      <c r="I12" s="14" t="s">
        <v>34</v>
      </c>
      <c r="J12" s="14" t="s">
        <v>22</v>
      </c>
      <c r="K12" s="15" t="s">
        <v>28</v>
      </c>
      <c r="L12" s="15" t="s">
        <v>30</v>
      </c>
      <c r="M12" s="15" t="s">
        <v>30</v>
      </c>
      <c r="N12" s="18" t="s">
        <v>25</v>
      </c>
      <c r="O12" s="15"/>
      <c r="P12" s="15" t="s">
        <v>30</v>
      </c>
      <c r="Q12" s="15" t="s">
        <v>30</v>
      </c>
      <c r="R12" s="15" t="s">
        <v>25</v>
      </c>
      <c r="S12" s="14" t="s">
        <v>29</v>
      </c>
    </row>
    <row r="13" spans="1:19" ht="24" customHeight="1" x14ac:dyDescent="0.25">
      <c r="A13" s="11" t="s">
        <v>66</v>
      </c>
      <c r="B13" s="22" t="s">
        <v>67</v>
      </c>
      <c r="C13" s="12" t="s">
        <v>68</v>
      </c>
      <c r="D13" s="13" t="s">
        <v>43</v>
      </c>
      <c r="E13" s="11" t="s">
        <v>38</v>
      </c>
      <c r="F13" s="14" t="s">
        <v>34</v>
      </c>
      <c r="G13" s="14" t="s">
        <v>34</v>
      </c>
      <c r="H13" s="14" t="s">
        <v>23</v>
      </c>
      <c r="I13" s="14" t="s">
        <v>22</v>
      </c>
      <c r="J13" s="14" t="s">
        <v>26</v>
      </c>
      <c r="K13" s="15" t="s">
        <v>25</v>
      </c>
      <c r="L13" s="15" t="s">
        <v>36</v>
      </c>
      <c r="M13" s="15" t="s">
        <v>36</v>
      </c>
      <c r="N13" s="18" t="s">
        <v>40</v>
      </c>
      <c r="O13" s="15"/>
      <c r="P13" s="15" t="s">
        <v>36</v>
      </c>
      <c r="Q13" s="15" t="s">
        <v>36</v>
      </c>
      <c r="R13" s="18" t="s">
        <v>40</v>
      </c>
      <c r="S13" s="14" t="s">
        <v>69</v>
      </c>
    </row>
    <row r="14" spans="1:19" ht="24" customHeight="1" x14ac:dyDescent="0.25">
      <c r="A14" s="11" t="s">
        <v>70</v>
      </c>
      <c r="B14" s="22" t="s">
        <v>67</v>
      </c>
      <c r="C14" s="22" t="s">
        <v>71</v>
      </c>
      <c r="D14" s="13" t="s">
        <v>43</v>
      </c>
      <c r="E14" s="11" t="s">
        <v>38</v>
      </c>
      <c r="F14" s="14" t="s">
        <v>39</v>
      </c>
      <c r="G14" s="14" t="s">
        <v>41</v>
      </c>
      <c r="H14" s="14" t="s">
        <v>24</v>
      </c>
      <c r="I14" s="14" t="s">
        <v>22</v>
      </c>
      <c r="J14" s="14" t="s">
        <v>26</v>
      </c>
      <c r="K14" s="15" t="s">
        <v>35</v>
      </c>
      <c r="L14" s="15" t="s">
        <v>36</v>
      </c>
      <c r="M14" s="15" t="s">
        <v>30</v>
      </c>
      <c r="N14" s="18" t="s">
        <v>35</v>
      </c>
      <c r="O14" s="15"/>
      <c r="P14" s="15" t="s">
        <v>36</v>
      </c>
      <c r="Q14" s="15" t="s">
        <v>27</v>
      </c>
      <c r="R14" s="18" t="s">
        <v>37</v>
      </c>
      <c r="S14" s="14" t="s">
        <v>29</v>
      </c>
    </row>
    <row r="15" spans="1:19" ht="24" customHeight="1" x14ac:dyDescent="0.25">
      <c r="A15" s="11" t="s">
        <v>72</v>
      </c>
      <c r="B15" s="22" t="s">
        <v>67</v>
      </c>
      <c r="C15" s="21" t="s">
        <v>33</v>
      </c>
      <c r="D15" s="13" t="s">
        <v>43</v>
      </c>
      <c r="E15" s="11" t="s">
        <v>38</v>
      </c>
      <c r="F15" s="14" t="s">
        <v>39</v>
      </c>
      <c r="G15" s="14" t="s">
        <v>24</v>
      </c>
      <c r="H15" s="14" t="s">
        <v>23</v>
      </c>
      <c r="I15" s="14" t="s">
        <v>22</v>
      </c>
      <c r="J15" s="14" t="s">
        <v>26</v>
      </c>
      <c r="K15" s="15" t="s">
        <v>25</v>
      </c>
      <c r="L15" s="15" t="s">
        <v>36</v>
      </c>
      <c r="M15" s="15" t="s">
        <v>36</v>
      </c>
      <c r="N15" s="18" t="s">
        <v>40</v>
      </c>
      <c r="O15" s="15"/>
      <c r="P15" s="15" t="s">
        <v>36</v>
      </c>
      <c r="Q15" s="15" t="s">
        <v>36</v>
      </c>
      <c r="R15" s="18" t="s">
        <v>40</v>
      </c>
      <c r="S15" s="14" t="s">
        <v>29</v>
      </c>
    </row>
    <row r="16" spans="1:19" ht="24" customHeight="1" x14ac:dyDescent="0.25">
      <c r="A16" s="11" t="s">
        <v>73</v>
      </c>
      <c r="B16" s="22" t="s">
        <v>67</v>
      </c>
      <c r="C16" s="21" t="s">
        <v>33</v>
      </c>
      <c r="D16" s="13" t="s">
        <v>43</v>
      </c>
      <c r="E16" s="11" t="s">
        <v>38</v>
      </c>
      <c r="F16" s="14" t="s">
        <v>34</v>
      </c>
      <c r="G16" s="14" t="s">
        <v>23</v>
      </c>
      <c r="H16" s="14" t="s">
        <v>34</v>
      </c>
      <c r="I16" s="14" t="s">
        <v>22</v>
      </c>
      <c r="J16" s="14" t="s">
        <v>26</v>
      </c>
      <c r="K16" s="15" t="s">
        <v>35</v>
      </c>
      <c r="L16" s="15" t="s">
        <v>30</v>
      </c>
      <c r="M16" s="15" t="s">
        <v>30</v>
      </c>
      <c r="N16" s="18" t="s">
        <v>35</v>
      </c>
      <c r="O16" s="15"/>
      <c r="P16" s="15" t="s">
        <v>27</v>
      </c>
      <c r="Q16" s="15" t="s">
        <v>27</v>
      </c>
      <c r="R16" s="18" t="s">
        <v>37</v>
      </c>
      <c r="S16" s="14" t="s">
        <v>29</v>
      </c>
    </row>
    <row r="17" spans="1:19" ht="24" customHeight="1" x14ac:dyDescent="0.25">
      <c r="A17" s="11" t="s">
        <v>74</v>
      </c>
      <c r="B17" s="22" t="s">
        <v>75</v>
      </c>
      <c r="C17" s="21" t="s">
        <v>33</v>
      </c>
      <c r="D17" s="13" t="s">
        <v>43</v>
      </c>
      <c r="E17" s="13"/>
      <c r="F17" s="14" t="s">
        <v>34</v>
      </c>
      <c r="G17" s="14" t="s">
        <v>34</v>
      </c>
      <c r="H17" s="14" t="s">
        <v>23</v>
      </c>
      <c r="I17" s="14" t="s">
        <v>22</v>
      </c>
      <c r="J17" s="14" t="s">
        <v>26</v>
      </c>
      <c r="K17" s="15" t="s">
        <v>25</v>
      </c>
      <c r="L17" s="15" t="s">
        <v>30</v>
      </c>
      <c r="M17" s="15" t="s">
        <v>30</v>
      </c>
      <c r="N17" s="18" t="s">
        <v>25</v>
      </c>
      <c r="O17" s="16"/>
      <c r="P17" s="15" t="s">
        <v>36</v>
      </c>
      <c r="Q17" s="15" t="s">
        <v>36</v>
      </c>
      <c r="R17" s="18" t="s">
        <v>40</v>
      </c>
      <c r="S17" s="14" t="s">
        <v>29</v>
      </c>
    </row>
    <row r="18" spans="1:19" ht="24" customHeight="1" x14ac:dyDescent="0.25">
      <c r="A18" s="11" t="s">
        <v>76</v>
      </c>
      <c r="B18" s="22" t="s">
        <v>77</v>
      </c>
      <c r="C18" s="21" t="s">
        <v>33</v>
      </c>
      <c r="D18" s="13" t="s">
        <v>43</v>
      </c>
      <c r="E18" s="13"/>
      <c r="F18" s="14" t="s">
        <v>34</v>
      </c>
      <c r="G18" s="14" t="s">
        <v>42</v>
      </c>
      <c r="H18" s="14" t="s">
        <v>22</v>
      </c>
      <c r="I18" s="14" t="s">
        <v>22</v>
      </c>
      <c r="J18" s="14" t="s">
        <v>26</v>
      </c>
      <c r="K18" s="15" t="s">
        <v>35</v>
      </c>
      <c r="L18" s="15" t="s">
        <v>30</v>
      </c>
      <c r="M18" s="15" t="s">
        <v>30</v>
      </c>
      <c r="N18" s="18" t="s">
        <v>35</v>
      </c>
      <c r="O18" s="16"/>
      <c r="P18" s="15" t="s">
        <v>27</v>
      </c>
      <c r="Q18" s="15" t="s">
        <v>27</v>
      </c>
      <c r="R18" s="18" t="s">
        <v>37</v>
      </c>
      <c r="S18" s="14" t="s">
        <v>29</v>
      </c>
    </row>
    <row r="19" spans="1:19" ht="24" customHeight="1" x14ac:dyDescent="0.25">
      <c r="A19" s="11" t="s">
        <v>78</v>
      </c>
      <c r="B19" s="22" t="s">
        <v>79</v>
      </c>
      <c r="C19" s="21" t="s">
        <v>33</v>
      </c>
      <c r="D19" s="13" t="s">
        <v>43</v>
      </c>
      <c r="E19" s="11" t="s">
        <v>38</v>
      </c>
      <c r="F19" s="14" t="s">
        <v>34</v>
      </c>
      <c r="G19" s="14" t="s">
        <v>41</v>
      </c>
      <c r="H19" s="14" t="s">
        <v>22</v>
      </c>
      <c r="I19" s="14" t="s">
        <v>26</v>
      </c>
      <c r="J19" s="14" t="s">
        <v>26</v>
      </c>
      <c r="K19" s="15" t="s">
        <v>37</v>
      </c>
      <c r="L19" s="15" t="s">
        <v>36</v>
      </c>
      <c r="M19" s="15" t="s">
        <v>27</v>
      </c>
      <c r="N19" s="18" t="s">
        <v>37</v>
      </c>
      <c r="O19" s="27"/>
      <c r="P19" s="15" t="s">
        <v>27</v>
      </c>
      <c r="Q19" s="15" t="s">
        <v>27</v>
      </c>
      <c r="R19" s="18" t="s">
        <v>37</v>
      </c>
      <c r="S19" s="14" t="s">
        <v>80</v>
      </c>
    </row>
    <row r="20" spans="1:19" ht="24" customHeight="1" x14ac:dyDescent="0.25">
      <c r="A20" s="28" t="s">
        <v>81</v>
      </c>
      <c r="B20" s="23" t="s">
        <v>82</v>
      </c>
      <c r="C20" s="23" t="s">
        <v>83</v>
      </c>
      <c r="D20" s="29" t="s">
        <v>43</v>
      </c>
      <c r="E20" s="28" t="s">
        <v>44</v>
      </c>
      <c r="F20" s="30" t="s">
        <v>22</v>
      </c>
      <c r="G20" s="30" t="s">
        <v>42</v>
      </c>
      <c r="H20" s="30" t="s">
        <v>22</v>
      </c>
      <c r="I20" s="30" t="s">
        <v>22</v>
      </c>
      <c r="J20" s="30" t="s">
        <v>26</v>
      </c>
      <c r="K20" s="24" t="s">
        <v>35</v>
      </c>
      <c r="L20" s="31" t="s">
        <v>26</v>
      </c>
      <c r="M20" s="24" t="s">
        <v>30</v>
      </c>
      <c r="N20" s="32" t="s">
        <v>35</v>
      </c>
      <c r="O20" s="31"/>
      <c r="P20" s="31" t="s">
        <v>26</v>
      </c>
      <c r="Q20" s="24" t="s">
        <v>27</v>
      </c>
      <c r="R20" s="32" t="s">
        <v>37</v>
      </c>
      <c r="S20" s="30" t="s">
        <v>69</v>
      </c>
    </row>
    <row r="22" spans="1:19" ht="17.25" x14ac:dyDescent="0.25">
      <c r="A22" s="1" t="s">
        <v>84</v>
      </c>
    </row>
    <row r="23" spans="1:19" ht="17.25" x14ac:dyDescent="0.25">
      <c r="A23" s="1" t="s">
        <v>85</v>
      </c>
    </row>
    <row r="24" spans="1:19" ht="17.25" x14ac:dyDescent="0.25">
      <c r="A24" s="1" t="s">
        <v>86</v>
      </c>
    </row>
    <row r="25" spans="1:19" ht="17.25" x14ac:dyDescent="0.25">
      <c r="A25" s="1" t="s">
        <v>87</v>
      </c>
    </row>
    <row r="26" spans="1:19" ht="17.25" x14ac:dyDescent="0.25">
      <c r="A26" s="33" t="s">
        <v>88</v>
      </c>
      <c r="B26" s="33"/>
      <c r="C26" s="33"/>
      <c r="D26" s="33"/>
      <c r="E26" s="33"/>
    </row>
    <row r="27" spans="1:19" ht="17.25" x14ac:dyDescent="0.25">
      <c r="A27" s="1" t="s">
        <v>89</v>
      </c>
    </row>
    <row r="28" spans="1:19" ht="17.25" x14ac:dyDescent="0.25">
      <c r="A28" s="1" t="s">
        <v>90</v>
      </c>
    </row>
    <row r="29" spans="1:19" s="1" customFormat="1" ht="17.25" x14ac:dyDescent="0.25">
      <c r="A29" s="33" t="s">
        <v>91</v>
      </c>
    </row>
    <row r="30" spans="1:19" s="1" customFormat="1" ht="17.25" x14ac:dyDescent="0.25">
      <c r="A30" s="33" t="s">
        <v>92</v>
      </c>
    </row>
    <row r="31" spans="1:19" s="1" customFormat="1" ht="17.25" x14ac:dyDescent="0.25">
      <c r="A31" s="33" t="s">
        <v>93</v>
      </c>
    </row>
    <row r="32" spans="1:19" s="1" customFormat="1" ht="17.25" x14ac:dyDescent="0.25">
      <c r="A32" s="33" t="s">
        <v>94</v>
      </c>
    </row>
    <row r="33" spans="1:1" s="1" customFormat="1" x14ac:dyDescent="0.25">
      <c r="A33" s="33" t="s">
        <v>95</v>
      </c>
    </row>
  </sheetData>
  <mergeCells count="4">
    <mergeCell ref="D2:D3"/>
    <mergeCell ref="F2:J2"/>
    <mergeCell ref="L2:N2"/>
    <mergeCell ref="P2:R2"/>
  </mergeCells>
  <printOptions horizontalCentered="1" verticalCentered="1" gridLines="1"/>
  <pageMargins left="1" right="1" top="1" bottom="1" header="0.5" footer="0.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8800-9E97-4293-9704-DDD89C65D529}">
  <sheetPr>
    <pageSetUpPr fitToPage="1"/>
  </sheetPr>
  <dimension ref="A1:U27"/>
  <sheetViews>
    <sheetView topLeftCell="A8" zoomScale="85" zoomScaleNormal="85" workbookViewId="0">
      <selection activeCell="F10" sqref="F10"/>
    </sheetView>
  </sheetViews>
  <sheetFormatPr defaultRowHeight="15" x14ac:dyDescent="0.25"/>
  <cols>
    <col min="1" max="1" width="6.140625" customWidth="1"/>
    <col min="2" max="2" width="13.5703125" style="36" customWidth="1"/>
    <col min="3" max="3" width="15.28515625" style="36" customWidth="1"/>
    <col min="4" max="4" width="20.85546875" style="36" customWidth="1"/>
    <col min="5" max="5" width="21" style="36" customWidth="1"/>
    <col min="6" max="7" width="16.7109375" style="36" customWidth="1"/>
    <col min="8" max="8" width="42.28515625" style="36" customWidth="1"/>
    <col min="9" max="10" width="26.42578125" style="36" customWidth="1"/>
    <col min="11" max="11" width="40.5703125" style="36" customWidth="1"/>
    <col min="12" max="12" width="31.7109375" style="36" customWidth="1"/>
    <col min="13" max="13" width="17.7109375" style="36" customWidth="1"/>
    <col min="14" max="17" width="9.140625" style="36" customWidth="1"/>
    <col min="18" max="18" width="7.42578125" style="36" customWidth="1"/>
    <col min="19" max="20" width="9.140625" style="36" customWidth="1"/>
    <col min="21" max="21" width="36.28515625" style="36" customWidth="1"/>
  </cols>
  <sheetData>
    <row r="1" spans="1:21" ht="20.100000000000001" customHeight="1" x14ac:dyDescent="0.25">
      <c r="B1" s="34"/>
      <c r="C1" s="34"/>
      <c r="D1" s="34"/>
      <c r="E1" s="157" t="s">
        <v>96</v>
      </c>
      <c r="F1" s="157"/>
      <c r="G1" s="157"/>
      <c r="H1" s="35"/>
      <c r="I1"/>
      <c r="J1"/>
      <c r="K1"/>
      <c r="L1"/>
      <c r="M1"/>
      <c r="N1"/>
      <c r="O1"/>
      <c r="P1"/>
      <c r="Q1"/>
    </row>
    <row r="2" spans="1:21" ht="46.5" customHeight="1" x14ac:dyDescent="0.25">
      <c r="B2" s="37" t="s">
        <v>97</v>
      </c>
      <c r="C2" s="37" t="s">
        <v>98</v>
      </c>
      <c r="D2" s="37" t="s">
        <v>99</v>
      </c>
      <c r="E2" s="38" t="s">
        <v>100</v>
      </c>
      <c r="F2" s="38" t="s">
        <v>101</v>
      </c>
      <c r="G2" s="38" t="s">
        <v>102</v>
      </c>
      <c r="H2" s="38" t="s">
        <v>103</v>
      </c>
      <c r="I2" s="38" t="s">
        <v>104</v>
      </c>
      <c r="J2" s="38" t="s">
        <v>105</v>
      </c>
      <c r="K2" s="38" t="s">
        <v>106</v>
      </c>
      <c r="L2" s="38" t="s">
        <v>107</v>
      </c>
      <c r="M2"/>
      <c r="N2"/>
      <c r="O2"/>
      <c r="P2"/>
      <c r="Q2"/>
    </row>
    <row r="3" spans="1:21" ht="24" customHeight="1" x14ac:dyDescent="0.25">
      <c r="A3" s="158" t="s">
        <v>122</v>
      </c>
      <c r="B3" s="40" t="s">
        <v>123</v>
      </c>
      <c r="C3" s="43" t="s">
        <v>47</v>
      </c>
      <c r="D3" s="43" t="s">
        <v>124</v>
      </c>
      <c r="E3" s="39" t="s">
        <v>108</v>
      </c>
      <c r="F3" s="40" t="s">
        <v>46</v>
      </c>
      <c r="G3" s="43" t="s">
        <v>125</v>
      </c>
      <c r="H3" s="48" t="s">
        <v>118</v>
      </c>
      <c r="I3" s="39" t="s">
        <v>119</v>
      </c>
      <c r="J3" s="39" t="s">
        <v>120</v>
      </c>
      <c r="K3" s="43" t="s">
        <v>126</v>
      </c>
      <c r="L3" s="42"/>
      <c r="M3"/>
      <c r="N3"/>
      <c r="O3"/>
      <c r="P3"/>
      <c r="Q3"/>
      <c r="R3"/>
      <c r="S3"/>
      <c r="T3"/>
      <c r="U3"/>
    </row>
    <row r="4" spans="1:21" ht="24" customHeight="1" x14ac:dyDescent="0.25">
      <c r="A4" s="159"/>
      <c r="B4" s="40" t="s">
        <v>52</v>
      </c>
      <c r="C4" s="43" t="s">
        <v>56</v>
      </c>
      <c r="D4" s="44" t="s">
        <v>116</v>
      </c>
      <c r="E4" s="39" t="s">
        <v>108</v>
      </c>
      <c r="F4" s="40" t="s">
        <v>52</v>
      </c>
      <c r="G4" s="47" t="s">
        <v>127</v>
      </c>
      <c r="H4" s="49" t="s">
        <v>128</v>
      </c>
      <c r="I4" s="49" t="s">
        <v>113</v>
      </c>
      <c r="J4" s="49" t="s">
        <v>129</v>
      </c>
      <c r="K4" s="47" t="s">
        <v>127</v>
      </c>
      <c r="L4" s="42" t="s">
        <v>130</v>
      </c>
      <c r="M4"/>
      <c r="N4"/>
      <c r="O4"/>
      <c r="P4"/>
      <c r="Q4"/>
      <c r="R4"/>
      <c r="S4"/>
      <c r="T4"/>
      <c r="U4"/>
    </row>
    <row r="5" spans="1:21" ht="24" customHeight="1" x14ac:dyDescent="0.25">
      <c r="A5" s="159"/>
      <c r="B5" s="40" t="s">
        <v>57</v>
      </c>
      <c r="C5" s="43" t="s">
        <v>58</v>
      </c>
      <c r="D5" s="44" t="s">
        <v>116</v>
      </c>
      <c r="E5" s="39" t="s">
        <v>108</v>
      </c>
      <c r="F5" s="40" t="s">
        <v>57</v>
      </c>
      <c r="G5" s="47" t="s">
        <v>131</v>
      </c>
      <c r="H5" s="49" t="s">
        <v>128</v>
      </c>
      <c r="I5" s="49" t="s">
        <v>113</v>
      </c>
      <c r="J5" s="49" t="s">
        <v>129</v>
      </c>
      <c r="K5" s="50" t="s">
        <v>131</v>
      </c>
      <c r="L5" s="42" t="s">
        <v>111</v>
      </c>
      <c r="M5"/>
      <c r="N5"/>
      <c r="O5"/>
      <c r="P5"/>
      <c r="Q5"/>
      <c r="R5"/>
      <c r="S5"/>
      <c r="T5"/>
      <c r="U5"/>
    </row>
    <row r="6" spans="1:21" ht="24" customHeight="1" x14ac:dyDescent="0.25">
      <c r="A6" s="159"/>
      <c r="B6" s="44" t="s">
        <v>132</v>
      </c>
      <c r="C6" s="43" t="s">
        <v>51</v>
      </c>
      <c r="D6" s="44" t="s">
        <v>116</v>
      </c>
      <c r="E6" s="39" t="s">
        <v>108</v>
      </c>
      <c r="F6" s="44" t="s">
        <v>132</v>
      </c>
      <c r="G6" s="45" t="s">
        <v>112</v>
      </c>
      <c r="H6" s="46" t="s">
        <v>128</v>
      </c>
      <c r="I6" s="46" t="s">
        <v>113</v>
      </c>
      <c r="J6" s="49" t="s">
        <v>114</v>
      </c>
      <c r="K6" s="44" t="s">
        <v>133</v>
      </c>
      <c r="L6" s="42"/>
      <c r="M6"/>
      <c r="N6"/>
      <c r="O6"/>
      <c r="P6"/>
      <c r="Q6"/>
      <c r="R6"/>
      <c r="S6"/>
      <c r="T6"/>
      <c r="U6"/>
    </row>
    <row r="7" spans="1:21" ht="24" customHeight="1" x14ac:dyDescent="0.25">
      <c r="A7" s="159"/>
      <c r="B7" s="40" t="s">
        <v>64</v>
      </c>
      <c r="C7" s="43" t="s">
        <v>65</v>
      </c>
      <c r="D7" s="44" t="s">
        <v>116</v>
      </c>
      <c r="E7" s="39" t="s">
        <v>108</v>
      </c>
      <c r="F7" s="40" t="s">
        <v>64</v>
      </c>
      <c r="G7" s="43" t="s">
        <v>134</v>
      </c>
      <c r="H7" s="46" t="s">
        <v>128</v>
      </c>
      <c r="I7" s="46" t="s">
        <v>113</v>
      </c>
      <c r="J7" s="49" t="s">
        <v>129</v>
      </c>
      <c r="K7" s="43" t="s">
        <v>134</v>
      </c>
      <c r="L7" s="42" t="s">
        <v>111</v>
      </c>
      <c r="M7"/>
      <c r="N7"/>
      <c r="O7"/>
      <c r="P7"/>
      <c r="Q7"/>
      <c r="R7"/>
      <c r="S7"/>
      <c r="T7"/>
      <c r="U7"/>
    </row>
    <row r="8" spans="1:21" ht="24" customHeight="1" x14ac:dyDescent="0.25">
      <c r="A8" s="159"/>
      <c r="B8" s="40" t="s">
        <v>135</v>
      </c>
      <c r="C8" s="43" t="s">
        <v>67</v>
      </c>
      <c r="D8" s="43" t="s">
        <v>136</v>
      </c>
      <c r="E8" s="39" t="s">
        <v>108</v>
      </c>
      <c r="F8" s="40" t="s">
        <v>70</v>
      </c>
      <c r="G8" s="41" t="s">
        <v>137</v>
      </c>
      <c r="H8" s="48" t="s">
        <v>118</v>
      </c>
      <c r="I8" s="39" t="s">
        <v>121</v>
      </c>
      <c r="J8" s="39" t="s">
        <v>120</v>
      </c>
      <c r="K8" s="43" t="s">
        <v>138</v>
      </c>
      <c r="L8" s="42" t="s">
        <v>110</v>
      </c>
      <c r="M8"/>
      <c r="N8"/>
      <c r="O8"/>
      <c r="P8"/>
      <c r="Q8"/>
      <c r="R8"/>
      <c r="S8"/>
      <c r="T8"/>
      <c r="U8"/>
    </row>
    <row r="9" spans="1:21" ht="24" customHeight="1" x14ac:dyDescent="0.25">
      <c r="A9" s="159"/>
      <c r="B9" s="40" t="s">
        <v>139</v>
      </c>
      <c r="C9" s="43" t="s">
        <v>67</v>
      </c>
      <c r="D9" s="43" t="s">
        <v>68</v>
      </c>
      <c r="E9" s="39" t="s">
        <v>108</v>
      </c>
      <c r="F9" s="40" t="s">
        <v>72</v>
      </c>
      <c r="G9" s="43" t="s">
        <v>140</v>
      </c>
      <c r="H9" s="48" t="s">
        <v>118</v>
      </c>
      <c r="I9" s="46" t="s">
        <v>141</v>
      </c>
      <c r="J9" s="46" t="s">
        <v>109</v>
      </c>
      <c r="K9" s="43" t="s">
        <v>142</v>
      </c>
      <c r="L9" s="42"/>
      <c r="M9"/>
      <c r="N9"/>
      <c r="O9"/>
      <c r="P9"/>
      <c r="Q9"/>
      <c r="R9"/>
      <c r="S9"/>
      <c r="T9"/>
      <c r="U9"/>
    </row>
    <row r="10" spans="1:21" ht="24" customHeight="1" x14ac:dyDescent="0.25">
      <c r="A10" s="159"/>
      <c r="B10" s="40" t="s">
        <v>143</v>
      </c>
      <c r="C10" s="43" t="s">
        <v>67</v>
      </c>
      <c r="D10" s="43" t="s">
        <v>144</v>
      </c>
      <c r="E10" s="39" t="s">
        <v>108</v>
      </c>
      <c r="F10" s="40" t="s">
        <v>73</v>
      </c>
      <c r="G10" s="43" t="s">
        <v>145</v>
      </c>
      <c r="H10" s="48" t="s">
        <v>118</v>
      </c>
      <c r="I10" s="46" t="s">
        <v>146</v>
      </c>
      <c r="J10" s="46" t="s">
        <v>109</v>
      </c>
      <c r="K10" s="43" t="s">
        <v>147</v>
      </c>
      <c r="L10" s="42"/>
      <c r="M10"/>
      <c r="N10"/>
      <c r="O10"/>
      <c r="P10"/>
      <c r="Q10"/>
      <c r="R10"/>
      <c r="S10"/>
      <c r="T10"/>
      <c r="U10"/>
    </row>
    <row r="11" spans="1:21" ht="24" customHeight="1" x14ac:dyDescent="0.25">
      <c r="A11" s="159"/>
      <c r="B11" s="44" t="s">
        <v>74</v>
      </c>
      <c r="C11" s="43" t="s">
        <v>75</v>
      </c>
      <c r="D11" s="43" t="s">
        <v>148</v>
      </c>
      <c r="E11" s="39" t="s">
        <v>108</v>
      </c>
      <c r="F11" s="44" t="s">
        <v>74</v>
      </c>
      <c r="G11" s="45" t="s">
        <v>112</v>
      </c>
      <c r="H11" s="46" t="s">
        <v>128</v>
      </c>
      <c r="I11" s="46" t="s">
        <v>113</v>
      </c>
      <c r="J11" s="46" t="s">
        <v>114</v>
      </c>
      <c r="K11" s="43" t="s">
        <v>149</v>
      </c>
      <c r="L11" s="42"/>
      <c r="M11"/>
      <c r="N11"/>
      <c r="O11"/>
      <c r="P11"/>
      <c r="Q11"/>
      <c r="R11"/>
      <c r="S11"/>
      <c r="T11"/>
      <c r="U11"/>
    </row>
    <row r="12" spans="1:21" ht="24" customHeight="1" x14ac:dyDescent="0.25">
      <c r="A12" s="159"/>
      <c r="B12" s="44" t="s">
        <v>150</v>
      </c>
      <c r="C12" s="43" t="s">
        <v>75</v>
      </c>
      <c r="D12" s="43" t="s">
        <v>148</v>
      </c>
      <c r="E12" s="39" t="s">
        <v>108</v>
      </c>
      <c r="F12" s="44" t="s">
        <v>150</v>
      </c>
      <c r="G12" s="45" t="s">
        <v>112</v>
      </c>
      <c r="H12" s="46" t="s">
        <v>128</v>
      </c>
      <c r="I12" s="46" t="s">
        <v>113</v>
      </c>
      <c r="J12" s="46" t="s">
        <v>114</v>
      </c>
      <c r="K12" s="43" t="s">
        <v>151</v>
      </c>
      <c r="L12" s="42"/>
      <c r="M12"/>
      <c r="N12"/>
      <c r="O12"/>
      <c r="P12"/>
      <c r="Q12"/>
      <c r="R12"/>
      <c r="S12"/>
      <c r="T12"/>
      <c r="U12"/>
    </row>
    <row r="13" spans="1:21" ht="24" customHeight="1" x14ac:dyDescent="0.25">
      <c r="A13" s="159"/>
      <c r="B13" s="44" t="s">
        <v>152</v>
      </c>
      <c r="C13" s="43" t="s">
        <v>153</v>
      </c>
      <c r="D13" s="43" t="s">
        <v>154</v>
      </c>
      <c r="E13" s="39" t="s">
        <v>108</v>
      </c>
      <c r="F13" s="44" t="s">
        <v>152</v>
      </c>
      <c r="G13" s="45" t="s">
        <v>112</v>
      </c>
      <c r="H13" s="46" t="s">
        <v>128</v>
      </c>
      <c r="I13" s="46" t="s">
        <v>113</v>
      </c>
      <c r="J13" s="46" t="s">
        <v>114</v>
      </c>
      <c r="K13" s="43" t="s">
        <v>155</v>
      </c>
      <c r="L13" s="42"/>
      <c r="M13"/>
      <c r="N13"/>
      <c r="O13"/>
      <c r="P13"/>
      <c r="Q13"/>
      <c r="R13"/>
      <c r="S13"/>
      <c r="T13"/>
      <c r="U13"/>
    </row>
    <row r="14" spans="1:21" ht="24" customHeight="1" x14ac:dyDescent="0.25">
      <c r="A14" s="159"/>
      <c r="B14" s="44" t="s">
        <v>76</v>
      </c>
      <c r="C14" s="43" t="s">
        <v>77</v>
      </c>
      <c r="D14" s="44" t="s">
        <v>116</v>
      </c>
      <c r="E14" s="39" t="s">
        <v>108</v>
      </c>
      <c r="F14" s="44" t="s">
        <v>76</v>
      </c>
      <c r="G14" s="45" t="s">
        <v>112</v>
      </c>
      <c r="H14" s="46" t="s">
        <v>128</v>
      </c>
      <c r="I14" s="46" t="s">
        <v>113</v>
      </c>
      <c r="J14" s="46" t="s">
        <v>114</v>
      </c>
      <c r="K14" s="43" t="s">
        <v>156</v>
      </c>
      <c r="L14" s="42" t="s">
        <v>96</v>
      </c>
      <c r="M14"/>
      <c r="N14"/>
      <c r="O14"/>
      <c r="P14"/>
      <c r="Q14"/>
      <c r="R14"/>
      <c r="S14"/>
      <c r="T14"/>
      <c r="U14"/>
    </row>
    <row r="15" spans="1:21" ht="24" customHeight="1" x14ac:dyDescent="0.25">
      <c r="A15" s="160"/>
      <c r="B15" s="40" t="s">
        <v>157</v>
      </c>
      <c r="C15" s="43" t="s">
        <v>82</v>
      </c>
      <c r="D15" s="43" t="s">
        <v>83</v>
      </c>
      <c r="E15" s="39" t="s">
        <v>108</v>
      </c>
      <c r="F15" s="40" t="s">
        <v>81</v>
      </c>
      <c r="G15" s="47" t="s">
        <v>158</v>
      </c>
      <c r="H15" s="46" t="s">
        <v>128</v>
      </c>
      <c r="I15" s="39" t="s">
        <v>159</v>
      </c>
      <c r="J15" s="39" t="s">
        <v>117</v>
      </c>
      <c r="K15" s="43" t="s">
        <v>160</v>
      </c>
      <c r="L15" s="42" t="s">
        <v>111</v>
      </c>
      <c r="M15"/>
      <c r="N15"/>
      <c r="O15"/>
      <c r="P15"/>
      <c r="Q15"/>
      <c r="R15"/>
      <c r="S15"/>
      <c r="T15"/>
      <c r="U15"/>
    </row>
    <row r="17" spans="1:21" x14ac:dyDescent="0.25">
      <c r="A17">
        <v>450</v>
      </c>
      <c r="B17" t="s">
        <v>161</v>
      </c>
      <c r="C17"/>
      <c r="D17"/>
      <c r="E17" t="s">
        <v>162</v>
      </c>
      <c r="F17"/>
      <c r="G17"/>
      <c r="H17"/>
      <c r="I17" t="s">
        <v>163</v>
      </c>
      <c r="J17"/>
      <c r="K17"/>
      <c r="M17"/>
      <c r="N17"/>
      <c r="P17"/>
      <c r="Q17"/>
      <c r="R17"/>
      <c r="S17"/>
      <c r="T17"/>
      <c r="U17"/>
    </row>
    <row r="18" spans="1:21" x14ac:dyDescent="0.25">
      <c r="A18">
        <v>337</v>
      </c>
      <c r="B18" t="s">
        <v>164</v>
      </c>
      <c r="C18"/>
      <c r="D18"/>
      <c r="E18" t="s">
        <v>165</v>
      </c>
      <c r="F18"/>
      <c r="H18"/>
      <c r="I18" t="s">
        <v>166</v>
      </c>
      <c r="J18"/>
      <c r="K18"/>
      <c r="M18"/>
      <c r="N18"/>
      <c r="O18"/>
      <c r="P18"/>
      <c r="Q18"/>
      <c r="R18"/>
      <c r="S18"/>
      <c r="T18"/>
      <c r="U18"/>
    </row>
    <row r="19" spans="1:21" x14ac:dyDescent="0.25">
      <c r="A19">
        <v>346</v>
      </c>
      <c r="B19" t="s">
        <v>167</v>
      </c>
      <c r="C19"/>
      <c r="D19"/>
      <c r="E19" t="s">
        <v>168</v>
      </c>
      <c r="F19"/>
      <c r="H19"/>
      <c r="I19" t="s">
        <v>169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>
        <v>338</v>
      </c>
      <c r="B20" t="s">
        <v>170</v>
      </c>
      <c r="C20"/>
      <c r="D20"/>
      <c r="E20" t="s">
        <v>171</v>
      </c>
      <c r="F20"/>
      <c r="H20"/>
      <c r="I20" t="s">
        <v>172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t="s">
        <v>115</v>
      </c>
      <c r="B21" t="s">
        <v>173</v>
      </c>
      <c r="C21"/>
      <c r="D21"/>
      <c r="E21" t="s">
        <v>174</v>
      </c>
      <c r="F21"/>
      <c r="G21"/>
      <c r="H21"/>
      <c r="I21"/>
      <c r="J21"/>
      <c r="K21" t="s">
        <v>175</v>
      </c>
      <c r="M21"/>
      <c r="N21"/>
      <c r="O21"/>
      <c r="P21"/>
      <c r="Q21"/>
      <c r="R21"/>
      <c r="S21"/>
      <c r="T21"/>
      <c r="U21"/>
    </row>
    <row r="22" spans="1:21" x14ac:dyDescent="0.25">
      <c r="A22">
        <v>347</v>
      </c>
      <c r="B22" t="s">
        <v>176</v>
      </c>
      <c r="C22"/>
      <c r="D22"/>
      <c r="E22" t="s">
        <v>177</v>
      </c>
      <c r="F22"/>
      <c r="G22"/>
      <c r="H22"/>
      <c r="I22" t="s">
        <v>178</v>
      </c>
      <c r="J22"/>
      <c r="K22"/>
      <c r="L22"/>
      <c r="N22"/>
      <c r="O22"/>
      <c r="P22"/>
      <c r="Q22"/>
      <c r="R22"/>
      <c r="S22"/>
      <c r="T22"/>
      <c r="U22"/>
    </row>
    <row r="23" spans="1:21" x14ac:dyDescent="0.25">
      <c r="A23">
        <v>408</v>
      </c>
      <c r="B23" t="s">
        <v>179</v>
      </c>
      <c r="C23"/>
      <c r="D23"/>
      <c r="E23" t="s">
        <v>180</v>
      </c>
      <c r="F23"/>
      <c r="G23"/>
      <c r="H23"/>
      <c r="I23" t="s">
        <v>181</v>
      </c>
      <c r="J23"/>
      <c r="K23"/>
      <c r="L23"/>
      <c r="N23"/>
      <c r="O23"/>
      <c r="P23"/>
      <c r="Q23"/>
      <c r="R23"/>
      <c r="S23"/>
      <c r="T23"/>
      <c r="U23"/>
    </row>
    <row r="24" spans="1:21" x14ac:dyDescent="0.25">
      <c r="A24">
        <v>432</v>
      </c>
      <c r="B24" t="s">
        <v>182</v>
      </c>
      <c r="C24"/>
      <c r="D24"/>
      <c r="E24" t="s">
        <v>183</v>
      </c>
      <c r="F24"/>
      <c r="G24"/>
      <c r="H24"/>
      <c r="I24" t="s">
        <v>184</v>
      </c>
      <c r="J24"/>
      <c r="L24"/>
      <c r="M24"/>
      <c r="O24"/>
      <c r="P24"/>
      <c r="Q24"/>
      <c r="R24"/>
      <c r="S24"/>
      <c r="T24"/>
      <c r="U24"/>
    </row>
    <row r="25" spans="1:21" x14ac:dyDescent="0.25">
      <c r="B25" t="s">
        <v>185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36">
        <v>333</v>
      </c>
      <c r="B26" s="36" t="s">
        <v>186</v>
      </c>
      <c r="S26"/>
      <c r="T26"/>
      <c r="U26"/>
    </row>
    <row r="27" spans="1:21" x14ac:dyDescent="0.25">
      <c r="A27" s="36"/>
      <c r="S27"/>
      <c r="T27"/>
      <c r="U27"/>
    </row>
  </sheetData>
  <mergeCells count="2">
    <mergeCell ref="E1:G1"/>
    <mergeCell ref="A3:A15"/>
  </mergeCells>
  <printOptions horizontalCentered="1" verticalCentered="1"/>
  <pageMargins left="0.7" right="0.25" top="0.25" bottom="0.2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2EF2-1EE2-43D9-B8A0-23952E467A36}">
  <sheetPr>
    <pageSetUpPr fitToPage="1"/>
  </sheetPr>
  <dimension ref="A1:S31"/>
  <sheetViews>
    <sheetView topLeftCell="A9" zoomScaleNormal="100" workbookViewId="0">
      <selection activeCell="C15" sqref="C15"/>
    </sheetView>
  </sheetViews>
  <sheetFormatPr defaultRowHeight="15" x14ac:dyDescent="0.25"/>
  <cols>
    <col min="1" max="1" width="13.5703125" style="1" customWidth="1"/>
    <col min="2" max="2" width="15.28515625" style="1" customWidth="1"/>
    <col min="3" max="3" width="20.85546875" style="1" customWidth="1"/>
    <col min="4" max="4" width="10.5703125" style="1" customWidth="1"/>
    <col min="5" max="5" width="21" style="1" customWidth="1"/>
    <col min="6" max="6" width="11.140625" style="1" customWidth="1"/>
    <col min="7" max="10" width="9.140625" style="1" customWidth="1"/>
    <col min="11" max="11" width="11" style="1" customWidth="1"/>
    <col min="12" max="12" width="11.42578125" style="1" customWidth="1"/>
    <col min="13" max="13" width="9.140625" style="1" customWidth="1"/>
    <col min="14" max="14" width="10.5703125" style="1" customWidth="1"/>
    <col min="15" max="15" width="1" style="1" customWidth="1"/>
    <col min="16" max="16" width="11.85546875" style="1" customWidth="1"/>
    <col min="17" max="17" width="9.140625" style="1" customWidth="1"/>
    <col min="18" max="18" width="10.7109375" style="1" customWidth="1"/>
    <col min="19" max="19" width="26.7109375" style="1" customWidth="1"/>
    <col min="20" max="16384" width="9.140625" style="2"/>
  </cols>
  <sheetData>
    <row r="1" spans="1:19" x14ac:dyDescent="0.25">
      <c r="A1" s="1" t="s">
        <v>0</v>
      </c>
    </row>
    <row r="2" spans="1:19" ht="20.100000000000001" customHeight="1" x14ac:dyDescent="0.25">
      <c r="A2" s="3"/>
      <c r="B2" s="3"/>
      <c r="C2" s="3"/>
      <c r="D2" s="153" t="s">
        <v>1</v>
      </c>
      <c r="E2" s="3"/>
      <c r="F2" s="155" t="s">
        <v>2</v>
      </c>
      <c r="G2" s="155"/>
      <c r="H2" s="155"/>
      <c r="I2" s="155"/>
      <c r="J2" s="155"/>
      <c r="K2" s="4" t="s">
        <v>3</v>
      </c>
      <c r="L2" s="155" t="s">
        <v>4</v>
      </c>
      <c r="M2" s="155"/>
      <c r="N2" s="155"/>
      <c r="O2" s="3"/>
      <c r="P2" s="156" t="s">
        <v>5</v>
      </c>
      <c r="Q2" s="156"/>
      <c r="R2" s="156"/>
      <c r="S2" s="3"/>
    </row>
    <row r="3" spans="1:19" ht="20.100000000000001" customHeight="1" x14ac:dyDescent="0.25">
      <c r="A3" s="5" t="s">
        <v>6</v>
      </c>
      <c r="B3" s="5" t="s">
        <v>7</v>
      </c>
      <c r="C3" s="5" t="s">
        <v>8</v>
      </c>
      <c r="D3" s="154"/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7" t="s">
        <v>14</v>
      </c>
      <c r="K3" s="8" t="s">
        <v>15</v>
      </c>
      <c r="L3" s="9" t="s">
        <v>16</v>
      </c>
      <c r="M3" s="9" t="s">
        <v>17</v>
      </c>
      <c r="N3" s="10" t="s">
        <v>18</v>
      </c>
      <c r="O3" s="9"/>
      <c r="P3" s="9" t="s">
        <v>16</v>
      </c>
      <c r="Q3" s="9" t="s">
        <v>19</v>
      </c>
      <c r="R3" s="10" t="s">
        <v>18</v>
      </c>
      <c r="S3" s="6" t="s">
        <v>20</v>
      </c>
    </row>
    <row r="4" spans="1:19" ht="24" customHeight="1" x14ac:dyDescent="0.25">
      <c r="A4" s="25" t="s">
        <v>45</v>
      </c>
      <c r="C4" s="25"/>
      <c r="D4" s="26"/>
      <c r="E4" s="25"/>
      <c r="F4" s="3"/>
      <c r="G4" s="3"/>
      <c r="H4" s="3"/>
      <c r="I4" s="3"/>
      <c r="J4" s="3"/>
      <c r="K4" s="3"/>
      <c r="S4" s="3"/>
    </row>
    <row r="5" spans="1:19" ht="24" customHeight="1" x14ac:dyDescent="0.25">
      <c r="A5" s="11" t="s">
        <v>50</v>
      </c>
      <c r="B5" s="22" t="s">
        <v>51</v>
      </c>
      <c r="C5" s="21" t="s">
        <v>33</v>
      </c>
      <c r="D5" s="13" t="s">
        <v>43</v>
      </c>
      <c r="E5" s="11" t="s">
        <v>38</v>
      </c>
      <c r="F5" s="14" t="s">
        <v>34</v>
      </c>
      <c r="G5" s="14" t="s">
        <v>34</v>
      </c>
      <c r="H5" s="14" t="s">
        <v>49</v>
      </c>
      <c r="I5" s="14" t="s">
        <v>34</v>
      </c>
      <c r="J5" s="14" t="s">
        <v>22</v>
      </c>
      <c r="K5" s="15" t="s">
        <v>28</v>
      </c>
      <c r="L5" s="15" t="s">
        <v>30</v>
      </c>
      <c r="M5" s="15" t="s">
        <v>30</v>
      </c>
      <c r="N5" s="15" t="s">
        <v>25</v>
      </c>
      <c r="O5" s="15"/>
      <c r="P5" s="15" t="s">
        <v>30</v>
      </c>
      <c r="Q5" s="15" t="s">
        <v>30</v>
      </c>
      <c r="R5" s="15" t="s">
        <v>25</v>
      </c>
      <c r="S5" s="14" t="s">
        <v>29</v>
      </c>
    </row>
    <row r="6" spans="1:19" ht="24" customHeight="1" x14ac:dyDescent="0.25">
      <c r="A6" s="11" t="s">
        <v>52</v>
      </c>
      <c r="B6" s="20" t="s">
        <v>53</v>
      </c>
      <c r="C6" s="12" t="s">
        <v>54</v>
      </c>
      <c r="D6" s="13" t="s">
        <v>43</v>
      </c>
      <c r="E6" s="11" t="s">
        <v>38</v>
      </c>
      <c r="F6" s="14" t="s">
        <v>34</v>
      </c>
      <c r="G6" s="14" t="s">
        <v>24</v>
      </c>
      <c r="H6" s="14" t="s">
        <v>23</v>
      </c>
      <c r="I6" s="19" t="s">
        <v>34</v>
      </c>
      <c r="J6" s="14" t="s">
        <v>22</v>
      </c>
      <c r="K6" s="15" t="s">
        <v>28</v>
      </c>
      <c r="L6" s="15" t="s">
        <v>30</v>
      </c>
      <c r="M6" s="15" t="s">
        <v>30</v>
      </c>
      <c r="N6" s="15" t="s">
        <v>25</v>
      </c>
      <c r="O6" s="15"/>
      <c r="P6" s="15" t="s">
        <v>30</v>
      </c>
      <c r="Q6" s="15" t="s">
        <v>30</v>
      </c>
      <c r="R6" s="15" t="s">
        <v>25</v>
      </c>
      <c r="S6" s="14" t="s">
        <v>29</v>
      </c>
    </row>
    <row r="7" spans="1:19" ht="24" customHeight="1" x14ac:dyDescent="0.25">
      <c r="A7" s="11" t="s">
        <v>55</v>
      </c>
      <c r="B7" s="20" t="s">
        <v>56</v>
      </c>
      <c r="C7" s="11" t="s">
        <v>33</v>
      </c>
      <c r="D7" s="13" t="s">
        <v>43</v>
      </c>
      <c r="E7" s="11" t="s">
        <v>38</v>
      </c>
      <c r="F7" s="14" t="s">
        <v>34</v>
      </c>
      <c r="G7" s="14" t="s">
        <v>34</v>
      </c>
      <c r="H7" s="14" t="s">
        <v>49</v>
      </c>
      <c r="I7" s="19" t="s">
        <v>22</v>
      </c>
      <c r="J7" s="14" t="s">
        <v>22</v>
      </c>
      <c r="K7" s="15" t="s">
        <v>28</v>
      </c>
      <c r="L7" s="15" t="s">
        <v>27</v>
      </c>
      <c r="M7" s="15" t="s">
        <v>30</v>
      </c>
      <c r="N7" s="15" t="s">
        <v>25</v>
      </c>
      <c r="O7" s="15"/>
      <c r="P7" s="15" t="s">
        <v>30</v>
      </c>
      <c r="Q7" s="15" t="s">
        <v>30</v>
      </c>
      <c r="R7" s="15" t="s">
        <v>25</v>
      </c>
      <c r="S7" s="14" t="s">
        <v>29</v>
      </c>
    </row>
    <row r="8" spans="1:19" ht="24" customHeight="1" x14ac:dyDescent="0.25">
      <c r="A8" s="11" t="s">
        <v>57</v>
      </c>
      <c r="B8" s="12" t="s">
        <v>58</v>
      </c>
      <c r="C8" s="11" t="s">
        <v>33</v>
      </c>
      <c r="D8" s="13" t="s">
        <v>43</v>
      </c>
      <c r="E8" s="11" t="s">
        <v>38</v>
      </c>
      <c r="F8" s="14" t="s">
        <v>34</v>
      </c>
      <c r="G8" s="14" t="s">
        <v>34</v>
      </c>
      <c r="H8" s="14" t="s">
        <v>23</v>
      </c>
      <c r="I8" s="19" t="s">
        <v>34</v>
      </c>
      <c r="J8" s="14" t="s">
        <v>22</v>
      </c>
      <c r="K8" s="15" t="s">
        <v>28</v>
      </c>
      <c r="L8" s="15" t="s">
        <v>30</v>
      </c>
      <c r="M8" s="15" t="s">
        <v>30</v>
      </c>
      <c r="N8" s="15" t="s">
        <v>25</v>
      </c>
      <c r="O8" s="15"/>
      <c r="P8" s="15" t="s">
        <v>30</v>
      </c>
      <c r="Q8" s="15" t="s">
        <v>30</v>
      </c>
      <c r="R8" s="18" t="s">
        <v>25</v>
      </c>
      <c r="S8" s="14" t="s">
        <v>29</v>
      </c>
    </row>
    <row r="9" spans="1:19" ht="24" customHeight="1" x14ac:dyDescent="0.25">
      <c r="A9" s="11" t="s">
        <v>59</v>
      </c>
      <c r="B9" s="12" t="s">
        <v>60</v>
      </c>
      <c r="C9" s="11" t="s">
        <v>33</v>
      </c>
      <c r="D9" s="13" t="s">
        <v>43</v>
      </c>
      <c r="E9" s="11"/>
      <c r="F9" s="14" t="s">
        <v>34</v>
      </c>
      <c r="G9" s="14" t="s">
        <v>23</v>
      </c>
      <c r="H9" s="19" t="s">
        <v>34</v>
      </c>
      <c r="I9" s="14" t="s">
        <v>22</v>
      </c>
      <c r="J9" s="14" t="s">
        <v>22</v>
      </c>
      <c r="K9" s="15" t="s">
        <v>37</v>
      </c>
      <c r="L9" s="15" t="s">
        <v>30</v>
      </c>
      <c r="M9" s="15" t="s">
        <v>30</v>
      </c>
      <c r="N9" s="18" t="s">
        <v>35</v>
      </c>
      <c r="O9" s="16"/>
      <c r="P9" s="15" t="s">
        <v>30</v>
      </c>
      <c r="Q9" s="15" t="s">
        <v>30</v>
      </c>
      <c r="R9" s="18" t="s">
        <v>35</v>
      </c>
      <c r="S9" s="14"/>
    </row>
    <row r="10" spans="1:19" ht="24" customHeight="1" x14ac:dyDescent="0.25">
      <c r="A10" s="11" t="s">
        <v>64</v>
      </c>
      <c r="B10" s="12" t="s">
        <v>65</v>
      </c>
      <c r="C10" s="11" t="s">
        <v>33</v>
      </c>
      <c r="D10" s="13" t="s">
        <v>43</v>
      </c>
      <c r="E10" s="11" t="s">
        <v>38</v>
      </c>
      <c r="F10" s="14" t="s">
        <v>34</v>
      </c>
      <c r="G10" s="14" t="s">
        <v>34</v>
      </c>
      <c r="H10" s="14" t="s">
        <v>23</v>
      </c>
      <c r="I10" s="14" t="s">
        <v>34</v>
      </c>
      <c r="J10" s="14" t="s">
        <v>22</v>
      </c>
      <c r="K10" s="15" t="s">
        <v>28</v>
      </c>
      <c r="L10" s="15" t="s">
        <v>30</v>
      </c>
      <c r="M10" s="15" t="s">
        <v>30</v>
      </c>
      <c r="N10" s="18" t="s">
        <v>25</v>
      </c>
      <c r="O10" s="15"/>
      <c r="P10" s="15" t="s">
        <v>30</v>
      </c>
      <c r="Q10" s="15" t="s">
        <v>30</v>
      </c>
      <c r="R10" s="15" t="s">
        <v>25</v>
      </c>
      <c r="S10" s="14" t="s">
        <v>29</v>
      </c>
    </row>
    <row r="11" spans="1:19" ht="24" customHeight="1" x14ac:dyDescent="0.25">
      <c r="A11" s="11" t="s">
        <v>66</v>
      </c>
      <c r="B11" s="22" t="s">
        <v>67</v>
      </c>
      <c r="C11" s="12" t="s">
        <v>68</v>
      </c>
      <c r="D11" s="13" t="s">
        <v>43</v>
      </c>
      <c r="E11" s="11" t="s">
        <v>38</v>
      </c>
      <c r="F11" s="14" t="s">
        <v>34</v>
      </c>
      <c r="G11" s="14" t="s">
        <v>34</v>
      </c>
      <c r="H11" s="14" t="s">
        <v>23</v>
      </c>
      <c r="I11" s="14" t="s">
        <v>22</v>
      </c>
      <c r="J11" s="14" t="s">
        <v>26</v>
      </c>
      <c r="K11" s="15" t="s">
        <v>25</v>
      </c>
      <c r="L11" s="15" t="s">
        <v>36</v>
      </c>
      <c r="M11" s="15" t="s">
        <v>36</v>
      </c>
      <c r="N11" s="18" t="s">
        <v>40</v>
      </c>
      <c r="O11" s="15"/>
      <c r="P11" s="15" t="s">
        <v>36</v>
      </c>
      <c r="Q11" s="15" t="s">
        <v>36</v>
      </c>
      <c r="R11" s="18" t="s">
        <v>40</v>
      </c>
      <c r="S11" s="14" t="s">
        <v>69</v>
      </c>
    </row>
    <row r="12" spans="1:19" ht="24" customHeight="1" x14ac:dyDescent="0.25">
      <c r="A12" s="11" t="s">
        <v>70</v>
      </c>
      <c r="B12" s="22" t="s">
        <v>67</v>
      </c>
      <c r="C12" s="22" t="s">
        <v>71</v>
      </c>
      <c r="D12" s="13" t="s">
        <v>43</v>
      </c>
      <c r="E12" s="11" t="s">
        <v>38</v>
      </c>
      <c r="F12" s="14" t="s">
        <v>39</v>
      </c>
      <c r="G12" s="14" t="s">
        <v>41</v>
      </c>
      <c r="H12" s="14" t="s">
        <v>24</v>
      </c>
      <c r="I12" s="14" t="s">
        <v>22</v>
      </c>
      <c r="J12" s="14" t="s">
        <v>26</v>
      </c>
      <c r="K12" s="15" t="s">
        <v>35</v>
      </c>
      <c r="L12" s="15" t="s">
        <v>36</v>
      </c>
      <c r="M12" s="15" t="s">
        <v>30</v>
      </c>
      <c r="N12" s="18" t="s">
        <v>35</v>
      </c>
      <c r="O12" s="15"/>
      <c r="P12" s="15" t="s">
        <v>36</v>
      </c>
      <c r="Q12" s="15" t="s">
        <v>27</v>
      </c>
      <c r="R12" s="18" t="s">
        <v>37</v>
      </c>
      <c r="S12" s="14" t="s">
        <v>29</v>
      </c>
    </row>
    <row r="13" spans="1:19" ht="24" customHeight="1" x14ac:dyDescent="0.25">
      <c r="A13" s="11" t="s">
        <v>72</v>
      </c>
      <c r="B13" s="22" t="s">
        <v>67</v>
      </c>
      <c r="C13" s="21" t="s">
        <v>33</v>
      </c>
      <c r="D13" s="13" t="s">
        <v>43</v>
      </c>
      <c r="E13" s="11" t="s">
        <v>38</v>
      </c>
      <c r="F13" s="14" t="s">
        <v>39</v>
      </c>
      <c r="G13" s="14" t="s">
        <v>24</v>
      </c>
      <c r="H13" s="14" t="s">
        <v>23</v>
      </c>
      <c r="I13" s="14" t="s">
        <v>22</v>
      </c>
      <c r="J13" s="14" t="s">
        <v>26</v>
      </c>
      <c r="K13" s="15" t="s">
        <v>25</v>
      </c>
      <c r="L13" s="15" t="s">
        <v>36</v>
      </c>
      <c r="M13" s="15" t="s">
        <v>36</v>
      </c>
      <c r="N13" s="18" t="s">
        <v>40</v>
      </c>
      <c r="O13" s="15"/>
      <c r="P13" s="15" t="s">
        <v>36</v>
      </c>
      <c r="Q13" s="15" t="s">
        <v>36</v>
      </c>
      <c r="R13" s="18" t="s">
        <v>40</v>
      </c>
      <c r="S13" s="14" t="s">
        <v>29</v>
      </c>
    </row>
    <row r="14" spans="1:19" ht="24" customHeight="1" x14ac:dyDescent="0.25">
      <c r="A14" s="11" t="s">
        <v>73</v>
      </c>
      <c r="B14" s="22" t="s">
        <v>67</v>
      </c>
      <c r="C14" s="21" t="s">
        <v>33</v>
      </c>
      <c r="D14" s="13" t="s">
        <v>43</v>
      </c>
      <c r="E14" s="11" t="s">
        <v>38</v>
      </c>
      <c r="F14" s="14" t="s">
        <v>34</v>
      </c>
      <c r="G14" s="14" t="s">
        <v>23</v>
      </c>
      <c r="H14" s="14" t="s">
        <v>34</v>
      </c>
      <c r="I14" s="14" t="s">
        <v>22</v>
      </c>
      <c r="J14" s="14" t="s">
        <v>26</v>
      </c>
      <c r="K14" s="15" t="s">
        <v>35</v>
      </c>
      <c r="L14" s="15" t="s">
        <v>30</v>
      </c>
      <c r="M14" s="15" t="s">
        <v>30</v>
      </c>
      <c r="N14" s="18" t="s">
        <v>35</v>
      </c>
      <c r="O14" s="15"/>
      <c r="P14" s="15" t="s">
        <v>27</v>
      </c>
      <c r="Q14" s="15" t="s">
        <v>27</v>
      </c>
      <c r="R14" s="18" t="s">
        <v>37</v>
      </c>
      <c r="S14" s="14" t="s">
        <v>29</v>
      </c>
    </row>
    <row r="15" spans="1:19" ht="24" customHeight="1" x14ac:dyDescent="0.25">
      <c r="A15" s="11" t="s">
        <v>74</v>
      </c>
      <c r="B15" s="22" t="s">
        <v>75</v>
      </c>
      <c r="C15" s="21" t="s">
        <v>33</v>
      </c>
      <c r="D15" s="13" t="s">
        <v>43</v>
      </c>
      <c r="E15" s="13"/>
      <c r="F15" s="14" t="s">
        <v>34</v>
      </c>
      <c r="G15" s="14" t="s">
        <v>34</v>
      </c>
      <c r="H15" s="14" t="s">
        <v>23</v>
      </c>
      <c r="I15" s="14" t="s">
        <v>22</v>
      </c>
      <c r="J15" s="14" t="s">
        <v>26</v>
      </c>
      <c r="K15" s="15" t="s">
        <v>25</v>
      </c>
      <c r="L15" s="15" t="s">
        <v>30</v>
      </c>
      <c r="M15" s="15" t="s">
        <v>30</v>
      </c>
      <c r="N15" s="18" t="s">
        <v>25</v>
      </c>
      <c r="O15" s="16"/>
      <c r="P15" s="15" t="s">
        <v>36</v>
      </c>
      <c r="Q15" s="15" t="s">
        <v>36</v>
      </c>
      <c r="R15" s="18" t="s">
        <v>40</v>
      </c>
      <c r="S15" s="14" t="s">
        <v>29</v>
      </c>
    </row>
    <row r="16" spans="1:19" ht="24" customHeight="1" x14ac:dyDescent="0.25">
      <c r="A16" s="11" t="s">
        <v>76</v>
      </c>
      <c r="B16" s="22" t="s">
        <v>77</v>
      </c>
      <c r="C16" s="21" t="s">
        <v>33</v>
      </c>
      <c r="D16" s="13" t="s">
        <v>43</v>
      </c>
      <c r="E16" s="13"/>
      <c r="F16" s="14" t="s">
        <v>34</v>
      </c>
      <c r="G16" s="14" t="s">
        <v>42</v>
      </c>
      <c r="H16" s="14" t="s">
        <v>22</v>
      </c>
      <c r="I16" s="14" t="s">
        <v>22</v>
      </c>
      <c r="J16" s="14" t="s">
        <v>26</v>
      </c>
      <c r="K16" s="15" t="s">
        <v>35</v>
      </c>
      <c r="L16" s="15" t="s">
        <v>30</v>
      </c>
      <c r="M16" s="15" t="s">
        <v>30</v>
      </c>
      <c r="N16" s="18" t="s">
        <v>35</v>
      </c>
      <c r="O16" s="16"/>
      <c r="P16" s="15" t="s">
        <v>27</v>
      </c>
      <c r="Q16" s="15" t="s">
        <v>27</v>
      </c>
      <c r="R16" s="18" t="s">
        <v>37</v>
      </c>
      <c r="S16" s="14" t="s">
        <v>29</v>
      </c>
    </row>
    <row r="17" spans="1:19" ht="24" customHeight="1" x14ac:dyDescent="0.25">
      <c r="A17" s="11" t="s">
        <v>78</v>
      </c>
      <c r="B17" s="22" t="s">
        <v>79</v>
      </c>
      <c r="C17" s="21" t="s">
        <v>33</v>
      </c>
      <c r="D17" s="13" t="s">
        <v>43</v>
      </c>
      <c r="E17" s="11" t="s">
        <v>38</v>
      </c>
      <c r="F17" s="14" t="s">
        <v>34</v>
      </c>
      <c r="G17" s="14" t="s">
        <v>41</v>
      </c>
      <c r="H17" s="14" t="s">
        <v>22</v>
      </c>
      <c r="I17" s="14" t="s">
        <v>26</v>
      </c>
      <c r="J17" s="14" t="s">
        <v>26</v>
      </c>
      <c r="K17" s="15" t="s">
        <v>37</v>
      </c>
      <c r="L17" s="15" t="s">
        <v>36</v>
      </c>
      <c r="M17" s="15" t="s">
        <v>27</v>
      </c>
      <c r="N17" s="18" t="s">
        <v>37</v>
      </c>
      <c r="O17" s="27"/>
      <c r="P17" s="15" t="s">
        <v>27</v>
      </c>
      <c r="Q17" s="15" t="s">
        <v>27</v>
      </c>
      <c r="R17" s="18" t="s">
        <v>37</v>
      </c>
      <c r="S17" s="14" t="s">
        <v>80</v>
      </c>
    </row>
    <row r="18" spans="1:19" ht="24" customHeight="1" x14ac:dyDescent="0.25">
      <c r="A18" s="28" t="s">
        <v>81</v>
      </c>
      <c r="B18" s="23" t="s">
        <v>82</v>
      </c>
      <c r="C18" s="23" t="s">
        <v>83</v>
      </c>
      <c r="D18" s="29" t="s">
        <v>43</v>
      </c>
      <c r="E18" s="28" t="s">
        <v>44</v>
      </c>
      <c r="F18" s="30" t="s">
        <v>22</v>
      </c>
      <c r="G18" s="30" t="s">
        <v>42</v>
      </c>
      <c r="H18" s="30" t="s">
        <v>22</v>
      </c>
      <c r="I18" s="30" t="s">
        <v>22</v>
      </c>
      <c r="J18" s="30" t="s">
        <v>26</v>
      </c>
      <c r="K18" s="24" t="s">
        <v>35</v>
      </c>
      <c r="L18" s="31" t="s">
        <v>26</v>
      </c>
      <c r="M18" s="24" t="s">
        <v>30</v>
      </c>
      <c r="N18" s="32" t="s">
        <v>35</v>
      </c>
      <c r="O18" s="31"/>
      <c r="P18" s="31" t="s">
        <v>26</v>
      </c>
      <c r="Q18" s="24" t="s">
        <v>27</v>
      </c>
      <c r="R18" s="32" t="s">
        <v>37</v>
      </c>
      <c r="S18" s="30" t="s">
        <v>69</v>
      </c>
    </row>
    <row r="20" spans="1:19" ht="17.25" x14ac:dyDescent="0.25">
      <c r="A20" s="1" t="s">
        <v>84</v>
      </c>
    </row>
    <row r="21" spans="1:19" ht="17.25" x14ac:dyDescent="0.25">
      <c r="A21" s="1" t="s">
        <v>85</v>
      </c>
    </row>
    <row r="22" spans="1:19" ht="17.25" x14ac:dyDescent="0.25">
      <c r="A22" s="1" t="s">
        <v>86</v>
      </c>
    </row>
    <row r="23" spans="1:19" ht="17.25" x14ac:dyDescent="0.25">
      <c r="A23" s="1" t="s">
        <v>87</v>
      </c>
    </row>
    <row r="24" spans="1:19" ht="17.25" x14ac:dyDescent="0.25">
      <c r="A24" s="33" t="s">
        <v>88</v>
      </c>
      <c r="B24" s="33"/>
      <c r="C24" s="33"/>
      <c r="D24" s="33"/>
      <c r="E24" s="33"/>
    </row>
    <row r="25" spans="1:19" ht="17.25" x14ac:dyDescent="0.25">
      <c r="A25" s="1" t="s">
        <v>89</v>
      </c>
    </row>
    <row r="26" spans="1:19" ht="17.25" x14ac:dyDescent="0.25">
      <c r="A26" s="1" t="s">
        <v>90</v>
      </c>
    </row>
    <row r="27" spans="1:19" s="1" customFormat="1" ht="17.25" x14ac:dyDescent="0.25">
      <c r="A27" s="33" t="s">
        <v>91</v>
      </c>
    </row>
    <row r="28" spans="1:19" s="1" customFormat="1" ht="17.25" x14ac:dyDescent="0.25">
      <c r="A28" s="33" t="s">
        <v>92</v>
      </c>
    </row>
    <row r="29" spans="1:19" s="1" customFormat="1" ht="17.25" x14ac:dyDescent="0.25">
      <c r="A29" s="33" t="s">
        <v>93</v>
      </c>
    </row>
    <row r="30" spans="1:19" s="1" customFormat="1" ht="17.25" x14ac:dyDescent="0.25">
      <c r="A30" s="33" t="s">
        <v>94</v>
      </c>
    </row>
    <row r="31" spans="1:19" s="1" customFormat="1" x14ac:dyDescent="0.25">
      <c r="A31" s="33" t="s">
        <v>95</v>
      </c>
    </row>
  </sheetData>
  <mergeCells count="4">
    <mergeCell ref="D2:D3"/>
    <mergeCell ref="F2:J2"/>
    <mergeCell ref="L2:N2"/>
    <mergeCell ref="P2:R2"/>
  </mergeCells>
  <printOptions horizontalCentered="1" verticalCentered="1"/>
  <pageMargins left="1" right="1" top="1" bottom="1" header="0.5" footer="0.5"/>
  <pageSetup paperSize="9" scale="5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2106-591C-4AD1-AA5F-0B1680C7806B}">
  <dimension ref="A1:J26"/>
  <sheetViews>
    <sheetView zoomScale="69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6.42578125" customWidth="1"/>
    <col min="3" max="3" width="16.140625" customWidth="1"/>
    <col min="4" max="4" width="17.28515625" customWidth="1"/>
    <col min="5" max="5" width="16.85546875" customWidth="1"/>
    <col min="6" max="7" width="13.7109375" customWidth="1"/>
    <col min="8" max="8" width="14.140625" customWidth="1"/>
    <col min="9" max="9" width="13.7109375" customWidth="1"/>
    <col min="10" max="10" width="14.28515625" customWidth="1"/>
  </cols>
  <sheetData>
    <row r="1" spans="1:10" x14ac:dyDescent="0.25">
      <c r="A1" s="161"/>
      <c r="B1" s="162" t="s">
        <v>187</v>
      </c>
      <c r="C1" s="163"/>
      <c r="D1" s="164"/>
      <c r="E1" s="165" t="s">
        <v>188</v>
      </c>
      <c r="F1" s="163"/>
      <c r="G1" s="166"/>
      <c r="H1" s="165" t="s">
        <v>189</v>
      </c>
      <c r="I1" s="163"/>
      <c r="J1" s="167"/>
    </row>
    <row r="2" spans="1:10" x14ac:dyDescent="0.25">
      <c r="A2" s="161"/>
      <c r="B2" s="51" t="s">
        <v>190</v>
      </c>
      <c r="C2" s="52" t="s">
        <v>191</v>
      </c>
      <c r="D2" s="53" t="s">
        <v>192</v>
      </c>
      <c r="E2" s="54" t="s">
        <v>190</v>
      </c>
      <c r="F2" s="52" t="s">
        <v>191</v>
      </c>
      <c r="G2" s="55" t="s">
        <v>192</v>
      </c>
      <c r="H2" s="54" t="s">
        <v>190</v>
      </c>
      <c r="I2" s="52" t="s">
        <v>191</v>
      </c>
      <c r="J2" s="56" t="s">
        <v>192</v>
      </c>
    </row>
    <row r="3" spans="1:10" x14ac:dyDescent="0.25">
      <c r="A3" s="57" t="s">
        <v>193</v>
      </c>
      <c r="B3" s="58">
        <v>448.5</v>
      </c>
      <c r="C3" s="59" t="s">
        <v>194</v>
      </c>
      <c r="D3" s="60" t="s">
        <v>194</v>
      </c>
      <c r="E3" s="61">
        <v>373</v>
      </c>
      <c r="F3" s="59" t="s">
        <v>194</v>
      </c>
      <c r="G3" s="62" t="s">
        <v>194</v>
      </c>
      <c r="H3" s="61">
        <v>235</v>
      </c>
      <c r="I3" s="59" t="s">
        <v>194</v>
      </c>
      <c r="J3" s="63" t="s">
        <v>194</v>
      </c>
    </row>
    <row r="4" spans="1:10" x14ac:dyDescent="0.25">
      <c r="A4" s="64" t="s">
        <v>195</v>
      </c>
      <c r="B4" s="65">
        <v>208.5</v>
      </c>
      <c r="C4" s="52" t="s">
        <v>194</v>
      </c>
      <c r="D4" s="60" t="s">
        <v>194</v>
      </c>
      <c r="E4" s="66">
        <v>102.4</v>
      </c>
      <c r="F4" s="59" t="s">
        <v>194</v>
      </c>
      <c r="G4" s="55" t="s">
        <v>194</v>
      </c>
      <c r="H4" s="66">
        <v>301.5</v>
      </c>
      <c r="I4" s="52" t="s">
        <v>194</v>
      </c>
      <c r="J4" s="56" t="s">
        <v>194</v>
      </c>
    </row>
    <row r="5" spans="1:10" x14ac:dyDescent="0.25">
      <c r="A5" s="64" t="s">
        <v>196</v>
      </c>
      <c r="B5" s="65">
        <v>1576.5</v>
      </c>
      <c r="C5" s="52" t="s">
        <v>194</v>
      </c>
      <c r="D5" s="60" t="s">
        <v>194</v>
      </c>
      <c r="E5" s="66">
        <v>358</v>
      </c>
      <c r="F5" s="67">
        <v>173750</v>
      </c>
      <c r="G5" s="68">
        <v>2285000</v>
      </c>
      <c r="H5" s="66">
        <v>311.5</v>
      </c>
      <c r="I5" s="52" t="s">
        <v>194</v>
      </c>
      <c r="J5" s="56" t="s">
        <v>194</v>
      </c>
    </row>
    <row r="6" spans="1:10" s="129" customFormat="1" x14ac:dyDescent="0.25">
      <c r="A6" s="121" t="s">
        <v>197</v>
      </c>
      <c r="B6" s="122">
        <v>412.5</v>
      </c>
      <c r="C6" s="123">
        <v>6687.5</v>
      </c>
      <c r="D6" s="124">
        <v>12075000</v>
      </c>
      <c r="E6" s="125">
        <v>102.4</v>
      </c>
      <c r="F6" s="123">
        <v>82300000</v>
      </c>
      <c r="G6" s="126">
        <v>131000000</v>
      </c>
      <c r="H6" s="125">
        <v>138</v>
      </c>
      <c r="I6" s="127" t="s">
        <v>194</v>
      </c>
      <c r="J6" s="128" t="s">
        <v>194</v>
      </c>
    </row>
    <row r="7" spans="1:10" x14ac:dyDescent="0.25">
      <c r="A7" s="64" t="s">
        <v>198</v>
      </c>
      <c r="B7" s="65">
        <v>821.5</v>
      </c>
      <c r="C7" s="52" t="s">
        <v>194</v>
      </c>
      <c r="D7" s="53" t="s">
        <v>194</v>
      </c>
      <c r="E7" s="66">
        <v>551.5</v>
      </c>
      <c r="F7" s="52" t="s">
        <v>194</v>
      </c>
      <c r="G7" s="55" t="s">
        <v>194</v>
      </c>
      <c r="H7" s="66">
        <v>306.5</v>
      </c>
      <c r="I7" s="52" t="s">
        <v>194</v>
      </c>
      <c r="J7" s="56" t="s">
        <v>194</v>
      </c>
    </row>
    <row r="8" spans="1:10" x14ac:dyDescent="0.25">
      <c r="A8" s="64" t="s">
        <v>199</v>
      </c>
      <c r="B8" s="65">
        <v>16600</v>
      </c>
      <c r="C8" s="67">
        <v>4380</v>
      </c>
      <c r="D8" s="70">
        <v>413500</v>
      </c>
      <c r="E8" s="66">
        <v>352.5</v>
      </c>
      <c r="F8" s="67">
        <v>965.75</v>
      </c>
      <c r="G8" s="68">
        <v>166</v>
      </c>
      <c r="H8" s="66">
        <v>286</v>
      </c>
      <c r="I8" s="52" t="s">
        <v>194</v>
      </c>
      <c r="J8" s="56" t="s">
        <v>194</v>
      </c>
    </row>
    <row r="9" spans="1:10" x14ac:dyDescent="0.25">
      <c r="A9" s="64" t="s">
        <v>200</v>
      </c>
      <c r="B9" s="65">
        <v>1870</v>
      </c>
      <c r="C9" s="52" t="s">
        <v>194</v>
      </c>
      <c r="D9" s="53" t="s">
        <v>194</v>
      </c>
      <c r="E9" s="66">
        <v>128</v>
      </c>
      <c r="F9" s="52" t="s">
        <v>194</v>
      </c>
      <c r="G9" s="55" t="s">
        <v>194</v>
      </c>
      <c r="H9" s="66">
        <v>189</v>
      </c>
      <c r="I9" s="52" t="s">
        <v>194</v>
      </c>
      <c r="J9" s="56" t="s">
        <v>194</v>
      </c>
    </row>
    <row r="10" spans="1:10" ht="15.75" thickBot="1" x14ac:dyDescent="0.3">
      <c r="A10" s="71" t="s">
        <v>201</v>
      </c>
      <c r="B10" s="72">
        <v>1865</v>
      </c>
      <c r="C10" s="73" t="s">
        <v>194</v>
      </c>
      <c r="D10" s="74" t="s">
        <v>194</v>
      </c>
      <c r="E10" s="72">
        <v>107.25</v>
      </c>
      <c r="F10" s="73" t="s">
        <v>194</v>
      </c>
      <c r="G10" s="75" t="s">
        <v>194</v>
      </c>
      <c r="H10" s="72">
        <v>117.5</v>
      </c>
      <c r="I10" s="73" t="s">
        <v>194</v>
      </c>
      <c r="J10" s="76" t="s">
        <v>194</v>
      </c>
    </row>
    <row r="11" spans="1:10" x14ac:dyDescent="0.25">
      <c r="A11" s="77" t="s">
        <v>202</v>
      </c>
      <c r="B11" s="58">
        <v>1675</v>
      </c>
      <c r="C11" s="78">
        <v>8800000</v>
      </c>
      <c r="D11" s="70">
        <v>30266666.666666668</v>
      </c>
      <c r="E11" s="61">
        <v>107.5</v>
      </c>
      <c r="F11" s="78">
        <v>9080000</v>
      </c>
      <c r="G11" s="79">
        <v>49050000</v>
      </c>
      <c r="H11" s="61">
        <v>319.5</v>
      </c>
      <c r="I11" s="80">
        <v>127000</v>
      </c>
      <c r="J11" s="81">
        <v>9750000</v>
      </c>
    </row>
    <row r="12" spans="1:10" x14ac:dyDescent="0.25">
      <c r="A12" s="82" t="s">
        <v>203</v>
      </c>
      <c r="B12" s="65">
        <v>3080</v>
      </c>
      <c r="C12" s="67">
        <v>5993333.333333333</v>
      </c>
      <c r="D12" s="69">
        <v>32800000</v>
      </c>
      <c r="E12" s="66">
        <v>555.5</v>
      </c>
      <c r="F12" s="67">
        <v>5905000</v>
      </c>
      <c r="G12" s="68">
        <v>21500000</v>
      </c>
      <c r="H12" s="66">
        <v>328.5</v>
      </c>
      <c r="I12" s="83">
        <v>265750</v>
      </c>
      <c r="J12" s="84">
        <v>11550000</v>
      </c>
    </row>
    <row r="13" spans="1:10" x14ac:dyDescent="0.25">
      <c r="A13" s="82" t="s">
        <v>204</v>
      </c>
      <c r="B13" s="65">
        <v>494</v>
      </c>
      <c r="C13" s="67">
        <v>9823333.333333334</v>
      </c>
      <c r="D13" s="69">
        <v>60250000</v>
      </c>
      <c r="E13" s="66">
        <v>169</v>
      </c>
      <c r="F13" s="67">
        <v>6790000</v>
      </c>
      <c r="G13" s="68">
        <v>36433333.333333336</v>
      </c>
      <c r="H13" s="66">
        <v>322</v>
      </c>
      <c r="I13" s="83">
        <v>401750</v>
      </c>
      <c r="J13" s="84">
        <v>15250000</v>
      </c>
    </row>
    <row r="14" spans="1:10" x14ac:dyDescent="0.25">
      <c r="A14" s="82" t="s">
        <v>205</v>
      </c>
      <c r="B14" s="65">
        <v>453.5</v>
      </c>
      <c r="C14" s="67">
        <v>26666666.666666668</v>
      </c>
      <c r="D14" s="69">
        <v>113500000</v>
      </c>
      <c r="E14" s="66">
        <v>342.5</v>
      </c>
      <c r="F14" s="67">
        <v>60500000</v>
      </c>
      <c r="G14" s="68">
        <v>92300000</v>
      </c>
      <c r="H14" s="66">
        <v>521.5</v>
      </c>
      <c r="I14" s="83">
        <v>2540</v>
      </c>
      <c r="J14" s="84">
        <v>415</v>
      </c>
    </row>
    <row r="15" spans="1:10" x14ac:dyDescent="0.25">
      <c r="A15" s="82" t="s">
        <v>206</v>
      </c>
      <c r="B15" s="65">
        <v>1150</v>
      </c>
      <c r="C15" s="67">
        <v>28766666.666666668</v>
      </c>
      <c r="D15" s="69">
        <v>53650000</v>
      </c>
      <c r="E15" s="66">
        <v>490.5</v>
      </c>
      <c r="F15" s="67">
        <v>47500000</v>
      </c>
      <c r="G15" s="68">
        <v>33733333.333333336</v>
      </c>
      <c r="H15" s="66">
        <v>598</v>
      </c>
      <c r="I15" s="83">
        <v>10800000</v>
      </c>
      <c r="J15" s="84">
        <v>32150000</v>
      </c>
    </row>
    <row r="16" spans="1:10" x14ac:dyDescent="0.25">
      <c r="A16" s="82" t="s">
        <v>207</v>
      </c>
      <c r="B16" s="65">
        <v>664</v>
      </c>
      <c r="C16" s="85">
        <v>15705000</v>
      </c>
      <c r="D16" s="69">
        <v>22407500</v>
      </c>
      <c r="E16" s="66">
        <v>240</v>
      </c>
      <c r="F16" s="67">
        <v>32500000</v>
      </c>
      <c r="G16" s="68">
        <v>36866666.666666664</v>
      </c>
      <c r="H16" s="66">
        <v>102.25</v>
      </c>
      <c r="I16" s="83">
        <v>29266666.666666668</v>
      </c>
      <c r="J16" s="84">
        <v>36600000</v>
      </c>
    </row>
    <row r="17" spans="1:10" s="129" customFormat="1" x14ac:dyDescent="0.25">
      <c r="A17" s="121" t="s">
        <v>208</v>
      </c>
      <c r="B17" s="122">
        <v>410.5</v>
      </c>
      <c r="C17" s="123">
        <v>243500000</v>
      </c>
      <c r="D17" s="124">
        <v>1640000000</v>
      </c>
      <c r="E17" s="125">
        <v>122.5</v>
      </c>
      <c r="F17" s="123">
        <v>81950000</v>
      </c>
      <c r="G17" s="126">
        <v>1464750000</v>
      </c>
      <c r="H17" s="125">
        <v>291</v>
      </c>
      <c r="I17" s="130">
        <v>91500000</v>
      </c>
      <c r="J17" s="131">
        <v>829000000</v>
      </c>
    </row>
    <row r="18" spans="1:10" ht="15.75" thickBot="1" x14ac:dyDescent="0.3">
      <c r="A18" s="86" t="s">
        <v>209</v>
      </c>
      <c r="B18" s="72">
        <v>3690</v>
      </c>
      <c r="C18" s="87">
        <v>39766666.666666664</v>
      </c>
      <c r="D18" s="88">
        <v>370250000</v>
      </c>
      <c r="E18" s="72">
        <v>393.5</v>
      </c>
      <c r="F18" s="87">
        <v>3200000</v>
      </c>
      <c r="G18" s="89">
        <v>48550000</v>
      </c>
      <c r="H18" s="72">
        <v>301</v>
      </c>
      <c r="I18" s="90">
        <v>14550000</v>
      </c>
      <c r="J18" s="91">
        <v>40975000</v>
      </c>
    </row>
    <row r="19" spans="1:10" s="129" customFormat="1" x14ac:dyDescent="0.25">
      <c r="A19" s="132" t="s">
        <v>210</v>
      </c>
      <c r="B19" s="133">
        <v>1430</v>
      </c>
      <c r="C19" s="134" t="s">
        <v>194</v>
      </c>
      <c r="D19" s="135" t="s">
        <v>194</v>
      </c>
      <c r="E19" s="136">
        <v>2455</v>
      </c>
      <c r="F19" s="134" t="s">
        <v>194</v>
      </c>
      <c r="G19" s="135" t="s">
        <v>194</v>
      </c>
      <c r="H19" s="136">
        <v>3700</v>
      </c>
      <c r="I19" s="134" t="s">
        <v>194</v>
      </c>
      <c r="J19" s="137" t="s">
        <v>194</v>
      </c>
    </row>
    <row r="20" spans="1:10" x14ac:dyDescent="0.25">
      <c r="A20" s="82" t="s">
        <v>211</v>
      </c>
      <c r="B20" s="65">
        <v>1764</v>
      </c>
      <c r="C20" s="92">
        <f>AVERAGE(C16:C19)</f>
        <v>99657222.222222224</v>
      </c>
      <c r="D20" s="69">
        <v>13447500</v>
      </c>
      <c r="E20" s="66">
        <v>480.5</v>
      </c>
      <c r="F20" s="67">
        <v>28366666.666666668</v>
      </c>
      <c r="G20" s="68">
        <v>53150000</v>
      </c>
      <c r="H20" s="66">
        <v>117.5</v>
      </c>
      <c r="I20" s="52" t="s">
        <v>194</v>
      </c>
      <c r="J20" s="56" t="s">
        <v>194</v>
      </c>
    </row>
    <row r="21" spans="1:10" s="129" customFormat="1" x14ac:dyDescent="0.25">
      <c r="A21" s="121" t="s">
        <v>212</v>
      </c>
      <c r="B21" s="122">
        <v>15.7</v>
      </c>
      <c r="C21" s="127" t="s">
        <v>194</v>
      </c>
      <c r="D21" s="138" t="s">
        <v>194</v>
      </c>
      <c r="E21" s="125">
        <v>117.5</v>
      </c>
      <c r="F21" s="123">
        <v>37.566666666666663</v>
      </c>
      <c r="G21" s="135" t="s">
        <v>194</v>
      </c>
      <c r="H21" s="125">
        <v>1125</v>
      </c>
      <c r="I21" s="130">
        <v>728.75</v>
      </c>
      <c r="J21" s="139">
        <v>520.33333333333337</v>
      </c>
    </row>
    <row r="22" spans="1:10" x14ac:dyDescent="0.25">
      <c r="A22" s="82" t="s">
        <v>213</v>
      </c>
      <c r="B22" s="65">
        <v>1550.5</v>
      </c>
      <c r="C22" s="67">
        <v>8647500</v>
      </c>
      <c r="D22" s="69">
        <v>7830000</v>
      </c>
      <c r="E22" s="66">
        <v>682</v>
      </c>
      <c r="F22" s="67">
        <v>35866666.666666664</v>
      </c>
      <c r="G22" s="68">
        <v>36250000</v>
      </c>
      <c r="H22" s="66">
        <v>751</v>
      </c>
      <c r="I22" s="83">
        <v>1025500</v>
      </c>
      <c r="J22" s="93">
        <v>13750000</v>
      </c>
    </row>
    <row r="23" spans="1:10" x14ac:dyDescent="0.25">
      <c r="A23" s="82" t="s">
        <v>214</v>
      </c>
      <c r="B23" s="94" t="s">
        <v>215</v>
      </c>
      <c r="C23" s="52" t="s">
        <v>215</v>
      </c>
      <c r="D23" s="53" t="s">
        <v>215</v>
      </c>
      <c r="E23" s="66">
        <v>664</v>
      </c>
      <c r="F23" s="67">
        <v>19100</v>
      </c>
      <c r="G23" s="68">
        <v>3563.3333333333335</v>
      </c>
      <c r="H23" s="66">
        <v>409</v>
      </c>
      <c r="I23" s="83">
        <v>10300</v>
      </c>
      <c r="J23" s="93">
        <v>1865</v>
      </c>
    </row>
    <row r="24" spans="1:10" x14ac:dyDescent="0.25">
      <c r="A24" s="82" t="s">
        <v>216</v>
      </c>
      <c r="B24" s="65">
        <v>1835</v>
      </c>
      <c r="C24" s="67">
        <v>7145</v>
      </c>
      <c r="D24" s="69">
        <v>4780</v>
      </c>
      <c r="E24" s="66">
        <v>347.5</v>
      </c>
      <c r="F24" s="67">
        <v>12025</v>
      </c>
      <c r="G24" s="68">
        <v>20200</v>
      </c>
      <c r="H24" s="66">
        <v>577.5</v>
      </c>
      <c r="I24" s="83">
        <v>42700</v>
      </c>
      <c r="J24" s="93">
        <v>44750</v>
      </c>
    </row>
    <row r="25" spans="1:10" x14ac:dyDescent="0.25">
      <c r="A25" s="82" t="s">
        <v>217</v>
      </c>
      <c r="B25" s="65">
        <v>314</v>
      </c>
      <c r="C25" s="67">
        <v>361.25</v>
      </c>
      <c r="D25" s="69">
        <v>504.33333333333331</v>
      </c>
      <c r="E25" s="66">
        <v>419</v>
      </c>
      <c r="F25" s="67">
        <v>369</v>
      </c>
      <c r="G25" s="68">
        <v>447.25</v>
      </c>
      <c r="H25" s="66">
        <v>158.5</v>
      </c>
      <c r="I25" s="83">
        <v>74.05</v>
      </c>
      <c r="J25" s="93">
        <v>50.724999999999994</v>
      </c>
    </row>
    <row r="26" spans="1:10" ht="15.75" thickBot="1" x14ac:dyDescent="0.3">
      <c r="A26" s="86" t="s">
        <v>218</v>
      </c>
      <c r="B26" s="95">
        <v>211</v>
      </c>
      <c r="C26" s="87">
        <v>299.75</v>
      </c>
      <c r="D26" s="88">
        <v>242.25</v>
      </c>
      <c r="E26" s="72">
        <v>235</v>
      </c>
      <c r="F26" s="87">
        <v>529</v>
      </c>
      <c r="G26" s="89">
        <v>779.25</v>
      </c>
      <c r="H26" s="72">
        <v>388.5</v>
      </c>
      <c r="I26" s="90">
        <v>537.5</v>
      </c>
      <c r="J26" s="96">
        <v>411.5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FBF8-3F1F-4205-81EA-4A6A449F77AE}">
  <dimension ref="A1:J26"/>
  <sheetViews>
    <sheetView topLeftCell="A9" workbookViewId="0">
      <selection activeCell="A21" sqref="A21:XFD21"/>
    </sheetView>
  </sheetViews>
  <sheetFormatPr defaultRowHeight="15" x14ac:dyDescent="0.25"/>
  <sheetData>
    <row r="1" spans="1:10" ht="15.75" thickBot="1" x14ac:dyDescent="0.3">
      <c r="A1" s="168"/>
      <c r="B1" s="170" t="s">
        <v>219</v>
      </c>
      <c r="C1" s="171"/>
      <c r="D1" s="172"/>
      <c r="E1" s="170" t="s">
        <v>220</v>
      </c>
      <c r="F1" s="171"/>
      <c r="G1" s="172"/>
      <c r="H1" s="173" t="s">
        <v>221</v>
      </c>
      <c r="I1" s="171"/>
      <c r="J1" s="172"/>
    </row>
    <row r="2" spans="1:10" ht="15.75" thickBot="1" x14ac:dyDescent="0.3">
      <c r="A2" s="169"/>
      <c r="B2" s="97" t="s">
        <v>190</v>
      </c>
      <c r="C2" s="98" t="s">
        <v>191</v>
      </c>
      <c r="D2" s="99" t="s">
        <v>192</v>
      </c>
      <c r="E2" s="97" t="s">
        <v>190</v>
      </c>
      <c r="F2" s="98" t="s">
        <v>191</v>
      </c>
      <c r="G2" s="99" t="s">
        <v>192</v>
      </c>
      <c r="H2" s="100" t="s">
        <v>190</v>
      </c>
      <c r="I2" s="98" t="s">
        <v>191</v>
      </c>
      <c r="J2" s="99" t="s">
        <v>192</v>
      </c>
    </row>
    <row r="3" spans="1:10" x14ac:dyDescent="0.25">
      <c r="A3" s="101" t="s">
        <v>193</v>
      </c>
      <c r="B3" s="102">
        <f>LOG('[1]RAW DATA'!B3,10)</f>
        <v>2.6517624473801105</v>
      </c>
      <c r="C3" s="103" t="s">
        <v>222</v>
      </c>
      <c r="D3" s="104" t="s">
        <v>222</v>
      </c>
      <c r="E3" s="105">
        <f>LOG('[1]RAW DATA'!E3,10)</f>
        <v>2.5717088318086874</v>
      </c>
      <c r="F3" s="106" t="s">
        <v>222</v>
      </c>
      <c r="G3" s="104" t="s">
        <v>222</v>
      </c>
      <c r="H3" s="103">
        <f>LOG('[1]RAW DATA'!H3,10)</f>
        <v>2.3710678622717358</v>
      </c>
      <c r="I3" s="103" t="s">
        <v>222</v>
      </c>
      <c r="J3" s="104" t="s">
        <v>222</v>
      </c>
    </row>
    <row r="4" spans="1:10" x14ac:dyDescent="0.25">
      <c r="A4" s="107" t="s">
        <v>195</v>
      </c>
      <c r="B4" s="102">
        <f>LOG('[1]RAW DATA'!B4,10)</f>
        <v>2.3191060593097759</v>
      </c>
      <c r="C4" s="103" t="s">
        <v>222</v>
      </c>
      <c r="D4" s="108" t="s">
        <v>222</v>
      </c>
      <c r="E4" s="103">
        <f>LOG('[1]RAW DATA'!E4,10)</f>
        <v>2.0102999566398116</v>
      </c>
      <c r="F4" s="109" t="s">
        <v>222</v>
      </c>
      <c r="G4" s="110" t="s">
        <v>222</v>
      </c>
      <c r="H4" s="103">
        <f>LOG('[1]RAW DATA'!H4,10)</f>
        <v>2.47928731647617</v>
      </c>
      <c r="I4" s="103" t="s">
        <v>222</v>
      </c>
      <c r="J4" s="110" t="s">
        <v>222</v>
      </c>
    </row>
    <row r="5" spans="1:10" x14ac:dyDescent="0.25">
      <c r="A5" s="107" t="s">
        <v>196</v>
      </c>
      <c r="B5" s="102">
        <f>LOG('[1]RAW DATA'!B5,10)</f>
        <v>3.1976939750839231</v>
      </c>
      <c r="C5" s="103" t="s">
        <v>222</v>
      </c>
      <c r="D5" s="108" t="s">
        <v>222</v>
      </c>
      <c r="E5" s="103">
        <f>LOG('[1]RAW DATA'!E5,10)</f>
        <v>2.5538830266438741</v>
      </c>
      <c r="F5" s="109">
        <f>LOG('[1]RAW DATA'!F5,10)</f>
        <v>5.2399248132621512</v>
      </c>
      <c r="G5" s="110">
        <f>LOG('[1]RAW DATA'!G5,10)</f>
        <v>6.3588862044058683</v>
      </c>
      <c r="H5" s="103">
        <f>LOG('[1]RAW DATA'!H5,10)</f>
        <v>2.493458050995188</v>
      </c>
      <c r="I5" s="103" t="s">
        <v>222</v>
      </c>
      <c r="J5" s="110" t="s">
        <v>222</v>
      </c>
    </row>
    <row r="6" spans="1:10" s="129" customFormat="1" x14ac:dyDescent="0.25">
      <c r="A6" s="140" t="s">
        <v>197</v>
      </c>
      <c r="B6" s="141">
        <f>LOG('[1]RAW DATA'!B6,10)</f>
        <v>2.6154239528859433</v>
      </c>
      <c r="C6" s="142">
        <f>LOG('[1]RAW DATA'!C6,10)</f>
        <v>3.8252637950292843</v>
      </c>
      <c r="D6" s="143">
        <f>LOG('[1]RAW DATA'!D6,10)</f>
        <v>7.0818871394235501</v>
      </c>
      <c r="E6" s="142">
        <f>LOG('[1]RAW DATA'!E6,10)</f>
        <v>2.0102999566398116</v>
      </c>
      <c r="F6" s="144">
        <f>LOG('[1]RAW DATA'!F6,10)</f>
        <v>7.9153998352122681</v>
      </c>
      <c r="G6" s="145">
        <f>LOG('[1]RAW DATA'!G6,10)</f>
        <v>8.1172712956557636</v>
      </c>
      <c r="H6" s="142">
        <f>LOG('[1]RAW DATA'!H6,10)</f>
        <v>2.1398790864012365</v>
      </c>
      <c r="I6" s="142" t="s">
        <v>222</v>
      </c>
      <c r="J6" s="145" t="s">
        <v>222</v>
      </c>
    </row>
    <row r="7" spans="1:10" x14ac:dyDescent="0.25">
      <c r="A7" s="107" t="s">
        <v>198</v>
      </c>
      <c r="B7" s="102">
        <f>LOG('[1]RAW DATA'!B7,10)</f>
        <v>2.9146075677710801</v>
      </c>
      <c r="C7" s="103" t="s">
        <v>222</v>
      </c>
      <c r="D7" s="108" t="s">
        <v>222</v>
      </c>
      <c r="E7" s="103">
        <f>LOG('[1]RAW DATA'!E7,10)</f>
        <v>2.7415455167762093</v>
      </c>
      <c r="F7" s="109" t="s">
        <v>222</v>
      </c>
      <c r="G7" s="110" t="s">
        <v>222</v>
      </c>
      <c r="H7" s="103">
        <f>LOG('[1]RAW DATA'!H7,10)</f>
        <v>2.4864304788544338</v>
      </c>
      <c r="I7" s="103" t="s">
        <v>222</v>
      </c>
      <c r="J7" s="110" t="s">
        <v>222</v>
      </c>
    </row>
    <row r="8" spans="1:10" x14ac:dyDescent="0.25">
      <c r="A8" s="107" t="s">
        <v>199</v>
      </c>
      <c r="B8" s="102">
        <f>LOG('[1]RAW DATA'!B8,10)</f>
        <v>4.220108088040055</v>
      </c>
      <c r="C8" s="103">
        <f>LOG('[1]RAW DATA'!C8,10)</f>
        <v>3.6414741105040993</v>
      </c>
      <c r="D8" s="108">
        <f>LOG('[1]RAW DATA'!D8,10)</f>
        <v>5.6164755138885649</v>
      </c>
      <c r="E8" s="103">
        <f>LOG('[1]RAW DATA'!E8,10)</f>
        <v>2.5471591213274172</v>
      </c>
      <c r="F8" s="109">
        <f>LOG('[1]RAW DATA'!F8,10)</f>
        <v>2.9848647168168578</v>
      </c>
      <c r="G8" s="110">
        <f>LOG('[1]RAW DATA'!G8,10)</f>
        <v>2.220108088040055</v>
      </c>
      <c r="H8" s="103">
        <f>LOG('[1]RAW DATA'!H8,10)</f>
        <v>2.4563660331290427</v>
      </c>
      <c r="I8" s="103" t="s">
        <v>222</v>
      </c>
      <c r="J8" s="110" t="s">
        <v>222</v>
      </c>
    </row>
    <row r="9" spans="1:10" x14ac:dyDescent="0.25">
      <c r="A9" s="107" t="s">
        <v>200</v>
      </c>
      <c r="B9" s="102">
        <f>LOG('[1]RAW DATA'!B9,10)</f>
        <v>3.271841606536499</v>
      </c>
      <c r="C9" s="103" t="s">
        <v>222</v>
      </c>
      <c r="D9" s="108" t="s">
        <v>222</v>
      </c>
      <c r="E9" s="103">
        <f>LOG('[1]RAW DATA'!E9,10)</f>
        <v>2.1072099696478679</v>
      </c>
      <c r="F9" s="109" t="s">
        <v>222</v>
      </c>
      <c r="G9" s="110" t="s">
        <v>222</v>
      </c>
      <c r="H9" s="103">
        <f>LOG('[1]RAW DATA'!H9,10)</f>
        <v>2.2764618041732438</v>
      </c>
      <c r="I9" s="103" t="s">
        <v>222</v>
      </c>
      <c r="J9" s="110" t="s">
        <v>222</v>
      </c>
    </row>
    <row r="10" spans="1:10" ht="15.75" thickBot="1" x14ac:dyDescent="0.3">
      <c r="A10" s="111" t="s">
        <v>201</v>
      </c>
      <c r="B10" s="112">
        <f>LOG('[1]RAW DATA'!B10,10)</f>
        <v>3.2706788361447061</v>
      </c>
      <c r="C10" s="113" t="s">
        <v>222</v>
      </c>
      <c r="D10" s="114" t="s">
        <v>222</v>
      </c>
      <c r="E10" s="113">
        <f>LOG('[1]RAW DATA'!E10,10)</f>
        <v>2.0303973008567615</v>
      </c>
      <c r="F10" s="115" t="s">
        <v>222</v>
      </c>
      <c r="G10" s="114" t="s">
        <v>222</v>
      </c>
      <c r="H10" s="113">
        <f>LOG('[1]RAW DATA'!H10,10)</f>
        <v>2.070037866607755</v>
      </c>
      <c r="I10" s="113" t="s">
        <v>222</v>
      </c>
      <c r="J10" s="114" t="s">
        <v>222</v>
      </c>
    </row>
    <row r="11" spans="1:10" x14ac:dyDescent="0.25">
      <c r="A11" s="116" t="s">
        <v>202</v>
      </c>
      <c r="B11" s="102">
        <f>LOG('[1]RAW DATA'!B11,10)</f>
        <v>3.2240148113728635</v>
      </c>
      <c r="C11" s="103">
        <f>LOG('[1]RAW DATA'!C11,10)</f>
        <v>6.9444826721501682</v>
      </c>
      <c r="D11" s="108">
        <f>LOG('[1]RAW DATA'!D11,10)</f>
        <v>7.4809645938014215</v>
      </c>
      <c r="E11" s="103">
        <f>LOG('[1]RAW DATA'!E11,10)</f>
        <v>2.0314084642516237</v>
      </c>
      <c r="F11" s="117">
        <f>LOG('[1]RAW DATA'!F11,10)</f>
        <v>6.9580858485210841</v>
      </c>
      <c r="G11" s="108">
        <f>LOG('[1]RAW DATA'!G11,10)</f>
        <v>7.6906390117159669</v>
      </c>
      <c r="H11" s="103">
        <f>LOG('[1]RAW DATA'!H11,10)</f>
        <v>2.5044708624944185</v>
      </c>
      <c r="I11" s="103">
        <f>LOG('[1]RAW DATA'!I11,10)</f>
        <v>5.1038037209559564</v>
      </c>
      <c r="J11" s="108">
        <f>LOG('[1]RAW DATA'!J11,10)</f>
        <v>6.9890046156985361</v>
      </c>
    </row>
    <row r="12" spans="1:10" x14ac:dyDescent="0.25">
      <c r="A12" s="118" t="s">
        <v>203</v>
      </c>
      <c r="B12" s="102">
        <f>LOG('[1]RAW DATA'!B12,10)</f>
        <v>3.4885507165004439</v>
      </c>
      <c r="C12" s="103">
        <f>LOG('[1]RAW DATA'!C12,10)</f>
        <v>6.7776684326775465</v>
      </c>
      <c r="D12" s="108">
        <f>LOG('[1]RAW DATA'!D12,10)</f>
        <v>7.5158738437116792</v>
      </c>
      <c r="E12" s="103">
        <f>LOG('[1]RAW DATA'!E12,10)</f>
        <v>2.7446840632768863</v>
      </c>
      <c r="F12" s="109">
        <f>LOG('[1]RAW DATA'!F12,10)</f>
        <v>6.7712199019495332</v>
      </c>
      <c r="G12" s="110">
        <f>LOG('[1]RAW DATA'!G12,10)</f>
        <v>7.3324384599156049</v>
      </c>
      <c r="H12" s="103">
        <f>LOG('[1]RAW DATA'!H12,10)</f>
        <v>2.5165353738957994</v>
      </c>
      <c r="I12" s="103">
        <f>LOG('[1]RAW DATA'!I12,10)</f>
        <v>5.4244732731953338</v>
      </c>
      <c r="J12" s="110">
        <f>LOG('[1]RAW DATA'!J12,10)</f>
        <v>7.0625819842281627</v>
      </c>
    </row>
    <row r="13" spans="1:10" x14ac:dyDescent="0.25">
      <c r="A13" s="118" t="s">
        <v>204</v>
      </c>
      <c r="B13" s="102">
        <f>LOG('[1]RAW DATA'!B13,10)</f>
        <v>2.6937269489236466</v>
      </c>
      <c r="C13" s="103">
        <f>LOG('[1]RAW DATA'!C13,10)</f>
        <v>6.9922588811302617</v>
      </c>
      <c r="D13" s="108">
        <f>LOG('[1]RAW DATA'!D13,10)</f>
        <v>7.7799570512469058</v>
      </c>
      <c r="E13" s="103">
        <f>LOG('[1]RAW DATA'!E13,10)</f>
        <v>2.2278867046136734</v>
      </c>
      <c r="F13" s="109">
        <f>LOG('[1]RAW DATA'!F13,10)</f>
        <v>6.8318697742805004</v>
      </c>
      <c r="G13" s="110">
        <f>LOG('[1]RAW DATA'!G13,10)</f>
        <v>7.5614989072300398</v>
      </c>
      <c r="H13" s="103">
        <f>LOG('[1]RAW DATA'!H13,10)</f>
        <v>2.5078558716958308</v>
      </c>
      <c r="I13" s="103">
        <f>LOG('[1]RAW DATA'!I13,10)</f>
        <v>5.603955885435381</v>
      </c>
      <c r="J13" s="110">
        <f>LOG('[1]RAW DATA'!J13,10)</f>
        <v>7.1832698436828037</v>
      </c>
    </row>
    <row r="14" spans="1:10" x14ac:dyDescent="0.25">
      <c r="A14" s="118" t="s">
        <v>205</v>
      </c>
      <c r="B14" s="102">
        <f>LOG('[1]RAW DATA'!B14,10)</f>
        <v>2.6565772913961139</v>
      </c>
      <c r="C14" s="103">
        <f>LOG('[1]RAW DATA'!C14,10)</f>
        <v>7.4259687322722812</v>
      </c>
      <c r="D14" s="108">
        <f>LOG('[1]RAW DATA'!D14,10)</f>
        <v>8.0549958615291395</v>
      </c>
      <c r="E14" s="103">
        <f>LOG('[1]RAW DATA'!E14,10)</f>
        <v>2.5346605758284442</v>
      </c>
      <c r="F14" s="109">
        <f>LOG('[1]RAW DATA'!F14,10)</f>
        <v>7.7817553746524686</v>
      </c>
      <c r="G14" s="110">
        <f>LOG('[1]RAW DATA'!G14,10)</f>
        <v>7.9652017010259115</v>
      </c>
      <c r="H14" s="103">
        <f>LOG('[1]RAW DATA'!H14,10)</f>
        <v>2.7172543127625493</v>
      </c>
      <c r="I14" s="103">
        <f>LOG('[1]RAW DATA'!I14,10)</f>
        <v>3.4048337166199381</v>
      </c>
      <c r="J14" s="110">
        <f>LOG('[1]RAW DATA'!J14,10)</f>
        <v>2.6180480967120925</v>
      </c>
    </row>
    <row r="15" spans="1:10" x14ac:dyDescent="0.25">
      <c r="A15" s="118" t="s">
        <v>206</v>
      </c>
      <c r="B15" s="102">
        <f>LOG('[1]RAW DATA'!B15,10)</f>
        <v>3.0606978403536114</v>
      </c>
      <c r="C15" s="103">
        <f>LOG('[1]RAW DATA'!C15,10)</f>
        <v>7.4588895409955462</v>
      </c>
      <c r="D15" s="108">
        <f>LOG('[1]RAW DATA'!D15,10)</f>
        <v>7.7295697263019685</v>
      </c>
      <c r="E15" s="103">
        <f>LOG('[1]RAW DATA'!E15,10)</f>
        <v>2.6906390117159673</v>
      </c>
      <c r="F15" s="109">
        <f>LOG('[1]RAW DATA'!F15,10)</f>
        <v>7.6766936096248655</v>
      </c>
      <c r="G15" s="110">
        <f>LOG('[1]RAW DATA'!G15,10)</f>
        <v>7.5280592577841166</v>
      </c>
      <c r="H15" s="103">
        <f>LOG('[1]RAW DATA'!H15,10)</f>
        <v>2.7767011839884104</v>
      </c>
      <c r="I15" s="103">
        <f>LOG('[1]RAW DATA'!I15,10)</f>
        <v>7.0334237554869485</v>
      </c>
      <c r="J15" s="110">
        <f>LOG('[1]RAW DATA'!J15,10)</f>
        <v>7.5071809772602398</v>
      </c>
    </row>
    <row r="16" spans="1:10" x14ac:dyDescent="0.25">
      <c r="A16" s="118" t="s">
        <v>207</v>
      </c>
      <c r="B16" s="102">
        <f>LOG('[1]RAW DATA'!B16,10)</f>
        <v>2.8221680793680171</v>
      </c>
      <c r="C16" s="103">
        <f>LOG('[1]RAW DATA'!C16,10)</f>
        <v>7.1960379407345236</v>
      </c>
      <c r="D16" s="108">
        <f>LOG('[1]RAW DATA'!D16,10)</f>
        <v>7.3503934050950708</v>
      </c>
      <c r="E16" s="103">
        <f>LOG('[1]RAW DATA'!E16,10)</f>
        <v>2.3802112417116059</v>
      </c>
      <c r="F16" s="109">
        <f>LOG('[1]RAW DATA'!F16,10)</f>
        <v>7.5118833609788735</v>
      </c>
      <c r="G16" s="110">
        <f>LOG('[1]RAW DATA'!G16,10)</f>
        <v>7.5666338722490156</v>
      </c>
      <c r="H16" s="103">
        <f>LOG('[1]RAW DATA'!H16,10)</f>
        <v>2.0096633166793794</v>
      </c>
      <c r="I16" s="103">
        <f>LOG('[1]RAW DATA'!I16,10)</f>
        <v>7.4663732611864395</v>
      </c>
      <c r="J16" s="110">
        <f>LOG('[1]RAW DATA'!J16,10)</f>
        <v>7.5634810853944101</v>
      </c>
    </row>
    <row r="17" spans="1:10" s="129" customFormat="1" x14ac:dyDescent="0.25">
      <c r="A17" s="140" t="s">
        <v>208</v>
      </c>
      <c r="B17" s="141">
        <f>LOG('[1]RAW DATA'!B17,10)</f>
        <v>2.6133131614554594</v>
      </c>
      <c r="C17" s="142">
        <f>LOG('[1]RAW DATA'!C17,10)</f>
        <v>8.3864989655506523</v>
      </c>
      <c r="D17" s="143">
        <f>LOG('[1]RAW DATA'!D17,10)</f>
        <v>9.2148438480476962</v>
      </c>
      <c r="E17" s="142">
        <f>LOG('[1]RAW DATA'!E17,10)</f>
        <v>2.0881360887005513</v>
      </c>
      <c r="F17" s="144">
        <f>LOG('[1]RAW DATA'!F17,10)</f>
        <v>7.9135489579065172</v>
      </c>
      <c r="G17" s="145">
        <f>LOG('[1]RAW DATA'!G17,10)</f>
        <v>9.1657635066795535</v>
      </c>
      <c r="H17" s="142">
        <f>LOG('[1]RAW DATA'!H17,10)</f>
        <v>2.4638929889859074</v>
      </c>
      <c r="I17" s="142">
        <f>LOG('[1]RAW DATA'!I17,10)</f>
        <v>7.9614210940664485</v>
      </c>
      <c r="J17" s="145">
        <f>LOG('[1]RAW DATA'!J17,10)</f>
        <v>8.9185545305502725</v>
      </c>
    </row>
    <row r="18" spans="1:10" ht="15.75" thickBot="1" x14ac:dyDescent="0.3">
      <c r="A18" s="119" t="s">
        <v>209</v>
      </c>
      <c r="B18" s="112">
        <f>LOG('[1]RAW DATA'!B18,10)</f>
        <v>3.5670263661590598</v>
      </c>
      <c r="C18" s="113">
        <f>LOG('[1]RAW DATA'!C18,10)</f>
        <v>7.599519188950679</v>
      </c>
      <c r="D18" s="114">
        <f>LOG('[1]RAW DATA'!D18,10)</f>
        <v>8.5684950671932452</v>
      </c>
      <c r="E18" s="113">
        <f>LOG('[1]RAW DATA'!E18,10)</f>
        <v>2.5949447366950831</v>
      </c>
      <c r="F18" s="115">
        <f>LOG('[1]RAW DATA'!F18,10)</f>
        <v>6.5051499783199054</v>
      </c>
      <c r="G18" s="114">
        <f>LOG('[1]RAW DATA'!G18,10)</f>
        <v>7.6861892342440221</v>
      </c>
      <c r="H18" s="113">
        <f>LOG('[1]RAW DATA'!H18,10)</f>
        <v>2.4785664955938431</v>
      </c>
      <c r="I18" s="113">
        <f>LOG('[1]RAW DATA'!I18,10)</f>
        <v>7.1628629933219257</v>
      </c>
      <c r="J18" s="114">
        <f>LOG('[1]RAW DATA'!J18,10)</f>
        <v>7.612518962242536</v>
      </c>
    </row>
    <row r="19" spans="1:10" s="129" customFormat="1" x14ac:dyDescent="0.25">
      <c r="A19" s="146" t="s">
        <v>210</v>
      </c>
      <c r="B19" s="141">
        <f>LOG('[1]RAW DATA'!B19,10)</f>
        <v>3.1553360374650614</v>
      </c>
      <c r="C19" s="142" t="s">
        <v>215</v>
      </c>
      <c r="D19" s="143" t="s">
        <v>222</v>
      </c>
      <c r="E19" s="142">
        <f>LOG('[1]RAW DATA'!E19,10)</f>
        <v>3.390051496458987</v>
      </c>
      <c r="F19" s="147" t="s">
        <v>222</v>
      </c>
      <c r="G19" s="143" t="s">
        <v>222</v>
      </c>
      <c r="H19" s="142">
        <f>LOG('[1]RAW DATA'!H19,10)</f>
        <v>3.5682017240669945</v>
      </c>
      <c r="I19" s="142" t="s">
        <v>222</v>
      </c>
      <c r="J19" s="143" t="s">
        <v>222</v>
      </c>
    </row>
    <row r="20" spans="1:10" x14ac:dyDescent="0.25">
      <c r="A20" s="118" t="s">
        <v>211</v>
      </c>
      <c r="B20" s="102">
        <f>LOG('[1]RAW DATA'!B20,10)</f>
        <v>3.2464985807958007</v>
      </c>
      <c r="C20" s="103">
        <f>LOG('[1]RAW DATA'!C20,10)</f>
        <v>7.9985087777740951</v>
      </c>
      <c r="D20" s="108">
        <f>LOG('[1]RAW DATA'!D20,10)</f>
        <v>7.1286415529538827</v>
      </c>
      <c r="E20" s="103">
        <f>LOG('[1]RAW DATA'!E20,10)</f>
        <v>2.681693392004564</v>
      </c>
      <c r="F20" s="109">
        <f>LOG('[1]RAW DATA'!F20,10)</f>
        <v>7.4528083053649237</v>
      </c>
      <c r="G20" s="110">
        <f>LOG('[1]RAW DATA'!G20,10)</f>
        <v>7.725503268859315</v>
      </c>
      <c r="H20" s="103">
        <f>LOG('[1]RAW DATA'!H20,10)</f>
        <v>2.070037866607755</v>
      </c>
      <c r="I20" s="103" t="s">
        <v>222</v>
      </c>
      <c r="J20" s="110" t="s">
        <v>222</v>
      </c>
    </row>
    <row r="21" spans="1:10" s="129" customFormat="1" x14ac:dyDescent="0.25">
      <c r="A21" s="140" t="s">
        <v>212</v>
      </c>
      <c r="B21" s="141">
        <f>LOG('[1]RAW DATA'!B21,10)</f>
        <v>1.1958996524092336</v>
      </c>
      <c r="C21" s="142" t="s">
        <v>222</v>
      </c>
      <c r="D21" s="143" t="s">
        <v>222</v>
      </c>
      <c r="E21" s="142">
        <f>LOG('[1]RAW DATA'!E21,10)</f>
        <v>2.070037866607755</v>
      </c>
      <c r="F21" s="144">
        <f>LOG('[1]RAW DATA'!F21,10)</f>
        <v>1.5748026613264439</v>
      </c>
      <c r="G21" s="143" t="s">
        <v>222</v>
      </c>
      <c r="H21" s="142">
        <f>LOG('[1]RAW DATA'!H21,10)</f>
        <v>3.051152522447381</v>
      </c>
      <c r="I21" s="142">
        <f>LOG('[1]RAW DATA'!I21,10)</f>
        <v>2.8625785677670703</v>
      </c>
      <c r="J21" s="145">
        <f>LOG('[1]RAW DATA'!J21,10)</f>
        <v>2.716281648342755</v>
      </c>
    </row>
    <row r="22" spans="1:10" x14ac:dyDescent="0.25">
      <c r="A22" s="118" t="s">
        <v>213</v>
      </c>
      <c r="B22" s="102">
        <f>LOG('[1]RAW DATA'!B22,10)</f>
        <v>3.1904717705733447</v>
      </c>
      <c r="C22" s="103">
        <f>LOG('[1]RAW DATA'!C22,10)</f>
        <v>6.9368905706863977</v>
      </c>
      <c r="D22" s="108">
        <f>LOG('[1]RAW DATA'!D22,10)</f>
        <v>6.8937617620579426</v>
      </c>
      <c r="E22" s="103">
        <f>LOG('[1]RAW DATA'!E22,10)</f>
        <v>2.8337843746564788</v>
      </c>
      <c r="F22" s="109">
        <f>LOG('[1]RAW DATA'!F22,10)</f>
        <v>7.5546910166107066</v>
      </c>
      <c r="G22" s="110">
        <f>LOG('[1]RAW DATA'!G22,10)</f>
        <v>7.559308010907011</v>
      </c>
      <c r="H22" s="103">
        <f>LOG('[1]RAW DATA'!H22,10)</f>
        <v>2.8756399370041681</v>
      </c>
      <c r="I22" s="103">
        <f>LOG('[1]RAW DATA'!I22,10)</f>
        <v>6.0109356647043839</v>
      </c>
      <c r="J22" s="108">
        <f>LOG('[1]RAW DATA'!J22,10)</f>
        <v>7.1383026981662807</v>
      </c>
    </row>
    <row r="23" spans="1:10" x14ac:dyDescent="0.25">
      <c r="A23" s="118" t="s">
        <v>214</v>
      </c>
      <c r="B23" s="102" t="s">
        <v>215</v>
      </c>
      <c r="C23" s="103" t="s">
        <v>215</v>
      </c>
      <c r="D23" s="108" t="s">
        <v>215</v>
      </c>
      <c r="E23" s="103">
        <f>LOG('[1]RAW DATA'!E23,10)</f>
        <v>2.8221680793680171</v>
      </c>
      <c r="F23" s="109">
        <f>LOG('[1]RAW DATA'!F23,10)</f>
        <v>4.2810333672477272</v>
      </c>
      <c r="G23" s="110">
        <f>LOG('[1]RAW DATA'!G23,10)</f>
        <v>3.5518564504891152</v>
      </c>
      <c r="H23" s="103">
        <f>LOG('[1]RAW DATA'!H23,10)</f>
        <v>2.6117233080073419</v>
      </c>
      <c r="I23" s="103">
        <f>LOG('[1]RAW DATA'!I23,10)</f>
        <v>4.012837224705172</v>
      </c>
      <c r="J23" s="108">
        <f>LOG('[1]RAW DATA'!J23,10)</f>
        <v>3.2706788361447061</v>
      </c>
    </row>
    <row r="24" spans="1:10" x14ac:dyDescent="0.25">
      <c r="A24" s="118" t="s">
        <v>216</v>
      </c>
      <c r="B24" s="102">
        <f>LOG('[1]RAW DATA'!B24,10)</f>
        <v>3.2636360685881076</v>
      </c>
      <c r="C24" s="103">
        <f>LOG('[1]RAW DATA'!C24,10)</f>
        <v>3.8540022331269888</v>
      </c>
      <c r="D24" s="108">
        <f>LOG('[1]RAW DATA'!D24,10)</f>
        <v>3.6794278966121183</v>
      </c>
      <c r="E24" s="103">
        <f>LOG('[1]RAW DATA'!E24,10)</f>
        <v>2.5409548089261325</v>
      </c>
      <c r="F24" s="109">
        <f>LOG('[1]RAW DATA'!F24,10)</f>
        <v>4.0800850850458685</v>
      </c>
      <c r="G24" s="110">
        <f>LOG('[1]RAW DATA'!G24,10)</f>
        <v>4.3053513694466234</v>
      </c>
      <c r="H24" s="103">
        <f>LOG('[1]RAW DATA'!H24,10)</f>
        <v>2.7615519885641815</v>
      </c>
      <c r="I24" s="103">
        <f>LOG('[1]RAW DATA'!I24,10)</f>
        <v>4.6304278750250232</v>
      </c>
      <c r="J24" s="108">
        <f>LOG('[1]RAW DATA'!J24,10)</f>
        <v>4.6507930396519299</v>
      </c>
    </row>
    <row r="25" spans="1:10" x14ac:dyDescent="0.25">
      <c r="A25" s="118" t="s">
        <v>217</v>
      </c>
      <c r="B25" s="102">
        <f>LOG('[1]RAW DATA'!B25,10)</f>
        <v>2.4969296480732144</v>
      </c>
      <c r="C25" s="103">
        <f>LOG('[1]RAW DATA'!C25,10)</f>
        <v>2.557807855764604</v>
      </c>
      <c r="D25" s="108">
        <f>LOG('[1]RAW DATA'!D25,10)</f>
        <v>2.7027176733035239</v>
      </c>
      <c r="E25" s="103">
        <f>LOG('[1]RAW DATA'!E25,10)</f>
        <v>2.6222140229662951</v>
      </c>
      <c r="F25" s="109">
        <f>LOG('[1]RAW DATA'!F25,10)</f>
        <v>2.5670263661590602</v>
      </c>
      <c r="G25" s="110">
        <f>LOG('[1]RAW DATA'!G25,10)</f>
        <v>2.6505503492394107</v>
      </c>
      <c r="H25" s="103">
        <f>LOG('[1]RAW DATA'!H25,10)</f>
        <v>2.20002926655377</v>
      </c>
      <c r="I25" s="103">
        <f>LOG('[1]RAW DATA'!I25,10)</f>
        <v>1.8695250628572271</v>
      </c>
      <c r="J25" s="108">
        <f>LOG('[1]RAW DATA'!J25,10)</f>
        <v>1.7052220557053834</v>
      </c>
    </row>
    <row r="26" spans="1:10" ht="15.75" thickBot="1" x14ac:dyDescent="0.3">
      <c r="A26" s="119" t="s">
        <v>218</v>
      </c>
      <c r="B26" s="112">
        <f>LOG('[1]RAW DATA'!B26,10)</f>
        <v>2.3242824552976926</v>
      </c>
      <c r="C26" s="113">
        <f>LOG('[1]RAW DATA'!C26,10)</f>
        <v>2.4767591917708858</v>
      </c>
      <c r="D26" s="114">
        <f>LOG('[1]RAW DATA'!D26,10)</f>
        <v>2.3842637857228026</v>
      </c>
      <c r="E26" s="113">
        <f>LOG('[1]RAW DATA'!E26,10)</f>
        <v>2.3710678622717358</v>
      </c>
      <c r="F26" s="115">
        <f>LOG('[1]RAW DATA'!F26,10)</f>
        <v>2.7234556720351857</v>
      </c>
      <c r="G26" s="114">
        <f>LOG('[1]RAW DATA'!G26,10)</f>
        <v>2.8916768109488773</v>
      </c>
      <c r="H26" s="113">
        <f>LOG('[1]RAW DATA'!H26,10)</f>
        <v>2.5893910231369328</v>
      </c>
      <c r="I26" s="113">
        <f>LOG('[1]RAW DATA'!I26,10)</f>
        <v>2.7303784685876424</v>
      </c>
      <c r="J26" s="120">
        <f>LOG('[1]RAW DATA'!J26,10)</f>
        <v>2.6143698395482882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8B1E-7B0F-4B09-BAEC-19A719F61FAB}">
  <dimension ref="A1:E18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  <col min="2" max="2" width="15.42578125" bestFit="1" customWidth="1"/>
    <col min="4" max="4" width="65" bestFit="1" customWidth="1"/>
  </cols>
  <sheetData>
    <row r="1" spans="1:5" ht="17.25" x14ac:dyDescent="0.25">
      <c r="A1" s="5" t="s">
        <v>6</v>
      </c>
      <c r="B1" s="5" t="s">
        <v>7</v>
      </c>
      <c r="C1" s="5" t="s">
        <v>8</v>
      </c>
      <c r="D1" s="150" t="s">
        <v>224</v>
      </c>
    </row>
    <row r="2" spans="1:5" x14ac:dyDescent="0.25">
      <c r="A2" s="25" t="s">
        <v>81</v>
      </c>
      <c r="B2" s="17" t="s">
        <v>82</v>
      </c>
      <c r="C2" s="149" t="s">
        <v>83</v>
      </c>
      <c r="D2" t="s">
        <v>223</v>
      </c>
    </row>
    <row r="3" spans="1:5" x14ac:dyDescent="0.25">
      <c r="A3" s="11" t="s">
        <v>59</v>
      </c>
      <c r="B3" s="12" t="s">
        <v>60</v>
      </c>
      <c r="C3" s="11" t="s">
        <v>33</v>
      </c>
      <c r="D3" t="s">
        <v>225</v>
      </c>
    </row>
    <row r="4" spans="1:5" x14ac:dyDescent="0.25">
      <c r="A4" s="11" t="s">
        <v>74</v>
      </c>
      <c r="B4" s="22" t="s">
        <v>75</v>
      </c>
      <c r="C4" s="21" t="s">
        <v>33</v>
      </c>
      <c r="D4" t="s">
        <v>223</v>
      </c>
    </row>
    <row r="5" spans="1:5" x14ac:dyDescent="0.25">
      <c r="A5" s="11" t="s">
        <v>76</v>
      </c>
      <c r="B5" s="22" t="s">
        <v>77</v>
      </c>
      <c r="C5" s="21" t="s">
        <v>33</v>
      </c>
      <c r="D5" t="s">
        <v>223</v>
      </c>
      <c r="E5" t="s">
        <v>240</v>
      </c>
    </row>
    <row r="6" spans="1:5" x14ac:dyDescent="0.25">
      <c r="A6" s="11" t="s">
        <v>55</v>
      </c>
      <c r="B6" s="20" t="s">
        <v>56</v>
      </c>
      <c r="C6" s="11" t="s">
        <v>33</v>
      </c>
      <c r="D6" t="s">
        <v>235</v>
      </c>
    </row>
    <row r="7" spans="1:5" x14ac:dyDescent="0.25">
      <c r="A7" s="11" t="s">
        <v>72</v>
      </c>
      <c r="B7" s="22" t="s">
        <v>67</v>
      </c>
      <c r="C7" s="21" t="s">
        <v>33</v>
      </c>
      <c r="D7" t="s">
        <v>223</v>
      </c>
    </row>
    <row r="8" spans="1:5" x14ac:dyDescent="0.25">
      <c r="A8" s="11" t="s">
        <v>73</v>
      </c>
      <c r="B8" s="22" t="s">
        <v>67</v>
      </c>
      <c r="C8" s="21" t="s">
        <v>33</v>
      </c>
    </row>
    <row r="9" spans="1:5" x14ac:dyDescent="0.25">
      <c r="A9" s="11" t="s">
        <v>50</v>
      </c>
      <c r="B9" s="22" t="s">
        <v>51</v>
      </c>
      <c r="C9" s="21" t="s">
        <v>33</v>
      </c>
      <c r="D9" t="s">
        <v>236</v>
      </c>
    </row>
    <row r="10" spans="1:5" x14ac:dyDescent="0.25">
      <c r="A10" s="11" t="s">
        <v>52</v>
      </c>
      <c r="B10" s="20" t="s">
        <v>53</v>
      </c>
      <c r="C10" s="12" t="s">
        <v>54</v>
      </c>
    </row>
    <row r="11" spans="1:5" x14ac:dyDescent="0.25">
      <c r="A11" s="11" t="s">
        <v>64</v>
      </c>
      <c r="B11" s="12" t="s">
        <v>65</v>
      </c>
      <c r="C11" s="11" t="s">
        <v>33</v>
      </c>
    </row>
    <row r="12" spans="1:5" x14ac:dyDescent="0.25">
      <c r="A12" s="11" t="s">
        <v>57</v>
      </c>
      <c r="B12" s="12" t="s">
        <v>58</v>
      </c>
      <c r="C12" s="11" t="s">
        <v>33</v>
      </c>
      <c r="D12" t="s">
        <v>241</v>
      </c>
    </row>
    <row r="13" spans="1:5" x14ac:dyDescent="0.25">
      <c r="A13" s="11" t="s">
        <v>66</v>
      </c>
      <c r="B13" s="22" t="s">
        <v>67</v>
      </c>
      <c r="C13" s="12" t="s">
        <v>68</v>
      </c>
      <c r="D13" t="s">
        <v>238</v>
      </c>
    </row>
    <row r="14" spans="1:5" x14ac:dyDescent="0.25">
      <c r="A14" s="11" t="s">
        <v>61</v>
      </c>
      <c r="B14" s="12" t="s">
        <v>62</v>
      </c>
      <c r="C14" s="11" t="s">
        <v>33</v>
      </c>
      <c r="D14" t="s">
        <v>225</v>
      </c>
    </row>
    <row r="15" spans="1:5" x14ac:dyDescent="0.25">
      <c r="A15" s="11" t="s">
        <v>46</v>
      </c>
      <c r="B15" s="22" t="s">
        <v>47</v>
      </c>
      <c r="C15" s="22" t="s">
        <v>48</v>
      </c>
    </row>
    <row r="16" spans="1:5" x14ac:dyDescent="0.25">
      <c r="A16" s="11" t="s">
        <v>78</v>
      </c>
      <c r="B16" s="22" t="s">
        <v>79</v>
      </c>
      <c r="C16" s="21" t="s">
        <v>33</v>
      </c>
      <c r="D16" t="s">
        <v>237</v>
      </c>
    </row>
    <row r="17" spans="1:3" x14ac:dyDescent="0.25">
      <c r="A17" s="11" t="s">
        <v>70</v>
      </c>
      <c r="B17" s="22" t="s">
        <v>67</v>
      </c>
      <c r="C17" s="22" t="s">
        <v>71</v>
      </c>
    </row>
    <row r="18" spans="1:3" x14ac:dyDescent="0.25">
      <c r="A18" s="28"/>
      <c r="B18" s="148"/>
      <c r="C18" s="28"/>
    </row>
  </sheetData>
  <autoFilter ref="A1:C1" xr:uid="{B52EE922-FBC8-49A2-B271-3E090A88EBE0}">
    <sortState xmlns:xlrd2="http://schemas.microsoft.com/office/spreadsheetml/2017/richdata2" ref="A2:C18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E32C-064A-4616-9A57-EB606C1AF7B5}">
  <sheetPr filterMode="1"/>
  <dimension ref="A1:I277"/>
  <sheetViews>
    <sheetView workbookViewId="0">
      <selection sqref="A1:XFD1"/>
    </sheetView>
  </sheetViews>
  <sheetFormatPr defaultRowHeight="15" x14ac:dyDescent="0.25"/>
  <cols>
    <col min="1" max="1" width="11.85546875" bestFit="1" customWidth="1"/>
    <col min="2" max="2" width="12.85546875" bestFit="1" customWidth="1"/>
    <col min="8" max="8" width="11.140625" style="85" bestFit="1" customWidth="1"/>
    <col min="9" max="9" width="16.5703125" bestFit="1" customWidth="1"/>
  </cols>
  <sheetData>
    <row r="1" spans="1:9" s="151" customFormat="1" x14ac:dyDescent="0.25">
      <c r="A1" s="151" t="s">
        <v>97</v>
      </c>
      <c r="B1" s="151" t="s">
        <v>233</v>
      </c>
      <c r="C1" s="151" t="s">
        <v>99</v>
      </c>
      <c r="D1" s="151" t="s">
        <v>226</v>
      </c>
      <c r="E1" s="151" t="s">
        <v>227</v>
      </c>
      <c r="F1" s="151" t="s">
        <v>228</v>
      </c>
      <c r="G1" s="151" t="s">
        <v>231</v>
      </c>
      <c r="H1" s="152" t="s">
        <v>232</v>
      </c>
      <c r="I1" s="151" t="s">
        <v>234</v>
      </c>
    </row>
    <row r="2" spans="1:9" x14ac:dyDescent="0.25">
      <c r="A2" s="11" t="s">
        <v>76</v>
      </c>
      <c r="B2" s="22" t="s">
        <v>77</v>
      </c>
      <c r="C2" s="21" t="s">
        <v>33</v>
      </c>
      <c r="D2">
        <v>6</v>
      </c>
      <c r="E2">
        <v>0</v>
      </c>
      <c r="F2" t="s">
        <v>229</v>
      </c>
      <c r="G2">
        <v>0</v>
      </c>
      <c r="H2" s="85">
        <f>491</f>
        <v>491</v>
      </c>
      <c r="I2">
        <v>66</v>
      </c>
    </row>
    <row r="3" spans="1:9" x14ac:dyDescent="0.25">
      <c r="A3" s="11" t="s">
        <v>76</v>
      </c>
      <c r="B3" s="22" t="s">
        <v>77</v>
      </c>
      <c r="C3" s="21" t="s">
        <v>33</v>
      </c>
      <c r="D3">
        <v>6</v>
      </c>
      <c r="E3">
        <v>0</v>
      </c>
      <c r="F3" t="s">
        <v>229</v>
      </c>
      <c r="G3">
        <v>0</v>
      </c>
      <c r="H3" s="85">
        <f>818</f>
        <v>818</v>
      </c>
      <c r="I3">
        <v>66</v>
      </c>
    </row>
    <row r="4" spans="1:9" hidden="1" x14ac:dyDescent="0.25">
      <c r="A4" s="11" t="s">
        <v>59</v>
      </c>
      <c r="B4" s="12" t="s">
        <v>60</v>
      </c>
      <c r="C4" s="11" t="s">
        <v>33</v>
      </c>
      <c r="D4">
        <v>55</v>
      </c>
      <c r="E4">
        <v>0</v>
      </c>
      <c r="F4" t="s">
        <v>229</v>
      </c>
      <c r="G4">
        <v>0</v>
      </c>
      <c r="H4" s="85">
        <f>480</f>
        <v>480</v>
      </c>
      <c r="I4">
        <v>36</v>
      </c>
    </row>
    <row r="5" spans="1:9" hidden="1" x14ac:dyDescent="0.25">
      <c r="A5" s="11" t="s">
        <v>59</v>
      </c>
      <c r="B5" s="12" t="s">
        <v>60</v>
      </c>
      <c r="C5" s="11" t="s">
        <v>33</v>
      </c>
      <c r="D5">
        <v>55</v>
      </c>
      <c r="E5">
        <v>0</v>
      </c>
      <c r="F5" t="s">
        <v>229</v>
      </c>
      <c r="G5">
        <v>0</v>
      </c>
      <c r="H5" s="85">
        <f>450</f>
        <v>450</v>
      </c>
      <c r="I5">
        <v>36</v>
      </c>
    </row>
    <row r="6" spans="1:9" hidden="1" x14ac:dyDescent="0.25">
      <c r="A6" s="11" t="s">
        <v>59</v>
      </c>
      <c r="B6" s="12" t="s">
        <v>60</v>
      </c>
      <c r="C6" s="11" t="s">
        <v>33</v>
      </c>
      <c r="D6">
        <v>21</v>
      </c>
      <c r="E6">
        <v>0</v>
      </c>
      <c r="F6" t="s">
        <v>229</v>
      </c>
      <c r="G6">
        <v>0</v>
      </c>
      <c r="H6" s="85">
        <f>440</f>
        <v>440</v>
      </c>
      <c r="I6">
        <v>36</v>
      </c>
    </row>
    <row r="7" spans="1:9" hidden="1" x14ac:dyDescent="0.25">
      <c r="A7" s="11" t="s">
        <v>59</v>
      </c>
      <c r="B7" s="12" t="s">
        <v>60</v>
      </c>
      <c r="C7" s="11" t="s">
        <v>33</v>
      </c>
      <c r="D7">
        <v>21</v>
      </c>
      <c r="E7">
        <v>0</v>
      </c>
      <c r="F7" t="s">
        <v>229</v>
      </c>
      <c r="G7">
        <v>0</v>
      </c>
      <c r="H7" s="85">
        <f>540</f>
        <v>540</v>
      </c>
      <c r="I7">
        <v>36</v>
      </c>
    </row>
    <row r="8" spans="1:9" hidden="1" x14ac:dyDescent="0.25">
      <c r="A8" s="11" t="s">
        <v>59</v>
      </c>
      <c r="B8" s="12" t="s">
        <v>60</v>
      </c>
      <c r="C8" s="11" t="s">
        <v>33</v>
      </c>
      <c r="D8">
        <v>37</v>
      </c>
      <c r="E8">
        <v>0</v>
      </c>
      <c r="F8" t="s">
        <v>229</v>
      </c>
      <c r="G8">
        <v>0</v>
      </c>
      <c r="H8" s="85">
        <f>490</f>
        <v>490</v>
      </c>
      <c r="I8">
        <v>36</v>
      </c>
    </row>
    <row r="9" spans="1:9" hidden="1" x14ac:dyDescent="0.25">
      <c r="A9" s="11" t="s">
        <v>59</v>
      </c>
      <c r="B9" s="12" t="s">
        <v>60</v>
      </c>
      <c r="C9" s="11" t="s">
        <v>33</v>
      </c>
      <c r="D9">
        <v>37</v>
      </c>
      <c r="E9">
        <v>0</v>
      </c>
      <c r="F9" t="s">
        <v>229</v>
      </c>
      <c r="G9">
        <v>0</v>
      </c>
      <c r="H9" s="85">
        <f>480</f>
        <v>480</v>
      </c>
      <c r="I9">
        <v>36</v>
      </c>
    </row>
    <row r="10" spans="1:9" hidden="1" x14ac:dyDescent="0.25">
      <c r="A10" s="11" t="s">
        <v>59</v>
      </c>
      <c r="B10" s="12" t="s">
        <v>60</v>
      </c>
      <c r="C10" s="11" t="s">
        <v>33</v>
      </c>
      <c r="D10">
        <v>32</v>
      </c>
      <c r="E10">
        <v>0</v>
      </c>
      <c r="F10" t="s">
        <v>229</v>
      </c>
      <c r="G10">
        <v>0</v>
      </c>
      <c r="H10" s="85">
        <f>530</f>
        <v>530</v>
      </c>
      <c r="I10">
        <v>36</v>
      </c>
    </row>
    <row r="11" spans="1:9" hidden="1" x14ac:dyDescent="0.25">
      <c r="A11" s="11" t="s">
        <v>59</v>
      </c>
      <c r="B11" s="12" t="s">
        <v>60</v>
      </c>
      <c r="C11" s="11" t="s">
        <v>33</v>
      </c>
      <c r="D11">
        <v>32</v>
      </c>
      <c r="E11">
        <v>0</v>
      </c>
      <c r="F11" t="s">
        <v>229</v>
      </c>
      <c r="G11">
        <v>0</v>
      </c>
      <c r="H11" s="85">
        <f>450</f>
        <v>450</v>
      </c>
      <c r="I11">
        <v>36</v>
      </c>
    </row>
    <row r="12" spans="1:9" hidden="1" x14ac:dyDescent="0.25">
      <c r="A12" s="11" t="s">
        <v>59</v>
      </c>
      <c r="B12" s="12" t="s">
        <v>60</v>
      </c>
      <c r="C12" s="11" t="s">
        <v>33</v>
      </c>
      <c r="D12">
        <v>55</v>
      </c>
      <c r="E12">
        <v>0</v>
      </c>
      <c r="F12" t="s">
        <v>230</v>
      </c>
      <c r="G12">
        <v>0</v>
      </c>
      <c r="H12" s="85">
        <f>347</f>
        <v>347</v>
      </c>
      <c r="I12">
        <v>36</v>
      </c>
    </row>
    <row r="13" spans="1:9" hidden="1" x14ac:dyDescent="0.25">
      <c r="A13" s="11" t="s">
        <v>59</v>
      </c>
      <c r="B13" s="12" t="s">
        <v>60</v>
      </c>
      <c r="C13" s="11" t="s">
        <v>33</v>
      </c>
      <c r="D13">
        <v>55</v>
      </c>
      <c r="E13">
        <v>0</v>
      </c>
      <c r="F13" t="s">
        <v>230</v>
      </c>
      <c r="G13">
        <v>0</v>
      </c>
      <c r="H13" s="85">
        <f>337</f>
        <v>337</v>
      </c>
      <c r="I13">
        <v>36</v>
      </c>
    </row>
    <row r="14" spans="1:9" x14ac:dyDescent="0.25">
      <c r="A14" s="11" t="s">
        <v>76</v>
      </c>
      <c r="B14" s="22" t="s">
        <v>77</v>
      </c>
      <c r="C14" s="21" t="s">
        <v>33</v>
      </c>
      <c r="D14">
        <v>6</v>
      </c>
      <c r="E14">
        <v>0</v>
      </c>
      <c r="F14" t="s">
        <v>230</v>
      </c>
      <c r="G14">
        <v>0</v>
      </c>
      <c r="H14" s="85">
        <f>654</f>
        <v>654</v>
      </c>
      <c r="I14">
        <v>66</v>
      </c>
    </row>
    <row r="15" spans="1:9" x14ac:dyDescent="0.25">
      <c r="A15" s="11" t="s">
        <v>76</v>
      </c>
      <c r="B15" s="22" t="s">
        <v>77</v>
      </c>
      <c r="C15" s="21" t="s">
        <v>33</v>
      </c>
      <c r="D15">
        <v>6</v>
      </c>
      <c r="E15">
        <v>0</v>
      </c>
      <c r="F15" t="s">
        <v>230</v>
      </c>
      <c r="G15">
        <v>0</v>
      </c>
      <c r="H15" s="85">
        <f>593</f>
        <v>593</v>
      </c>
      <c r="I15">
        <v>66</v>
      </c>
    </row>
    <row r="16" spans="1:9" hidden="1" x14ac:dyDescent="0.25">
      <c r="A16" s="11" t="s">
        <v>59</v>
      </c>
      <c r="B16" s="12" t="s">
        <v>60</v>
      </c>
      <c r="C16" s="11" t="s">
        <v>33</v>
      </c>
      <c r="D16">
        <v>21</v>
      </c>
      <c r="E16">
        <v>0</v>
      </c>
      <c r="F16" t="s">
        <v>230</v>
      </c>
      <c r="G16">
        <v>0</v>
      </c>
      <c r="H16" s="85">
        <f>254</f>
        <v>254</v>
      </c>
      <c r="I16">
        <v>36</v>
      </c>
    </row>
    <row r="17" spans="1:9" hidden="1" x14ac:dyDescent="0.25">
      <c r="A17" s="11" t="s">
        <v>59</v>
      </c>
      <c r="B17" s="12" t="s">
        <v>60</v>
      </c>
      <c r="C17" s="11" t="s">
        <v>33</v>
      </c>
      <c r="D17">
        <v>21</v>
      </c>
      <c r="E17">
        <v>0</v>
      </c>
      <c r="F17" t="s">
        <v>230</v>
      </c>
      <c r="G17">
        <v>0</v>
      </c>
      <c r="H17" s="85">
        <f>311</f>
        <v>311</v>
      </c>
      <c r="I17">
        <v>36</v>
      </c>
    </row>
    <row r="18" spans="1:9" hidden="1" x14ac:dyDescent="0.25">
      <c r="A18" s="11" t="s">
        <v>59</v>
      </c>
      <c r="B18" s="12" t="s">
        <v>60</v>
      </c>
      <c r="C18" s="11" t="s">
        <v>33</v>
      </c>
      <c r="D18">
        <v>32</v>
      </c>
      <c r="E18">
        <v>0</v>
      </c>
      <c r="F18" t="s">
        <v>230</v>
      </c>
      <c r="G18">
        <v>0</v>
      </c>
      <c r="H18" s="85">
        <f>329</f>
        <v>329</v>
      </c>
      <c r="I18">
        <v>36</v>
      </c>
    </row>
    <row r="19" spans="1:9" hidden="1" x14ac:dyDescent="0.25">
      <c r="A19" s="11" t="s">
        <v>59</v>
      </c>
      <c r="B19" s="12" t="s">
        <v>60</v>
      </c>
      <c r="C19" s="11" t="s">
        <v>33</v>
      </c>
      <c r="D19">
        <v>32</v>
      </c>
      <c r="E19">
        <v>0</v>
      </c>
      <c r="F19" t="s">
        <v>230</v>
      </c>
      <c r="G19">
        <v>0</v>
      </c>
      <c r="H19" s="85">
        <f>322</f>
        <v>322</v>
      </c>
      <c r="I19">
        <v>36</v>
      </c>
    </row>
    <row r="20" spans="1:9" hidden="1" x14ac:dyDescent="0.25">
      <c r="A20" s="11" t="s">
        <v>59</v>
      </c>
      <c r="B20" s="12" t="s">
        <v>60</v>
      </c>
      <c r="C20" s="11" t="s">
        <v>33</v>
      </c>
      <c r="D20">
        <v>37</v>
      </c>
      <c r="E20">
        <v>0</v>
      </c>
      <c r="F20" t="s">
        <v>230</v>
      </c>
      <c r="G20">
        <v>0</v>
      </c>
      <c r="H20" s="85">
        <f>274</f>
        <v>274</v>
      </c>
      <c r="I20">
        <v>36</v>
      </c>
    </row>
    <row r="21" spans="1:9" hidden="1" x14ac:dyDescent="0.25">
      <c r="A21" s="11" t="s">
        <v>59</v>
      </c>
      <c r="B21" s="12" t="s">
        <v>60</v>
      </c>
      <c r="C21" s="11" t="s">
        <v>33</v>
      </c>
      <c r="D21">
        <v>37</v>
      </c>
      <c r="E21">
        <v>0</v>
      </c>
      <c r="F21" t="s">
        <v>230</v>
      </c>
      <c r="G21">
        <v>0</v>
      </c>
      <c r="H21" s="85">
        <f>316</f>
        <v>316</v>
      </c>
      <c r="I21">
        <v>36</v>
      </c>
    </row>
    <row r="22" spans="1:9" x14ac:dyDescent="0.25">
      <c r="A22" s="11" t="s">
        <v>76</v>
      </c>
      <c r="B22" s="22" t="s">
        <v>77</v>
      </c>
      <c r="C22" s="21" t="s">
        <v>33</v>
      </c>
      <c r="D22">
        <v>6</v>
      </c>
      <c r="E22">
        <v>14</v>
      </c>
      <c r="F22" t="s">
        <v>229</v>
      </c>
      <c r="G22">
        <v>4</v>
      </c>
      <c r="H22" s="85">
        <f>409000</f>
        <v>409000</v>
      </c>
      <c r="I22">
        <v>75</v>
      </c>
    </row>
    <row r="23" spans="1:9" x14ac:dyDescent="0.25">
      <c r="A23" s="11" t="s">
        <v>76</v>
      </c>
      <c r="B23" s="22" t="s">
        <v>77</v>
      </c>
      <c r="C23" s="21" t="s">
        <v>33</v>
      </c>
      <c r="D23">
        <v>6</v>
      </c>
      <c r="E23">
        <v>14</v>
      </c>
      <c r="F23" t="s">
        <v>229</v>
      </c>
      <c r="G23">
        <v>4</v>
      </c>
      <c r="H23" s="85">
        <f>613000</f>
        <v>613000</v>
      </c>
      <c r="I23">
        <v>75</v>
      </c>
    </row>
    <row r="24" spans="1:9" x14ac:dyDescent="0.25">
      <c r="A24" s="11" t="s">
        <v>76</v>
      </c>
      <c r="B24" s="22" t="s">
        <v>77</v>
      </c>
      <c r="C24" s="21" t="s">
        <v>33</v>
      </c>
      <c r="D24">
        <v>6</v>
      </c>
      <c r="E24">
        <v>14</v>
      </c>
      <c r="F24" t="s">
        <v>230</v>
      </c>
      <c r="G24">
        <v>4</v>
      </c>
      <c r="H24" s="85">
        <f>409000</f>
        <v>409000</v>
      </c>
      <c r="I24">
        <v>75</v>
      </c>
    </row>
    <row r="25" spans="1:9" x14ac:dyDescent="0.25">
      <c r="A25" s="11" t="s">
        <v>76</v>
      </c>
      <c r="B25" s="22" t="s">
        <v>77</v>
      </c>
      <c r="C25" s="21" t="s">
        <v>33</v>
      </c>
      <c r="D25">
        <v>6</v>
      </c>
      <c r="E25">
        <v>14</v>
      </c>
      <c r="F25" t="s">
        <v>230</v>
      </c>
      <c r="G25">
        <v>4</v>
      </c>
      <c r="H25" s="85">
        <f>1640000</f>
        <v>1640000</v>
      </c>
      <c r="I25">
        <v>75</v>
      </c>
    </row>
    <row r="26" spans="1:9" x14ac:dyDescent="0.25">
      <c r="A26" s="11" t="s">
        <v>76</v>
      </c>
      <c r="B26" s="22" t="s">
        <v>77</v>
      </c>
      <c r="C26" s="21" t="s">
        <v>33</v>
      </c>
      <c r="D26">
        <v>6</v>
      </c>
      <c r="E26">
        <v>21</v>
      </c>
      <c r="F26" t="s">
        <v>229</v>
      </c>
      <c r="G26">
        <v>5</v>
      </c>
      <c r="H26" s="85">
        <f>9990000</f>
        <v>9990000</v>
      </c>
      <c r="I26">
        <v>78</v>
      </c>
    </row>
    <row r="27" spans="1:9" x14ac:dyDescent="0.25">
      <c r="A27" s="11" t="s">
        <v>76</v>
      </c>
      <c r="B27" s="22" t="s">
        <v>77</v>
      </c>
      <c r="C27" s="21" t="s">
        <v>33</v>
      </c>
      <c r="D27">
        <v>6</v>
      </c>
      <c r="E27">
        <v>21</v>
      </c>
      <c r="F27" t="s">
        <v>229</v>
      </c>
      <c r="G27">
        <v>5</v>
      </c>
      <c r="H27" s="85">
        <f>6000000</f>
        <v>6000000</v>
      </c>
      <c r="I27">
        <v>78</v>
      </c>
    </row>
    <row r="28" spans="1:9" x14ac:dyDescent="0.25">
      <c r="A28" s="11" t="s">
        <v>76</v>
      </c>
      <c r="B28" s="22" t="s">
        <v>77</v>
      </c>
      <c r="C28" s="21" t="s">
        <v>33</v>
      </c>
      <c r="D28">
        <v>6</v>
      </c>
      <c r="E28">
        <v>21</v>
      </c>
      <c r="F28" t="s">
        <v>230</v>
      </c>
      <c r="G28">
        <v>5</v>
      </c>
      <c r="H28" s="85">
        <f>4000000</f>
        <v>4000000</v>
      </c>
      <c r="I28">
        <v>78</v>
      </c>
    </row>
    <row r="29" spans="1:9" x14ac:dyDescent="0.25">
      <c r="A29" s="11" t="s">
        <v>76</v>
      </c>
      <c r="B29" s="22" t="s">
        <v>77</v>
      </c>
      <c r="C29" s="21" t="s">
        <v>33</v>
      </c>
      <c r="D29">
        <v>6</v>
      </c>
      <c r="E29">
        <v>21</v>
      </c>
      <c r="F29" t="s">
        <v>230</v>
      </c>
      <c r="G29">
        <v>5</v>
      </c>
      <c r="H29" s="85">
        <f>14000000</f>
        <v>14000000</v>
      </c>
      <c r="I29">
        <v>78</v>
      </c>
    </row>
    <row r="30" spans="1:9" hidden="1" x14ac:dyDescent="0.25">
      <c r="A30" s="11" t="s">
        <v>55</v>
      </c>
      <c r="B30" s="20" t="s">
        <v>56</v>
      </c>
      <c r="C30" s="11" t="s">
        <v>33</v>
      </c>
      <c r="D30">
        <v>21</v>
      </c>
      <c r="E30">
        <v>0</v>
      </c>
      <c r="F30" t="s">
        <v>229</v>
      </c>
      <c r="G30">
        <v>0</v>
      </c>
      <c r="H30" s="85">
        <f>2390</f>
        <v>2390</v>
      </c>
      <c r="I30">
        <v>77</v>
      </c>
    </row>
    <row r="31" spans="1:9" hidden="1" x14ac:dyDescent="0.25">
      <c r="A31" s="11" t="s">
        <v>55</v>
      </c>
      <c r="B31" s="20" t="s">
        <v>56</v>
      </c>
      <c r="C31" s="11" t="s">
        <v>33</v>
      </c>
      <c r="D31">
        <v>21</v>
      </c>
      <c r="E31">
        <v>0</v>
      </c>
      <c r="F31" t="s">
        <v>229</v>
      </c>
      <c r="G31">
        <v>0</v>
      </c>
      <c r="H31" s="85">
        <f>2290</f>
        <v>2290</v>
      </c>
      <c r="I31">
        <v>77</v>
      </c>
    </row>
    <row r="32" spans="1:9" hidden="1" x14ac:dyDescent="0.25">
      <c r="A32" s="11" t="s">
        <v>55</v>
      </c>
      <c r="B32" s="20" t="s">
        <v>56</v>
      </c>
      <c r="C32" s="11" t="s">
        <v>33</v>
      </c>
      <c r="D32">
        <v>21</v>
      </c>
      <c r="E32">
        <v>0</v>
      </c>
      <c r="F32" t="s">
        <v>230</v>
      </c>
      <c r="G32">
        <v>0</v>
      </c>
      <c r="H32" s="85">
        <f>2640</f>
        <v>2640</v>
      </c>
      <c r="I32">
        <v>77</v>
      </c>
    </row>
    <row r="33" spans="1:9" hidden="1" x14ac:dyDescent="0.25">
      <c r="A33" s="11" t="s">
        <v>55</v>
      </c>
      <c r="B33" s="20" t="s">
        <v>56</v>
      </c>
      <c r="C33" s="11" t="s">
        <v>33</v>
      </c>
      <c r="D33">
        <v>21</v>
      </c>
      <c r="E33">
        <v>0</v>
      </c>
      <c r="F33" t="s">
        <v>230</v>
      </c>
      <c r="G33">
        <v>0</v>
      </c>
      <c r="H33" s="85">
        <f>2530</f>
        <v>2530</v>
      </c>
      <c r="I33">
        <v>77</v>
      </c>
    </row>
    <row r="34" spans="1:9" hidden="1" x14ac:dyDescent="0.25">
      <c r="A34" s="11" t="s">
        <v>55</v>
      </c>
      <c r="B34" s="20" t="s">
        <v>56</v>
      </c>
      <c r="C34" s="11" t="s">
        <v>33</v>
      </c>
      <c r="D34">
        <v>32</v>
      </c>
      <c r="E34">
        <v>0</v>
      </c>
      <c r="F34" t="s">
        <v>229</v>
      </c>
      <c r="G34">
        <v>0</v>
      </c>
      <c r="H34" s="85">
        <f>1940</f>
        <v>1940</v>
      </c>
      <c r="I34">
        <v>77</v>
      </c>
    </row>
    <row r="35" spans="1:9" hidden="1" x14ac:dyDescent="0.25">
      <c r="A35" s="11" t="s">
        <v>55</v>
      </c>
      <c r="B35" s="20" t="s">
        <v>56</v>
      </c>
      <c r="C35" s="11" t="s">
        <v>33</v>
      </c>
      <c r="D35">
        <v>32</v>
      </c>
      <c r="E35">
        <v>0</v>
      </c>
      <c r="F35" t="s">
        <v>229</v>
      </c>
      <c r="G35">
        <v>0</v>
      </c>
      <c r="H35" s="85">
        <f>1980</f>
        <v>1980</v>
      </c>
      <c r="I35">
        <v>77</v>
      </c>
    </row>
    <row r="36" spans="1:9" hidden="1" x14ac:dyDescent="0.25">
      <c r="A36" s="11" t="s">
        <v>55</v>
      </c>
      <c r="B36" s="20" t="s">
        <v>56</v>
      </c>
      <c r="C36" s="11" t="s">
        <v>33</v>
      </c>
      <c r="D36">
        <v>32</v>
      </c>
      <c r="E36">
        <v>0</v>
      </c>
      <c r="F36" t="s">
        <v>230</v>
      </c>
      <c r="G36">
        <v>0</v>
      </c>
      <c r="H36" s="85">
        <f>1900</f>
        <v>1900</v>
      </c>
      <c r="I36">
        <v>77</v>
      </c>
    </row>
    <row r="37" spans="1:9" hidden="1" x14ac:dyDescent="0.25">
      <c r="A37" s="11" t="s">
        <v>55</v>
      </c>
      <c r="B37" s="20" t="s">
        <v>56</v>
      </c>
      <c r="C37" s="11" t="s">
        <v>33</v>
      </c>
      <c r="D37">
        <v>32</v>
      </c>
      <c r="E37">
        <v>0</v>
      </c>
      <c r="F37" t="s">
        <v>230</v>
      </c>
      <c r="G37">
        <v>0</v>
      </c>
      <c r="H37" s="85">
        <f>2150</f>
        <v>2150</v>
      </c>
      <c r="I37">
        <v>77</v>
      </c>
    </row>
    <row r="38" spans="1:9" hidden="1" x14ac:dyDescent="0.25">
      <c r="A38" s="11" t="s">
        <v>55</v>
      </c>
      <c r="B38" s="20" t="s">
        <v>56</v>
      </c>
      <c r="C38" s="11" t="s">
        <v>33</v>
      </c>
      <c r="D38">
        <v>37</v>
      </c>
      <c r="E38">
        <v>0</v>
      </c>
      <c r="F38" t="s">
        <v>229</v>
      </c>
      <c r="G38">
        <v>0</v>
      </c>
      <c r="H38" s="85">
        <f>2580</f>
        <v>2580</v>
      </c>
      <c r="I38">
        <v>77</v>
      </c>
    </row>
    <row r="39" spans="1:9" hidden="1" x14ac:dyDescent="0.25">
      <c r="A39" s="11" t="s">
        <v>55</v>
      </c>
      <c r="B39" s="20" t="s">
        <v>56</v>
      </c>
      <c r="C39" s="11" t="s">
        <v>33</v>
      </c>
      <c r="D39">
        <v>37</v>
      </c>
      <c r="E39">
        <v>0</v>
      </c>
      <c r="F39" t="s">
        <v>229</v>
      </c>
      <c r="G39">
        <v>0</v>
      </c>
      <c r="H39" s="85">
        <f>2780</f>
        <v>2780</v>
      </c>
      <c r="I39">
        <v>77</v>
      </c>
    </row>
    <row r="40" spans="1:9" hidden="1" x14ac:dyDescent="0.25">
      <c r="A40" s="11" t="s">
        <v>55</v>
      </c>
      <c r="B40" s="20" t="s">
        <v>56</v>
      </c>
      <c r="C40" s="11" t="s">
        <v>33</v>
      </c>
      <c r="D40">
        <v>37</v>
      </c>
      <c r="E40">
        <v>0</v>
      </c>
      <c r="F40" t="s">
        <v>230</v>
      </c>
      <c r="G40">
        <v>0</v>
      </c>
      <c r="H40" s="85">
        <f>2550</f>
        <v>2550</v>
      </c>
      <c r="I40">
        <v>77</v>
      </c>
    </row>
    <row r="41" spans="1:9" hidden="1" x14ac:dyDescent="0.25">
      <c r="A41" s="11" t="s">
        <v>55</v>
      </c>
      <c r="B41" s="20" t="s">
        <v>56</v>
      </c>
      <c r="C41" s="11" t="s">
        <v>33</v>
      </c>
      <c r="D41">
        <v>37</v>
      </c>
      <c r="E41">
        <v>0</v>
      </c>
      <c r="F41" t="s">
        <v>230</v>
      </c>
      <c r="G41">
        <v>0</v>
      </c>
      <c r="H41" s="85">
        <f>2310</f>
        <v>2310</v>
      </c>
      <c r="I41">
        <v>77</v>
      </c>
    </row>
    <row r="42" spans="1:9" hidden="1" x14ac:dyDescent="0.25">
      <c r="A42" s="11" t="s">
        <v>55</v>
      </c>
      <c r="B42" s="20" t="s">
        <v>56</v>
      </c>
      <c r="C42" s="11" t="s">
        <v>33</v>
      </c>
      <c r="D42">
        <v>55</v>
      </c>
      <c r="E42">
        <v>0</v>
      </c>
      <c r="F42" t="s">
        <v>229</v>
      </c>
      <c r="G42">
        <v>0</v>
      </c>
      <c r="H42" s="85">
        <f>2250</f>
        <v>2250</v>
      </c>
      <c r="I42">
        <v>77</v>
      </c>
    </row>
    <row r="43" spans="1:9" hidden="1" x14ac:dyDescent="0.25">
      <c r="A43" s="11" t="s">
        <v>55</v>
      </c>
      <c r="B43" s="20" t="s">
        <v>56</v>
      </c>
      <c r="C43" s="11" t="s">
        <v>33</v>
      </c>
      <c r="D43">
        <v>55</v>
      </c>
      <c r="E43">
        <v>0</v>
      </c>
      <c r="F43" t="s">
        <v>229</v>
      </c>
      <c r="G43">
        <v>0</v>
      </c>
      <c r="H43" s="85">
        <f>2530</f>
        <v>2530</v>
      </c>
      <c r="I43">
        <v>77</v>
      </c>
    </row>
    <row r="44" spans="1:9" hidden="1" x14ac:dyDescent="0.25">
      <c r="A44" s="11" t="s">
        <v>55</v>
      </c>
      <c r="B44" s="20" t="s">
        <v>56</v>
      </c>
      <c r="C44" s="11" t="s">
        <v>33</v>
      </c>
      <c r="D44">
        <v>55</v>
      </c>
      <c r="E44">
        <v>0</v>
      </c>
      <c r="F44" t="s">
        <v>230</v>
      </c>
      <c r="G44">
        <v>0</v>
      </c>
      <c r="H44" s="85">
        <f>1530</f>
        <v>1530</v>
      </c>
      <c r="I44">
        <v>77</v>
      </c>
    </row>
    <row r="45" spans="1:9" hidden="1" x14ac:dyDescent="0.25">
      <c r="A45" s="11" t="s">
        <v>55</v>
      </c>
      <c r="B45" s="20" t="s">
        <v>56</v>
      </c>
      <c r="C45" s="11" t="s">
        <v>33</v>
      </c>
      <c r="D45">
        <v>55</v>
      </c>
      <c r="E45">
        <v>0</v>
      </c>
      <c r="F45" t="s">
        <v>230</v>
      </c>
      <c r="G45">
        <v>0</v>
      </c>
      <c r="H45" s="85">
        <f>1900</f>
        <v>1900</v>
      </c>
      <c r="I45">
        <v>77</v>
      </c>
    </row>
    <row r="46" spans="1:9" x14ac:dyDescent="0.25">
      <c r="A46" s="11" t="s">
        <v>50</v>
      </c>
      <c r="B46" s="22" t="s">
        <v>51</v>
      </c>
      <c r="C46" s="21" t="s">
        <v>33</v>
      </c>
      <c r="D46">
        <v>6</v>
      </c>
      <c r="E46">
        <v>0</v>
      </c>
      <c r="F46" t="s">
        <v>229</v>
      </c>
      <c r="G46">
        <v>0</v>
      </c>
      <c r="H46" s="85">
        <f>1720</f>
        <v>1720</v>
      </c>
      <c r="I46">
        <v>77</v>
      </c>
    </row>
    <row r="47" spans="1:9" x14ac:dyDescent="0.25">
      <c r="A47" s="11" t="s">
        <v>50</v>
      </c>
      <c r="B47" s="22" t="s">
        <v>51</v>
      </c>
      <c r="C47" s="21" t="s">
        <v>33</v>
      </c>
      <c r="D47">
        <v>6</v>
      </c>
      <c r="E47">
        <v>0</v>
      </c>
      <c r="F47" t="s">
        <v>229</v>
      </c>
      <c r="G47">
        <v>0</v>
      </c>
      <c r="H47" s="85">
        <f>1380</f>
        <v>1380</v>
      </c>
      <c r="I47">
        <v>77</v>
      </c>
    </row>
    <row r="48" spans="1:9" x14ac:dyDescent="0.25">
      <c r="A48" s="11" t="s">
        <v>50</v>
      </c>
      <c r="B48" s="22" t="s">
        <v>51</v>
      </c>
      <c r="C48" s="21" t="s">
        <v>33</v>
      </c>
      <c r="D48">
        <v>6</v>
      </c>
      <c r="E48">
        <v>0</v>
      </c>
      <c r="F48" t="s">
        <v>230</v>
      </c>
      <c r="G48">
        <v>0</v>
      </c>
      <c r="H48" s="85">
        <f>1760</f>
        <v>1760</v>
      </c>
      <c r="I48">
        <v>77</v>
      </c>
    </row>
    <row r="49" spans="1:9" x14ac:dyDescent="0.25">
      <c r="A49" s="11" t="s">
        <v>50</v>
      </c>
      <c r="B49" s="22" t="s">
        <v>51</v>
      </c>
      <c r="C49" s="21" t="s">
        <v>33</v>
      </c>
      <c r="D49">
        <v>6</v>
      </c>
      <c r="E49">
        <v>0</v>
      </c>
      <c r="F49" t="s">
        <v>230</v>
      </c>
      <c r="G49">
        <v>0</v>
      </c>
      <c r="H49" s="85">
        <f>1880</f>
        <v>1880</v>
      </c>
      <c r="I49">
        <v>77</v>
      </c>
    </row>
    <row r="50" spans="1:9" hidden="1" x14ac:dyDescent="0.25">
      <c r="A50" s="11" t="s">
        <v>50</v>
      </c>
      <c r="B50" s="22" t="s">
        <v>51</v>
      </c>
      <c r="C50" s="21" t="s">
        <v>33</v>
      </c>
      <c r="D50">
        <v>21</v>
      </c>
      <c r="E50">
        <v>0</v>
      </c>
      <c r="F50" t="s">
        <v>229</v>
      </c>
      <c r="G50">
        <v>0</v>
      </c>
      <c r="H50" s="85">
        <f>2000</f>
        <v>2000</v>
      </c>
      <c r="I50">
        <v>77</v>
      </c>
    </row>
    <row r="51" spans="1:9" hidden="1" x14ac:dyDescent="0.25">
      <c r="A51" s="11" t="s">
        <v>50</v>
      </c>
      <c r="B51" s="22" t="s">
        <v>51</v>
      </c>
      <c r="C51" s="21" t="s">
        <v>33</v>
      </c>
      <c r="D51">
        <v>21</v>
      </c>
      <c r="E51">
        <v>0</v>
      </c>
      <c r="F51" t="s">
        <v>229</v>
      </c>
      <c r="G51">
        <v>0</v>
      </c>
      <c r="H51" s="85">
        <f>2060</f>
        <v>2060</v>
      </c>
      <c r="I51">
        <v>77</v>
      </c>
    </row>
    <row r="52" spans="1:9" hidden="1" x14ac:dyDescent="0.25">
      <c r="A52" s="11" t="s">
        <v>50</v>
      </c>
      <c r="B52" s="22" t="s">
        <v>51</v>
      </c>
      <c r="C52" s="21" t="s">
        <v>33</v>
      </c>
      <c r="D52">
        <v>21</v>
      </c>
      <c r="E52">
        <v>0</v>
      </c>
      <c r="F52" t="s">
        <v>230</v>
      </c>
      <c r="G52">
        <v>0</v>
      </c>
      <c r="H52" s="85">
        <f>1720</f>
        <v>1720</v>
      </c>
      <c r="I52">
        <v>77</v>
      </c>
    </row>
    <row r="53" spans="1:9" hidden="1" x14ac:dyDescent="0.25">
      <c r="A53" s="11" t="s">
        <v>50</v>
      </c>
      <c r="B53" s="22" t="s">
        <v>51</v>
      </c>
      <c r="C53" s="21" t="s">
        <v>33</v>
      </c>
      <c r="D53">
        <v>21</v>
      </c>
      <c r="E53">
        <v>0</v>
      </c>
      <c r="F53" t="s">
        <v>230</v>
      </c>
      <c r="G53">
        <v>0</v>
      </c>
      <c r="H53" s="85">
        <f>1680</f>
        <v>1680</v>
      </c>
      <c r="I53">
        <v>77</v>
      </c>
    </row>
    <row r="54" spans="1:9" hidden="1" x14ac:dyDescent="0.25">
      <c r="A54" s="11" t="s">
        <v>50</v>
      </c>
      <c r="B54" s="22" t="s">
        <v>51</v>
      </c>
      <c r="C54" s="21" t="s">
        <v>33</v>
      </c>
      <c r="D54">
        <v>32</v>
      </c>
      <c r="E54">
        <v>0</v>
      </c>
      <c r="F54" t="s">
        <v>229</v>
      </c>
      <c r="G54">
        <v>0</v>
      </c>
      <c r="H54" s="85">
        <f>1860</f>
        <v>1860</v>
      </c>
      <c r="I54">
        <v>77</v>
      </c>
    </row>
    <row r="55" spans="1:9" hidden="1" x14ac:dyDescent="0.25">
      <c r="A55" s="11" t="s">
        <v>50</v>
      </c>
      <c r="B55" s="22" t="s">
        <v>51</v>
      </c>
      <c r="C55" s="21" t="s">
        <v>33</v>
      </c>
      <c r="D55">
        <v>32</v>
      </c>
      <c r="E55">
        <v>0</v>
      </c>
      <c r="F55" t="s">
        <v>229</v>
      </c>
      <c r="G55">
        <v>0</v>
      </c>
      <c r="H55" s="85">
        <f>1920</f>
        <v>1920</v>
      </c>
      <c r="I55">
        <v>77</v>
      </c>
    </row>
    <row r="56" spans="1:9" hidden="1" x14ac:dyDescent="0.25">
      <c r="A56" s="11" t="s">
        <v>50</v>
      </c>
      <c r="B56" s="22" t="s">
        <v>51</v>
      </c>
      <c r="C56" s="21" t="s">
        <v>33</v>
      </c>
      <c r="D56">
        <v>32</v>
      </c>
      <c r="E56">
        <v>0</v>
      </c>
      <c r="F56" t="s">
        <v>230</v>
      </c>
      <c r="G56">
        <v>0</v>
      </c>
      <c r="H56" s="85">
        <f>2340</f>
        <v>2340</v>
      </c>
      <c r="I56">
        <v>77</v>
      </c>
    </row>
    <row r="57" spans="1:9" hidden="1" x14ac:dyDescent="0.25">
      <c r="A57" s="11" t="s">
        <v>50</v>
      </c>
      <c r="B57" s="22" t="s">
        <v>51</v>
      </c>
      <c r="C57" s="21" t="s">
        <v>33</v>
      </c>
      <c r="D57">
        <v>32</v>
      </c>
      <c r="E57">
        <v>0</v>
      </c>
      <c r="F57" t="s">
        <v>230</v>
      </c>
      <c r="G57">
        <v>0</v>
      </c>
      <c r="H57" s="85">
        <f>2280</f>
        <v>2280</v>
      </c>
      <c r="I57">
        <v>77</v>
      </c>
    </row>
    <row r="58" spans="1:9" hidden="1" x14ac:dyDescent="0.25">
      <c r="A58" s="11" t="s">
        <v>50</v>
      </c>
      <c r="B58" s="22" t="s">
        <v>51</v>
      </c>
      <c r="C58" s="21" t="s">
        <v>33</v>
      </c>
      <c r="D58">
        <v>37</v>
      </c>
      <c r="E58">
        <v>0</v>
      </c>
      <c r="F58" t="s">
        <v>229</v>
      </c>
      <c r="G58">
        <v>0</v>
      </c>
      <c r="H58" s="85">
        <f>1780</f>
        <v>1780</v>
      </c>
      <c r="I58">
        <v>77</v>
      </c>
    </row>
    <row r="59" spans="1:9" hidden="1" x14ac:dyDescent="0.25">
      <c r="A59" s="11" t="s">
        <v>50</v>
      </c>
      <c r="B59" s="22" t="s">
        <v>51</v>
      </c>
      <c r="C59" s="21" t="s">
        <v>33</v>
      </c>
      <c r="D59">
        <v>37</v>
      </c>
      <c r="E59">
        <v>0</v>
      </c>
      <c r="F59" t="s">
        <v>229</v>
      </c>
      <c r="G59">
        <v>0</v>
      </c>
      <c r="H59" s="85">
        <f>1640</f>
        <v>1640</v>
      </c>
      <c r="I59">
        <v>77</v>
      </c>
    </row>
    <row r="60" spans="1:9" hidden="1" x14ac:dyDescent="0.25">
      <c r="A60" s="11" t="s">
        <v>50</v>
      </c>
      <c r="B60" s="22" t="s">
        <v>51</v>
      </c>
      <c r="C60" s="21" t="s">
        <v>33</v>
      </c>
      <c r="D60">
        <v>37</v>
      </c>
      <c r="E60">
        <v>0</v>
      </c>
      <c r="F60" t="s">
        <v>230</v>
      </c>
      <c r="G60">
        <v>0</v>
      </c>
      <c r="H60" s="85">
        <f>1940</f>
        <v>1940</v>
      </c>
      <c r="I60">
        <v>77</v>
      </c>
    </row>
    <row r="61" spans="1:9" hidden="1" x14ac:dyDescent="0.25">
      <c r="A61" s="11" t="s">
        <v>50</v>
      </c>
      <c r="B61" s="22" t="s">
        <v>51</v>
      </c>
      <c r="C61" s="21" t="s">
        <v>33</v>
      </c>
      <c r="D61">
        <v>37</v>
      </c>
      <c r="E61">
        <v>0</v>
      </c>
      <c r="F61" t="s">
        <v>230</v>
      </c>
      <c r="G61">
        <v>0</v>
      </c>
      <c r="H61" s="85">
        <f>1980</f>
        <v>1980</v>
      </c>
      <c r="I61">
        <v>77</v>
      </c>
    </row>
    <row r="62" spans="1:9" hidden="1" x14ac:dyDescent="0.25">
      <c r="A62" s="11" t="s">
        <v>50</v>
      </c>
      <c r="B62" s="22" t="s">
        <v>51</v>
      </c>
      <c r="C62" s="21" t="s">
        <v>33</v>
      </c>
      <c r="D62">
        <v>55</v>
      </c>
      <c r="E62">
        <v>0</v>
      </c>
      <c r="F62" t="s">
        <v>229</v>
      </c>
      <c r="G62">
        <v>0</v>
      </c>
      <c r="H62" s="85">
        <f>1740</f>
        <v>1740</v>
      </c>
      <c r="I62">
        <v>77</v>
      </c>
    </row>
    <row r="63" spans="1:9" hidden="1" x14ac:dyDescent="0.25">
      <c r="A63" s="11" t="s">
        <v>50</v>
      </c>
      <c r="B63" s="22" t="s">
        <v>51</v>
      </c>
      <c r="C63" s="21" t="s">
        <v>33</v>
      </c>
      <c r="D63">
        <v>55</v>
      </c>
      <c r="E63">
        <v>0</v>
      </c>
      <c r="F63" t="s">
        <v>229</v>
      </c>
      <c r="G63">
        <v>0</v>
      </c>
      <c r="H63" s="85">
        <f>1900</f>
        <v>1900</v>
      </c>
      <c r="I63">
        <v>77</v>
      </c>
    </row>
    <row r="64" spans="1:9" hidden="1" x14ac:dyDescent="0.25">
      <c r="A64" s="11" t="s">
        <v>50</v>
      </c>
      <c r="B64" s="22" t="s">
        <v>51</v>
      </c>
      <c r="C64" s="21" t="s">
        <v>33</v>
      </c>
      <c r="D64">
        <v>55</v>
      </c>
      <c r="E64">
        <v>0</v>
      </c>
      <c r="F64" t="s">
        <v>230</v>
      </c>
      <c r="G64">
        <v>0</v>
      </c>
      <c r="H64" s="85">
        <f>1860</f>
        <v>1860</v>
      </c>
      <c r="I64">
        <v>77</v>
      </c>
    </row>
    <row r="65" spans="1:9" hidden="1" x14ac:dyDescent="0.25">
      <c r="A65" s="11" t="s">
        <v>50</v>
      </c>
      <c r="B65" s="22" t="s">
        <v>51</v>
      </c>
      <c r="C65" s="21" t="s">
        <v>33</v>
      </c>
      <c r="D65">
        <v>55</v>
      </c>
      <c r="E65">
        <v>0</v>
      </c>
      <c r="F65" t="s">
        <v>230</v>
      </c>
      <c r="G65">
        <v>0</v>
      </c>
      <c r="H65" s="85">
        <f>2000</f>
        <v>2000</v>
      </c>
      <c r="I65">
        <v>77</v>
      </c>
    </row>
    <row r="66" spans="1:9" x14ac:dyDescent="0.25">
      <c r="A66" s="11" t="s">
        <v>50</v>
      </c>
      <c r="B66" s="22" t="s">
        <v>51</v>
      </c>
      <c r="C66" s="21" t="s">
        <v>33</v>
      </c>
      <c r="D66">
        <v>6</v>
      </c>
      <c r="E66">
        <v>14</v>
      </c>
      <c r="F66" t="s">
        <v>229</v>
      </c>
      <c r="G66">
        <v>5</v>
      </c>
      <c r="H66" s="85">
        <f>5330000000</f>
        <v>5330000000</v>
      </c>
      <c r="I66">
        <v>80</v>
      </c>
    </row>
    <row r="67" spans="1:9" x14ac:dyDescent="0.25">
      <c r="A67" s="11" t="s">
        <v>50</v>
      </c>
      <c r="B67" s="22" t="s">
        <v>51</v>
      </c>
      <c r="C67" s="21" t="s">
        <v>33</v>
      </c>
      <c r="D67">
        <v>6</v>
      </c>
      <c r="E67">
        <v>14</v>
      </c>
      <c r="F67" t="s">
        <v>229</v>
      </c>
      <c r="G67">
        <v>5</v>
      </c>
      <c r="H67" s="85">
        <f>2360000000</f>
        <v>2360000000</v>
      </c>
      <c r="I67">
        <v>80</v>
      </c>
    </row>
    <row r="68" spans="1:9" x14ac:dyDescent="0.25">
      <c r="A68" s="11" t="s">
        <v>50</v>
      </c>
      <c r="B68" s="22" t="s">
        <v>51</v>
      </c>
      <c r="C68" s="21" t="s">
        <v>33</v>
      </c>
      <c r="D68">
        <v>6</v>
      </c>
      <c r="E68">
        <v>14</v>
      </c>
      <c r="F68" t="s">
        <v>230</v>
      </c>
      <c r="G68">
        <v>5</v>
      </c>
      <c r="H68" s="85">
        <f>4640000000</f>
        <v>4640000000</v>
      </c>
      <c r="I68">
        <v>80</v>
      </c>
    </row>
    <row r="69" spans="1:9" x14ac:dyDescent="0.25">
      <c r="A69" s="11" t="s">
        <v>50</v>
      </c>
      <c r="B69" s="22" t="s">
        <v>51</v>
      </c>
      <c r="C69" s="21" t="s">
        <v>33</v>
      </c>
      <c r="D69">
        <v>6</v>
      </c>
      <c r="E69">
        <v>14</v>
      </c>
      <c r="F69" t="s">
        <v>230</v>
      </c>
      <c r="G69">
        <v>5</v>
      </c>
      <c r="H69" s="85">
        <f>3150000000</f>
        <v>3150000000</v>
      </c>
      <c r="I69">
        <v>80</v>
      </c>
    </row>
    <row r="70" spans="1:9" hidden="1" x14ac:dyDescent="0.25">
      <c r="A70" s="11" t="s">
        <v>61</v>
      </c>
      <c r="B70" s="12" t="s">
        <v>62</v>
      </c>
      <c r="C70" s="11" t="s">
        <v>33</v>
      </c>
      <c r="D70">
        <v>55</v>
      </c>
      <c r="E70">
        <v>0</v>
      </c>
      <c r="F70" t="s">
        <v>229</v>
      </c>
      <c r="G70">
        <v>0</v>
      </c>
      <c r="H70" s="85">
        <f>1470</f>
        <v>1470</v>
      </c>
      <c r="I70">
        <v>36</v>
      </c>
    </row>
    <row r="71" spans="1:9" hidden="1" x14ac:dyDescent="0.25">
      <c r="A71" s="11" t="s">
        <v>61</v>
      </c>
      <c r="B71" s="12" t="s">
        <v>62</v>
      </c>
      <c r="C71" s="11" t="s">
        <v>33</v>
      </c>
      <c r="D71">
        <v>55</v>
      </c>
      <c r="E71">
        <v>0</v>
      </c>
      <c r="F71" t="s">
        <v>229</v>
      </c>
      <c r="G71">
        <v>0</v>
      </c>
      <c r="H71" s="85">
        <f>1490</f>
        <v>1490</v>
      </c>
      <c r="I71">
        <v>36</v>
      </c>
    </row>
    <row r="72" spans="1:9" x14ac:dyDescent="0.25">
      <c r="A72" s="11" t="s">
        <v>50</v>
      </c>
      <c r="B72" s="22" t="s">
        <v>51</v>
      </c>
      <c r="C72" s="21" t="s">
        <v>33</v>
      </c>
      <c r="D72">
        <v>6</v>
      </c>
      <c r="E72">
        <v>21</v>
      </c>
      <c r="F72" t="s">
        <v>229</v>
      </c>
      <c r="G72">
        <v>7</v>
      </c>
      <c r="H72" s="85">
        <f>1550000000</f>
        <v>1550000000</v>
      </c>
      <c r="I72">
        <v>82</v>
      </c>
    </row>
    <row r="73" spans="1:9" x14ac:dyDescent="0.25">
      <c r="A73" s="11" t="s">
        <v>50</v>
      </c>
      <c r="B73" s="22" t="s">
        <v>51</v>
      </c>
      <c r="C73" s="21" t="s">
        <v>33</v>
      </c>
      <c r="D73">
        <v>6</v>
      </c>
      <c r="E73">
        <v>21</v>
      </c>
      <c r="F73" t="s">
        <v>229</v>
      </c>
      <c r="G73">
        <v>7</v>
      </c>
      <c r="H73" s="85">
        <f>1810000000</f>
        <v>1810000000</v>
      </c>
      <c r="I73">
        <v>82</v>
      </c>
    </row>
    <row r="74" spans="1:9" hidden="1" x14ac:dyDescent="0.25">
      <c r="A74" s="11" t="s">
        <v>61</v>
      </c>
      <c r="B74" s="12" t="s">
        <v>62</v>
      </c>
      <c r="C74" s="11" t="s">
        <v>33</v>
      </c>
      <c r="D74">
        <v>21</v>
      </c>
      <c r="E74">
        <v>0</v>
      </c>
      <c r="F74" t="s">
        <v>229</v>
      </c>
      <c r="G74">
        <v>0</v>
      </c>
      <c r="H74" s="85">
        <f>1240</f>
        <v>1240</v>
      </c>
      <c r="I74">
        <v>36</v>
      </c>
    </row>
    <row r="75" spans="1:9" hidden="1" x14ac:dyDescent="0.25">
      <c r="A75" s="11" t="s">
        <v>61</v>
      </c>
      <c r="B75" s="12" t="s">
        <v>62</v>
      </c>
      <c r="C75" s="11" t="s">
        <v>33</v>
      </c>
      <c r="D75">
        <v>21</v>
      </c>
      <c r="E75">
        <v>0</v>
      </c>
      <c r="F75" t="s">
        <v>229</v>
      </c>
      <c r="G75">
        <v>0</v>
      </c>
      <c r="H75" s="85">
        <f>1130</f>
        <v>1130</v>
      </c>
      <c r="I75">
        <v>36</v>
      </c>
    </row>
    <row r="76" spans="1:9" hidden="1" x14ac:dyDescent="0.25">
      <c r="A76" s="11" t="s">
        <v>61</v>
      </c>
      <c r="B76" s="12" t="s">
        <v>62</v>
      </c>
      <c r="C76" s="11" t="s">
        <v>33</v>
      </c>
      <c r="D76">
        <v>32</v>
      </c>
      <c r="E76">
        <v>0</v>
      </c>
      <c r="F76" t="s">
        <v>229</v>
      </c>
      <c r="G76">
        <v>0</v>
      </c>
      <c r="H76" s="85">
        <f>1410</f>
        <v>1410</v>
      </c>
      <c r="I76">
        <v>36</v>
      </c>
    </row>
    <row r="77" spans="1:9" hidden="1" x14ac:dyDescent="0.25">
      <c r="A77" s="11" t="s">
        <v>61</v>
      </c>
      <c r="B77" s="12" t="s">
        <v>62</v>
      </c>
      <c r="C77" s="11" t="s">
        <v>33</v>
      </c>
      <c r="D77">
        <v>32</v>
      </c>
      <c r="E77">
        <v>0</v>
      </c>
      <c r="F77" t="s">
        <v>229</v>
      </c>
      <c r="G77">
        <v>0</v>
      </c>
      <c r="H77" s="85">
        <f>1410</f>
        <v>1410</v>
      </c>
      <c r="I77">
        <v>36</v>
      </c>
    </row>
    <row r="78" spans="1:9" hidden="1" x14ac:dyDescent="0.25">
      <c r="A78" s="11" t="s">
        <v>61</v>
      </c>
      <c r="B78" s="12" t="s">
        <v>62</v>
      </c>
      <c r="C78" s="11" t="s">
        <v>33</v>
      </c>
      <c r="D78">
        <v>37</v>
      </c>
      <c r="E78">
        <v>0</v>
      </c>
      <c r="F78" t="s">
        <v>229</v>
      </c>
      <c r="G78">
        <v>0</v>
      </c>
      <c r="H78" s="85">
        <f>1400</f>
        <v>1400</v>
      </c>
      <c r="I78">
        <v>36</v>
      </c>
    </row>
    <row r="79" spans="1:9" hidden="1" x14ac:dyDescent="0.25">
      <c r="A79" s="11" t="s">
        <v>61</v>
      </c>
      <c r="B79" s="12" t="s">
        <v>62</v>
      </c>
      <c r="C79" s="11" t="s">
        <v>33</v>
      </c>
      <c r="D79">
        <v>37</v>
      </c>
      <c r="E79">
        <v>0</v>
      </c>
      <c r="F79" t="s">
        <v>229</v>
      </c>
      <c r="G79">
        <v>0</v>
      </c>
      <c r="H79" s="85">
        <f>1240</f>
        <v>1240</v>
      </c>
      <c r="I79">
        <v>36</v>
      </c>
    </row>
    <row r="80" spans="1:9" hidden="1" x14ac:dyDescent="0.25">
      <c r="A80" s="11" t="s">
        <v>61</v>
      </c>
      <c r="B80" s="12" t="s">
        <v>62</v>
      </c>
      <c r="C80" s="11" t="s">
        <v>33</v>
      </c>
      <c r="D80">
        <v>55</v>
      </c>
      <c r="E80">
        <v>0</v>
      </c>
      <c r="F80" t="s">
        <v>230</v>
      </c>
      <c r="G80">
        <v>0</v>
      </c>
      <c r="H80" s="85">
        <f>952</f>
        <v>952</v>
      </c>
      <c r="I80">
        <v>36</v>
      </c>
    </row>
    <row r="81" spans="1:9" hidden="1" x14ac:dyDescent="0.25">
      <c r="A81" s="11" t="s">
        <v>61</v>
      </c>
      <c r="B81" s="12" t="s">
        <v>62</v>
      </c>
      <c r="C81" s="11" t="s">
        <v>33</v>
      </c>
      <c r="D81">
        <v>55</v>
      </c>
      <c r="E81">
        <v>0</v>
      </c>
      <c r="F81" t="s">
        <v>230</v>
      </c>
      <c r="G81">
        <v>0</v>
      </c>
      <c r="H81" s="85">
        <f>554</f>
        <v>554</v>
      </c>
      <c r="I81">
        <v>36</v>
      </c>
    </row>
    <row r="82" spans="1:9" hidden="1" x14ac:dyDescent="0.25">
      <c r="A82" s="11" t="s">
        <v>61</v>
      </c>
      <c r="B82" s="12" t="s">
        <v>62</v>
      </c>
      <c r="C82" s="11" t="s">
        <v>33</v>
      </c>
      <c r="D82">
        <v>32</v>
      </c>
      <c r="E82">
        <v>0</v>
      </c>
      <c r="F82" t="s">
        <v>230</v>
      </c>
      <c r="G82">
        <v>0</v>
      </c>
      <c r="H82" s="85">
        <f>587</f>
        <v>587</v>
      </c>
      <c r="I82">
        <v>36</v>
      </c>
    </row>
    <row r="83" spans="1:9" hidden="1" x14ac:dyDescent="0.25">
      <c r="A83" s="11" t="s">
        <v>61</v>
      </c>
      <c r="B83" s="12" t="s">
        <v>62</v>
      </c>
      <c r="C83" s="11" t="s">
        <v>33</v>
      </c>
      <c r="D83">
        <v>32</v>
      </c>
      <c r="E83">
        <v>0</v>
      </c>
      <c r="F83" t="s">
        <v>230</v>
      </c>
      <c r="G83">
        <v>0</v>
      </c>
      <c r="H83" s="85">
        <f>637</f>
        <v>637</v>
      </c>
      <c r="I83">
        <v>36</v>
      </c>
    </row>
    <row r="84" spans="1:9" hidden="1" x14ac:dyDescent="0.25">
      <c r="A84" s="11" t="s">
        <v>61</v>
      </c>
      <c r="B84" s="12" t="s">
        <v>62</v>
      </c>
      <c r="C84" s="11" t="s">
        <v>33</v>
      </c>
      <c r="D84">
        <v>37</v>
      </c>
      <c r="E84">
        <v>0</v>
      </c>
      <c r="F84" t="s">
        <v>230</v>
      </c>
      <c r="G84">
        <v>0</v>
      </c>
      <c r="H84" s="85">
        <f>421</f>
        <v>421</v>
      </c>
      <c r="I84">
        <v>36</v>
      </c>
    </row>
    <row r="85" spans="1:9" hidden="1" x14ac:dyDescent="0.25">
      <c r="A85" s="11" t="s">
        <v>61</v>
      </c>
      <c r="B85" s="12" t="s">
        <v>62</v>
      </c>
      <c r="C85" s="11" t="s">
        <v>33</v>
      </c>
      <c r="D85">
        <v>37</v>
      </c>
      <c r="E85">
        <v>0</v>
      </c>
      <c r="F85" t="s">
        <v>230</v>
      </c>
      <c r="G85">
        <v>0</v>
      </c>
      <c r="H85" s="85">
        <f>526</f>
        <v>526</v>
      </c>
      <c r="I85">
        <v>36</v>
      </c>
    </row>
    <row r="86" spans="1:9" hidden="1" x14ac:dyDescent="0.25">
      <c r="A86" s="11" t="s">
        <v>61</v>
      </c>
      <c r="B86" s="12" t="s">
        <v>62</v>
      </c>
      <c r="C86" s="11" t="s">
        <v>33</v>
      </c>
      <c r="D86">
        <v>21</v>
      </c>
      <c r="E86">
        <v>0</v>
      </c>
      <c r="F86" t="s">
        <v>230</v>
      </c>
      <c r="G86">
        <v>0</v>
      </c>
      <c r="H86" s="85">
        <f>583</f>
        <v>583</v>
      </c>
      <c r="I86">
        <v>36</v>
      </c>
    </row>
    <row r="87" spans="1:9" hidden="1" x14ac:dyDescent="0.25">
      <c r="A87" s="11" t="s">
        <v>61</v>
      </c>
      <c r="B87" s="12" t="s">
        <v>62</v>
      </c>
      <c r="C87" s="11" t="s">
        <v>33</v>
      </c>
      <c r="D87">
        <v>21</v>
      </c>
      <c r="E87">
        <v>0</v>
      </c>
      <c r="F87" t="s">
        <v>230</v>
      </c>
      <c r="G87">
        <v>0</v>
      </c>
      <c r="H87" s="85">
        <f>569</f>
        <v>569</v>
      </c>
      <c r="I87">
        <v>36</v>
      </c>
    </row>
    <row r="88" spans="1:9" x14ac:dyDescent="0.25">
      <c r="A88" s="11" t="s">
        <v>50</v>
      </c>
      <c r="B88" s="22" t="s">
        <v>51</v>
      </c>
      <c r="C88" s="21" t="s">
        <v>33</v>
      </c>
      <c r="D88">
        <v>6</v>
      </c>
      <c r="E88">
        <v>21</v>
      </c>
      <c r="F88" t="s">
        <v>230</v>
      </c>
      <c r="G88">
        <v>7</v>
      </c>
      <c r="H88" s="85">
        <f>1960000000</f>
        <v>1960000000</v>
      </c>
      <c r="I88">
        <v>82</v>
      </c>
    </row>
    <row r="89" spans="1:9" x14ac:dyDescent="0.25">
      <c r="A89" s="11" t="s">
        <v>50</v>
      </c>
      <c r="B89" s="22" t="s">
        <v>51</v>
      </c>
      <c r="C89" s="21" t="s">
        <v>33</v>
      </c>
      <c r="D89">
        <v>6</v>
      </c>
      <c r="E89">
        <v>21</v>
      </c>
      <c r="F89" t="s">
        <v>230</v>
      </c>
      <c r="G89">
        <v>7</v>
      </c>
      <c r="H89" s="85">
        <f>1960000000</f>
        <v>1960000000</v>
      </c>
      <c r="I89">
        <v>82</v>
      </c>
    </row>
    <row r="90" spans="1:9" x14ac:dyDescent="0.25">
      <c r="A90" s="11" t="s">
        <v>78</v>
      </c>
      <c r="B90" s="22" t="s">
        <v>79</v>
      </c>
      <c r="C90" s="21" t="s">
        <v>33</v>
      </c>
      <c r="D90">
        <v>6</v>
      </c>
      <c r="E90">
        <v>0</v>
      </c>
      <c r="F90" t="s">
        <v>229</v>
      </c>
      <c r="G90">
        <v>0</v>
      </c>
      <c r="H90" s="85">
        <f>2600</f>
        <v>2600</v>
      </c>
      <c r="I90">
        <v>66</v>
      </c>
    </row>
    <row r="91" spans="1:9" x14ac:dyDescent="0.25">
      <c r="A91" s="11" t="s">
        <v>78</v>
      </c>
      <c r="B91" s="22" t="s">
        <v>79</v>
      </c>
      <c r="C91" s="21" t="s">
        <v>33</v>
      </c>
      <c r="D91">
        <v>6</v>
      </c>
      <c r="E91">
        <v>0</v>
      </c>
      <c r="F91" t="s">
        <v>229</v>
      </c>
      <c r="G91">
        <v>0</v>
      </c>
      <c r="H91" s="85">
        <f>2600</f>
        <v>2600</v>
      </c>
      <c r="I91">
        <v>66</v>
      </c>
    </row>
    <row r="92" spans="1:9" x14ac:dyDescent="0.25">
      <c r="A92" s="11" t="s">
        <v>78</v>
      </c>
      <c r="B92" s="22" t="s">
        <v>79</v>
      </c>
      <c r="C92" s="21" t="s">
        <v>33</v>
      </c>
      <c r="D92">
        <v>6</v>
      </c>
      <c r="E92">
        <v>0</v>
      </c>
      <c r="F92" t="s">
        <v>230</v>
      </c>
      <c r="G92">
        <v>0</v>
      </c>
      <c r="H92" s="85">
        <f>961</f>
        <v>961</v>
      </c>
      <c r="I92">
        <v>66</v>
      </c>
    </row>
    <row r="93" spans="1:9" x14ac:dyDescent="0.25">
      <c r="A93" s="11" t="s">
        <v>78</v>
      </c>
      <c r="B93" s="22" t="s">
        <v>79</v>
      </c>
      <c r="C93" s="21" t="s">
        <v>33</v>
      </c>
      <c r="D93">
        <v>6</v>
      </c>
      <c r="E93">
        <v>0</v>
      </c>
      <c r="F93" t="s">
        <v>230</v>
      </c>
      <c r="G93">
        <v>0</v>
      </c>
      <c r="H93" s="85">
        <f>1140</f>
        <v>1140</v>
      </c>
      <c r="I93">
        <v>66</v>
      </c>
    </row>
    <row r="94" spans="1:9" hidden="1" x14ac:dyDescent="0.25">
      <c r="A94" s="11" t="s">
        <v>78</v>
      </c>
      <c r="B94" s="22" t="s">
        <v>79</v>
      </c>
      <c r="C94" s="21" t="s">
        <v>33</v>
      </c>
      <c r="D94">
        <v>21</v>
      </c>
      <c r="E94">
        <v>0</v>
      </c>
      <c r="F94" t="s">
        <v>229</v>
      </c>
      <c r="G94">
        <v>0</v>
      </c>
      <c r="H94" s="85">
        <f>981</f>
        <v>981</v>
      </c>
      <c r="I94">
        <v>62</v>
      </c>
    </row>
    <row r="95" spans="1:9" hidden="1" x14ac:dyDescent="0.25">
      <c r="A95" s="11" t="s">
        <v>78</v>
      </c>
      <c r="B95" s="22" t="s">
        <v>79</v>
      </c>
      <c r="C95" s="21" t="s">
        <v>33</v>
      </c>
      <c r="D95">
        <v>21</v>
      </c>
      <c r="E95">
        <v>0</v>
      </c>
      <c r="F95" t="s">
        <v>229</v>
      </c>
      <c r="G95">
        <v>0</v>
      </c>
      <c r="H95" s="85">
        <f>1250</f>
        <v>1250</v>
      </c>
      <c r="I95">
        <v>62</v>
      </c>
    </row>
    <row r="96" spans="1:9" hidden="1" x14ac:dyDescent="0.25">
      <c r="A96" s="11" t="s">
        <v>78</v>
      </c>
      <c r="B96" s="22" t="s">
        <v>79</v>
      </c>
      <c r="C96" s="21" t="s">
        <v>33</v>
      </c>
      <c r="D96">
        <v>21</v>
      </c>
      <c r="E96">
        <v>0</v>
      </c>
      <c r="F96" t="s">
        <v>230</v>
      </c>
      <c r="G96">
        <v>0</v>
      </c>
      <c r="H96" s="85">
        <f>920</f>
        <v>920</v>
      </c>
      <c r="I96">
        <v>62</v>
      </c>
    </row>
    <row r="97" spans="1:9" hidden="1" x14ac:dyDescent="0.25">
      <c r="A97" s="11" t="s">
        <v>78</v>
      </c>
      <c r="B97" s="22" t="s">
        <v>79</v>
      </c>
      <c r="C97" s="21" t="s">
        <v>33</v>
      </c>
      <c r="D97">
        <v>21</v>
      </c>
      <c r="E97">
        <v>0</v>
      </c>
      <c r="F97" t="s">
        <v>230</v>
      </c>
      <c r="G97">
        <v>0</v>
      </c>
      <c r="H97" s="85">
        <f>1000</f>
        <v>1000</v>
      </c>
      <c r="I97">
        <v>62</v>
      </c>
    </row>
    <row r="98" spans="1:9" hidden="1" x14ac:dyDescent="0.25">
      <c r="A98" s="11" t="s">
        <v>78</v>
      </c>
      <c r="B98" s="22" t="s">
        <v>79</v>
      </c>
      <c r="C98" s="21" t="s">
        <v>33</v>
      </c>
      <c r="D98">
        <v>32</v>
      </c>
      <c r="E98">
        <v>0</v>
      </c>
      <c r="F98" t="s">
        <v>229</v>
      </c>
      <c r="G98">
        <v>0</v>
      </c>
      <c r="H98" s="85">
        <f>634</f>
        <v>634</v>
      </c>
      <c r="I98">
        <v>62</v>
      </c>
    </row>
    <row r="99" spans="1:9" hidden="1" x14ac:dyDescent="0.25">
      <c r="A99" s="11" t="s">
        <v>78</v>
      </c>
      <c r="B99" s="22" t="s">
        <v>79</v>
      </c>
      <c r="C99" s="21" t="s">
        <v>33</v>
      </c>
      <c r="D99">
        <v>32</v>
      </c>
      <c r="E99">
        <v>0</v>
      </c>
      <c r="F99" t="s">
        <v>229</v>
      </c>
      <c r="G99">
        <v>0</v>
      </c>
      <c r="H99" s="85">
        <f>818</f>
        <v>818</v>
      </c>
      <c r="I99">
        <v>62</v>
      </c>
    </row>
    <row r="100" spans="1:9" hidden="1" x14ac:dyDescent="0.25">
      <c r="A100" s="11" t="s">
        <v>78</v>
      </c>
      <c r="B100" s="22" t="s">
        <v>79</v>
      </c>
      <c r="C100" s="21" t="s">
        <v>33</v>
      </c>
      <c r="D100">
        <v>32</v>
      </c>
      <c r="E100">
        <v>0</v>
      </c>
      <c r="F100" t="s">
        <v>230</v>
      </c>
      <c r="G100">
        <v>0</v>
      </c>
      <c r="H100" s="85">
        <f>920</f>
        <v>920</v>
      </c>
      <c r="I100">
        <v>62</v>
      </c>
    </row>
    <row r="101" spans="1:9" hidden="1" x14ac:dyDescent="0.25">
      <c r="A101" s="11" t="s">
        <v>78</v>
      </c>
      <c r="B101" s="22" t="s">
        <v>79</v>
      </c>
      <c r="C101" s="21" t="s">
        <v>33</v>
      </c>
      <c r="D101">
        <v>32</v>
      </c>
      <c r="E101">
        <v>0</v>
      </c>
      <c r="F101" t="s">
        <v>230</v>
      </c>
      <c r="G101">
        <v>0</v>
      </c>
      <c r="H101" s="85">
        <f>981</f>
        <v>981</v>
      </c>
      <c r="I101">
        <v>62</v>
      </c>
    </row>
    <row r="102" spans="1:9" x14ac:dyDescent="0.25">
      <c r="A102" s="11" t="s">
        <v>78</v>
      </c>
      <c r="B102" s="22" t="s">
        <v>79</v>
      </c>
      <c r="C102" s="21" t="s">
        <v>33</v>
      </c>
      <c r="D102">
        <v>6</v>
      </c>
      <c r="E102">
        <v>0</v>
      </c>
      <c r="F102" t="s">
        <v>229</v>
      </c>
      <c r="G102">
        <v>0</v>
      </c>
      <c r="H102" s="85">
        <f>60900</f>
        <v>60900</v>
      </c>
      <c r="I102">
        <v>51</v>
      </c>
    </row>
    <row r="103" spans="1:9" x14ac:dyDescent="0.25">
      <c r="A103" s="11" t="s">
        <v>78</v>
      </c>
      <c r="B103" s="22" t="s">
        <v>79</v>
      </c>
      <c r="C103" s="21" t="s">
        <v>33</v>
      </c>
      <c r="D103">
        <v>6</v>
      </c>
      <c r="E103">
        <v>0</v>
      </c>
      <c r="F103" t="s">
        <v>229</v>
      </c>
      <c r="G103">
        <v>0</v>
      </c>
      <c r="H103" s="85">
        <f>50800</f>
        <v>50800</v>
      </c>
      <c r="I103">
        <v>51</v>
      </c>
    </row>
    <row r="104" spans="1:9" x14ac:dyDescent="0.25">
      <c r="A104" s="11" t="s">
        <v>78</v>
      </c>
      <c r="B104" s="22" t="s">
        <v>79</v>
      </c>
      <c r="C104" s="21" t="s">
        <v>33</v>
      </c>
      <c r="D104">
        <v>6</v>
      </c>
      <c r="E104">
        <v>0</v>
      </c>
      <c r="F104" t="s">
        <v>230</v>
      </c>
      <c r="G104">
        <v>0</v>
      </c>
      <c r="H104" s="85">
        <f>172000</f>
        <v>172000</v>
      </c>
      <c r="I104">
        <v>51</v>
      </c>
    </row>
    <row r="105" spans="1:9" x14ac:dyDescent="0.25">
      <c r="A105" s="11" t="s">
        <v>78</v>
      </c>
      <c r="B105" s="22" t="s">
        <v>79</v>
      </c>
      <c r="C105" s="21" t="s">
        <v>33</v>
      </c>
      <c r="D105">
        <v>6</v>
      </c>
      <c r="E105">
        <v>0</v>
      </c>
      <c r="F105" t="s">
        <v>230</v>
      </c>
      <c r="G105">
        <v>0</v>
      </c>
      <c r="H105" s="85">
        <f>117000</f>
        <v>117000</v>
      </c>
      <c r="I105">
        <v>51</v>
      </c>
    </row>
    <row r="106" spans="1:9" hidden="1" x14ac:dyDescent="0.25">
      <c r="A106" s="11" t="s">
        <v>78</v>
      </c>
      <c r="B106" s="22" t="s">
        <v>79</v>
      </c>
      <c r="C106" s="21" t="s">
        <v>33</v>
      </c>
      <c r="D106">
        <v>21</v>
      </c>
      <c r="E106">
        <v>0</v>
      </c>
      <c r="F106" t="s">
        <v>229</v>
      </c>
      <c r="G106">
        <v>0</v>
      </c>
      <c r="H106" s="85">
        <f>51800</f>
        <v>51800</v>
      </c>
      <c r="I106">
        <v>51</v>
      </c>
    </row>
    <row r="107" spans="1:9" hidden="1" x14ac:dyDescent="0.25">
      <c r="A107" s="11" t="s">
        <v>78</v>
      </c>
      <c r="B107" s="22" t="s">
        <v>79</v>
      </c>
      <c r="C107" s="21" t="s">
        <v>33</v>
      </c>
      <c r="D107">
        <v>21</v>
      </c>
      <c r="E107">
        <v>0</v>
      </c>
      <c r="F107" t="s">
        <v>229</v>
      </c>
      <c r="G107">
        <v>0</v>
      </c>
      <c r="H107" s="85">
        <f>23700</f>
        <v>23700</v>
      </c>
      <c r="I107">
        <v>51</v>
      </c>
    </row>
    <row r="108" spans="1:9" hidden="1" x14ac:dyDescent="0.25">
      <c r="A108" s="11" t="s">
        <v>78</v>
      </c>
      <c r="B108" s="22" t="s">
        <v>79</v>
      </c>
      <c r="C108" s="21" t="s">
        <v>33</v>
      </c>
      <c r="D108">
        <v>21</v>
      </c>
      <c r="E108">
        <v>0</v>
      </c>
      <c r="F108" t="s">
        <v>230</v>
      </c>
      <c r="G108">
        <v>0</v>
      </c>
      <c r="H108" s="85">
        <f>164000</f>
        <v>164000</v>
      </c>
      <c r="I108">
        <v>51</v>
      </c>
    </row>
    <row r="109" spans="1:9" hidden="1" x14ac:dyDescent="0.25">
      <c r="A109" s="11" t="s">
        <v>78</v>
      </c>
      <c r="B109" s="22" t="s">
        <v>79</v>
      </c>
      <c r="C109" s="21" t="s">
        <v>33</v>
      </c>
      <c r="D109">
        <v>21</v>
      </c>
      <c r="E109">
        <v>0</v>
      </c>
      <c r="F109" t="s">
        <v>230</v>
      </c>
      <c r="G109">
        <v>0</v>
      </c>
      <c r="H109" s="85">
        <f>142000</f>
        <v>142000</v>
      </c>
      <c r="I109">
        <v>51</v>
      </c>
    </row>
    <row r="110" spans="1:9" x14ac:dyDescent="0.25">
      <c r="A110" s="11" t="s">
        <v>78</v>
      </c>
      <c r="B110" s="22" t="s">
        <v>79</v>
      </c>
      <c r="C110" s="21" t="s">
        <v>33</v>
      </c>
      <c r="D110">
        <v>6</v>
      </c>
      <c r="E110">
        <v>0</v>
      </c>
      <c r="F110" t="s">
        <v>229</v>
      </c>
      <c r="G110">
        <v>0</v>
      </c>
      <c r="H110" s="85">
        <f>77700</f>
        <v>77700</v>
      </c>
      <c r="I110">
        <v>48</v>
      </c>
    </row>
    <row r="111" spans="1:9" x14ac:dyDescent="0.25">
      <c r="A111" s="11" t="s">
        <v>78</v>
      </c>
      <c r="B111" s="22" t="s">
        <v>79</v>
      </c>
      <c r="C111" s="21" t="s">
        <v>33</v>
      </c>
      <c r="D111">
        <v>6</v>
      </c>
      <c r="E111">
        <v>0</v>
      </c>
      <c r="F111" t="s">
        <v>229</v>
      </c>
      <c r="G111">
        <v>0</v>
      </c>
      <c r="H111" s="85">
        <f>83200</f>
        <v>83200</v>
      </c>
      <c r="I111">
        <v>48</v>
      </c>
    </row>
    <row r="112" spans="1:9" x14ac:dyDescent="0.25">
      <c r="A112" s="11" t="s">
        <v>78</v>
      </c>
      <c r="B112" s="22" t="s">
        <v>79</v>
      </c>
      <c r="C112" s="21" t="s">
        <v>33</v>
      </c>
      <c r="D112">
        <v>6</v>
      </c>
      <c r="E112">
        <v>0</v>
      </c>
      <c r="F112" t="s">
        <v>230</v>
      </c>
      <c r="G112">
        <v>0</v>
      </c>
      <c r="H112" s="85">
        <f>6170</f>
        <v>6170</v>
      </c>
      <c r="I112">
        <v>48</v>
      </c>
    </row>
    <row r="113" spans="1:9" x14ac:dyDescent="0.25">
      <c r="A113" s="11" t="s">
        <v>78</v>
      </c>
      <c r="B113" s="22" t="s">
        <v>79</v>
      </c>
      <c r="C113" s="21" t="s">
        <v>33</v>
      </c>
      <c r="D113">
        <v>6</v>
      </c>
      <c r="E113">
        <v>0</v>
      </c>
      <c r="F113" t="s">
        <v>230</v>
      </c>
      <c r="G113">
        <v>0</v>
      </c>
      <c r="H113" s="85">
        <f>3220</f>
        <v>3220</v>
      </c>
      <c r="I113">
        <v>48</v>
      </c>
    </row>
    <row r="114" spans="1:9" hidden="1" x14ac:dyDescent="0.25">
      <c r="A114" s="11" t="s">
        <v>78</v>
      </c>
      <c r="B114" s="22" t="s">
        <v>79</v>
      </c>
      <c r="C114" s="21" t="s">
        <v>33</v>
      </c>
      <c r="D114">
        <v>21</v>
      </c>
      <c r="E114">
        <v>0</v>
      </c>
      <c r="F114" t="s">
        <v>229</v>
      </c>
      <c r="G114">
        <v>0</v>
      </c>
      <c r="H114" s="85">
        <f>11100</f>
        <v>11100</v>
      </c>
      <c r="I114">
        <v>48</v>
      </c>
    </row>
    <row r="115" spans="1:9" hidden="1" x14ac:dyDescent="0.25">
      <c r="A115" s="11" t="s">
        <v>78</v>
      </c>
      <c r="B115" s="22" t="s">
        <v>79</v>
      </c>
      <c r="C115" s="21" t="s">
        <v>33</v>
      </c>
      <c r="D115">
        <v>21</v>
      </c>
      <c r="E115">
        <v>0</v>
      </c>
      <c r="F115" t="s">
        <v>229</v>
      </c>
      <c r="G115">
        <v>0</v>
      </c>
      <c r="H115" s="85">
        <f>9030</f>
        <v>9030</v>
      </c>
      <c r="I115">
        <v>48</v>
      </c>
    </row>
    <row r="116" spans="1:9" hidden="1" x14ac:dyDescent="0.25">
      <c r="A116" s="11" t="s">
        <v>78</v>
      </c>
      <c r="B116" s="22" t="s">
        <v>79</v>
      </c>
      <c r="C116" s="21" t="s">
        <v>33</v>
      </c>
      <c r="D116">
        <v>32</v>
      </c>
      <c r="E116">
        <v>0</v>
      </c>
      <c r="F116" t="s">
        <v>229</v>
      </c>
      <c r="G116">
        <v>0</v>
      </c>
      <c r="H116" s="85">
        <f>6480</f>
        <v>6480</v>
      </c>
      <c r="I116">
        <v>48</v>
      </c>
    </row>
    <row r="117" spans="1:9" hidden="1" x14ac:dyDescent="0.25">
      <c r="A117" s="11" t="s">
        <v>78</v>
      </c>
      <c r="B117" s="22" t="s">
        <v>79</v>
      </c>
      <c r="C117" s="21" t="s">
        <v>33</v>
      </c>
      <c r="D117">
        <v>32</v>
      </c>
      <c r="E117">
        <v>0</v>
      </c>
      <c r="F117" t="s">
        <v>229</v>
      </c>
      <c r="G117">
        <v>0</v>
      </c>
      <c r="H117" s="85">
        <f>11700</f>
        <v>11700</v>
      </c>
      <c r="I117">
        <v>48</v>
      </c>
    </row>
    <row r="118" spans="1:9" hidden="1" x14ac:dyDescent="0.25">
      <c r="A118" s="11" t="s">
        <v>78</v>
      </c>
      <c r="B118" s="22" t="s">
        <v>79</v>
      </c>
      <c r="C118" s="21" t="s">
        <v>33</v>
      </c>
      <c r="D118">
        <v>32</v>
      </c>
      <c r="E118">
        <v>0</v>
      </c>
      <c r="F118" t="s">
        <v>230</v>
      </c>
      <c r="G118">
        <v>0</v>
      </c>
      <c r="H118" s="85">
        <f>13000</f>
        <v>13000</v>
      </c>
      <c r="I118">
        <v>48</v>
      </c>
    </row>
    <row r="119" spans="1:9" hidden="1" x14ac:dyDescent="0.25">
      <c r="A119" s="11" t="s">
        <v>78</v>
      </c>
      <c r="B119" s="22" t="s">
        <v>79</v>
      </c>
      <c r="C119" s="21" t="s">
        <v>33</v>
      </c>
      <c r="D119">
        <v>32</v>
      </c>
      <c r="E119">
        <v>0</v>
      </c>
      <c r="F119" t="s">
        <v>230</v>
      </c>
      <c r="G119">
        <v>0</v>
      </c>
      <c r="H119" s="85">
        <f>6670</f>
        <v>6670</v>
      </c>
      <c r="I119">
        <v>48</v>
      </c>
    </row>
    <row r="120" spans="1:9" hidden="1" x14ac:dyDescent="0.25">
      <c r="A120" s="11" t="s">
        <v>59</v>
      </c>
      <c r="B120" s="12" t="s">
        <v>60</v>
      </c>
      <c r="C120" s="11" t="s">
        <v>33</v>
      </c>
      <c r="D120">
        <v>55</v>
      </c>
      <c r="E120">
        <v>1</v>
      </c>
      <c r="F120" t="s">
        <v>229</v>
      </c>
      <c r="G120">
        <v>0</v>
      </c>
      <c r="H120" s="85">
        <v>0</v>
      </c>
      <c r="I120">
        <v>37</v>
      </c>
    </row>
    <row r="121" spans="1:9" hidden="1" x14ac:dyDescent="0.25">
      <c r="A121" s="11" t="s">
        <v>59</v>
      </c>
      <c r="B121" s="12" t="s">
        <v>60</v>
      </c>
      <c r="C121" s="11" t="s">
        <v>33</v>
      </c>
      <c r="D121">
        <v>55</v>
      </c>
      <c r="E121">
        <v>1</v>
      </c>
      <c r="F121" t="s">
        <v>229</v>
      </c>
      <c r="G121">
        <v>4</v>
      </c>
      <c r="H121" s="85">
        <v>0</v>
      </c>
      <c r="I121">
        <v>37</v>
      </c>
    </row>
    <row r="122" spans="1:9" hidden="1" x14ac:dyDescent="0.25">
      <c r="A122" s="11" t="s">
        <v>59</v>
      </c>
      <c r="B122" s="12" t="s">
        <v>60</v>
      </c>
      <c r="C122" s="11" t="s">
        <v>33</v>
      </c>
      <c r="D122">
        <v>55</v>
      </c>
      <c r="E122">
        <v>1</v>
      </c>
      <c r="F122" t="s">
        <v>229</v>
      </c>
      <c r="G122">
        <v>4</v>
      </c>
      <c r="H122" s="85">
        <v>0</v>
      </c>
      <c r="I122">
        <v>37</v>
      </c>
    </row>
    <row r="123" spans="1:9" hidden="1" x14ac:dyDescent="0.25">
      <c r="A123" s="11" t="s">
        <v>59</v>
      </c>
      <c r="B123" s="12" t="s">
        <v>60</v>
      </c>
      <c r="C123" s="11" t="s">
        <v>33</v>
      </c>
      <c r="D123">
        <v>37</v>
      </c>
      <c r="E123">
        <v>1</v>
      </c>
      <c r="F123" t="s">
        <v>229</v>
      </c>
      <c r="G123">
        <v>0</v>
      </c>
      <c r="H123" s="85">
        <v>0</v>
      </c>
      <c r="I123">
        <v>37</v>
      </c>
    </row>
    <row r="124" spans="1:9" hidden="1" x14ac:dyDescent="0.25">
      <c r="A124" s="11" t="s">
        <v>59</v>
      </c>
      <c r="B124" s="12" t="s">
        <v>60</v>
      </c>
      <c r="C124" s="11" t="s">
        <v>33</v>
      </c>
      <c r="D124">
        <v>37</v>
      </c>
      <c r="E124">
        <v>1</v>
      </c>
      <c r="F124" t="s">
        <v>229</v>
      </c>
      <c r="G124">
        <v>4</v>
      </c>
      <c r="H124" s="85">
        <v>0</v>
      </c>
      <c r="I124">
        <v>37</v>
      </c>
    </row>
    <row r="125" spans="1:9" hidden="1" x14ac:dyDescent="0.25">
      <c r="A125" s="11" t="s">
        <v>59</v>
      </c>
      <c r="B125" s="12" t="s">
        <v>60</v>
      </c>
      <c r="C125" s="11" t="s">
        <v>33</v>
      </c>
      <c r="D125">
        <v>37</v>
      </c>
      <c r="E125">
        <v>1</v>
      </c>
      <c r="F125" t="s">
        <v>229</v>
      </c>
      <c r="G125">
        <v>4</v>
      </c>
      <c r="H125" s="85">
        <v>0</v>
      </c>
      <c r="I125">
        <v>37</v>
      </c>
    </row>
    <row r="126" spans="1:9" hidden="1" x14ac:dyDescent="0.25">
      <c r="A126" s="11" t="s">
        <v>59</v>
      </c>
      <c r="B126" s="12" t="s">
        <v>60</v>
      </c>
      <c r="C126" s="11" t="s">
        <v>33</v>
      </c>
      <c r="D126">
        <v>32</v>
      </c>
      <c r="E126">
        <v>1</v>
      </c>
      <c r="F126" t="s">
        <v>229</v>
      </c>
      <c r="G126">
        <v>4</v>
      </c>
      <c r="H126" s="85">
        <f>38100000</f>
        <v>38100000</v>
      </c>
      <c r="I126">
        <v>37</v>
      </c>
    </row>
    <row r="127" spans="1:9" hidden="1" x14ac:dyDescent="0.25">
      <c r="A127" s="11" t="s">
        <v>59</v>
      </c>
      <c r="B127" s="12" t="s">
        <v>60</v>
      </c>
      <c r="C127" s="11" t="s">
        <v>33</v>
      </c>
      <c r="D127">
        <v>32</v>
      </c>
      <c r="E127">
        <v>1</v>
      </c>
      <c r="F127" t="s">
        <v>229</v>
      </c>
      <c r="G127">
        <v>4</v>
      </c>
      <c r="H127" s="85">
        <f>32800000</f>
        <v>32800000</v>
      </c>
      <c r="I127">
        <v>37</v>
      </c>
    </row>
    <row r="128" spans="1:9" hidden="1" x14ac:dyDescent="0.25">
      <c r="A128" s="11" t="s">
        <v>59</v>
      </c>
      <c r="B128" s="12" t="s">
        <v>60</v>
      </c>
      <c r="C128" s="11" t="s">
        <v>33</v>
      </c>
      <c r="D128">
        <v>21</v>
      </c>
      <c r="E128">
        <v>1</v>
      </c>
      <c r="F128" t="s">
        <v>229</v>
      </c>
      <c r="G128">
        <v>4</v>
      </c>
      <c r="H128" s="85">
        <f>14700000</f>
        <v>14700000</v>
      </c>
      <c r="I128">
        <v>37</v>
      </c>
    </row>
    <row r="129" spans="1:9" hidden="1" x14ac:dyDescent="0.25">
      <c r="A129" s="11" t="s">
        <v>59</v>
      </c>
      <c r="B129" s="12" t="s">
        <v>60</v>
      </c>
      <c r="C129" s="11" t="s">
        <v>33</v>
      </c>
      <c r="D129">
        <v>21</v>
      </c>
      <c r="E129">
        <v>1</v>
      </c>
      <c r="F129" t="s">
        <v>229</v>
      </c>
      <c r="G129">
        <v>4</v>
      </c>
      <c r="H129" s="85">
        <f>16300000</f>
        <v>16300000</v>
      </c>
      <c r="I129">
        <v>37</v>
      </c>
    </row>
    <row r="130" spans="1:9" hidden="1" x14ac:dyDescent="0.25">
      <c r="A130" s="11" t="s">
        <v>59</v>
      </c>
      <c r="B130" s="12" t="s">
        <v>60</v>
      </c>
      <c r="C130" s="11" t="s">
        <v>33</v>
      </c>
      <c r="D130">
        <v>55</v>
      </c>
      <c r="E130">
        <v>1</v>
      </c>
      <c r="F130" t="s">
        <v>230</v>
      </c>
      <c r="G130">
        <v>0</v>
      </c>
      <c r="H130" s="85">
        <v>0</v>
      </c>
      <c r="I130">
        <v>37</v>
      </c>
    </row>
    <row r="131" spans="1:9" hidden="1" x14ac:dyDescent="0.25">
      <c r="A131" s="11" t="s">
        <v>59</v>
      </c>
      <c r="B131" s="12" t="s">
        <v>60</v>
      </c>
      <c r="C131" s="11" t="s">
        <v>33</v>
      </c>
      <c r="D131">
        <v>55</v>
      </c>
      <c r="E131">
        <v>1</v>
      </c>
      <c r="F131" t="s">
        <v>230</v>
      </c>
      <c r="G131">
        <v>4</v>
      </c>
      <c r="H131" s="85">
        <v>0</v>
      </c>
      <c r="I131">
        <v>37</v>
      </c>
    </row>
    <row r="132" spans="1:9" hidden="1" x14ac:dyDescent="0.25">
      <c r="A132" s="11" t="s">
        <v>59</v>
      </c>
      <c r="B132" s="12" t="s">
        <v>60</v>
      </c>
      <c r="C132" s="11" t="s">
        <v>33</v>
      </c>
      <c r="D132">
        <v>55</v>
      </c>
      <c r="E132">
        <v>1</v>
      </c>
      <c r="F132" t="s">
        <v>230</v>
      </c>
      <c r="G132">
        <v>4</v>
      </c>
      <c r="H132" s="85">
        <v>0</v>
      </c>
      <c r="I132">
        <v>37</v>
      </c>
    </row>
    <row r="133" spans="1:9" hidden="1" x14ac:dyDescent="0.25">
      <c r="A133" s="11" t="s">
        <v>59</v>
      </c>
      <c r="B133" s="12" t="s">
        <v>60</v>
      </c>
      <c r="C133" s="11" t="s">
        <v>33</v>
      </c>
      <c r="D133">
        <v>37</v>
      </c>
      <c r="E133">
        <v>1</v>
      </c>
      <c r="F133" t="s">
        <v>230</v>
      </c>
      <c r="G133">
        <v>0</v>
      </c>
      <c r="H133" s="85">
        <v>0</v>
      </c>
      <c r="I133">
        <v>37</v>
      </c>
    </row>
    <row r="134" spans="1:9" hidden="1" x14ac:dyDescent="0.25">
      <c r="A134" s="11" t="s">
        <v>59</v>
      </c>
      <c r="B134" s="12" t="s">
        <v>60</v>
      </c>
      <c r="C134" s="11" t="s">
        <v>33</v>
      </c>
      <c r="D134">
        <v>37</v>
      </c>
      <c r="E134">
        <v>1</v>
      </c>
      <c r="F134" t="s">
        <v>230</v>
      </c>
      <c r="G134">
        <v>4</v>
      </c>
      <c r="H134" s="85">
        <v>0</v>
      </c>
      <c r="I134">
        <v>37</v>
      </c>
    </row>
    <row r="135" spans="1:9" hidden="1" x14ac:dyDescent="0.25">
      <c r="A135" s="11" t="s">
        <v>59</v>
      </c>
      <c r="B135" s="12" t="s">
        <v>60</v>
      </c>
      <c r="C135" s="11" t="s">
        <v>33</v>
      </c>
      <c r="D135">
        <v>37</v>
      </c>
      <c r="E135">
        <v>1</v>
      </c>
      <c r="F135" t="s">
        <v>230</v>
      </c>
      <c r="G135">
        <v>4</v>
      </c>
      <c r="H135" s="85">
        <v>0</v>
      </c>
      <c r="I135">
        <v>37</v>
      </c>
    </row>
    <row r="136" spans="1:9" hidden="1" x14ac:dyDescent="0.25">
      <c r="A136" s="11" t="s">
        <v>59</v>
      </c>
      <c r="B136" s="12" t="s">
        <v>60</v>
      </c>
      <c r="C136" s="11" t="s">
        <v>33</v>
      </c>
      <c r="D136">
        <v>32</v>
      </c>
      <c r="E136">
        <v>1</v>
      </c>
      <c r="F136" t="s">
        <v>230</v>
      </c>
      <c r="G136">
        <v>4</v>
      </c>
      <c r="H136" s="85">
        <f>59800000</f>
        <v>59800000</v>
      </c>
      <c r="I136">
        <v>37</v>
      </c>
    </row>
    <row r="137" spans="1:9" hidden="1" x14ac:dyDescent="0.25">
      <c r="A137" s="11" t="s">
        <v>59</v>
      </c>
      <c r="B137" s="12" t="s">
        <v>60</v>
      </c>
      <c r="C137" s="11" t="s">
        <v>33</v>
      </c>
      <c r="D137">
        <v>32</v>
      </c>
      <c r="E137">
        <v>1</v>
      </c>
      <c r="F137" t="s">
        <v>230</v>
      </c>
      <c r="G137">
        <v>4</v>
      </c>
      <c r="H137" s="85">
        <f>64400000</f>
        <v>64400000</v>
      </c>
      <c r="I137">
        <v>37</v>
      </c>
    </row>
    <row r="138" spans="1:9" hidden="1" x14ac:dyDescent="0.25">
      <c r="A138" s="11" t="s">
        <v>59</v>
      </c>
      <c r="B138" s="12" t="s">
        <v>60</v>
      </c>
      <c r="C138" s="11" t="s">
        <v>33</v>
      </c>
      <c r="D138">
        <v>21</v>
      </c>
      <c r="E138">
        <v>1</v>
      </c>
      <c r="F138" t="s">
        <v>230</v>
      </c>
      <c r="G138">
        <v>4</v>
      </c>
      <c r="H138" s="85">
        <f>53300000</f>
        <v>53300000</v>
      </c>
      <c r="I138">
        <v>37</v>
      </c>
    </row>
    <row r="139" spans="1:9" hidden="1" x14ac:dyDescent="0.25">
      <c r="A139" s="11" t="s">
        <v>59</v>
      </c>
      <c r="B139" s="12" t="s">
        <v>60</v>
      </c>
      <c r="C139" s="11" t="s">
        <v>33</v>
      </c>
      <c r="D139">
        <v>21</v>
      </c>
      <c r="E139">
        <v>1</v>
      </c>
      <c r="F139" t="s">
        <v>230</v>
      </c>
      <c r="G139">
        <v>4</v>
      </c>
      <c r="H139" s="85">
        <f>50300000</f>
        <v>50300000</v>
      </c>
      <c r="I139">
        <v>37</v>
      </c>
    </row>
    <row r="140" spans="1:9" hidden="1" x14ac:dyDescent="0.25">
      <c r="A140" s="11" t="s">
        <v>55</v>
      </c>
      <c r="B140" s="20" t="s">
        <v>56</v>
      </c>
      <c r="C140" s="11" t="s">
        <v>33</v>
      </c>
      <c r="D140">
        <v>21</v>
      </c>
      <c r="E140">
        <v>1</v>
      </c>
      <c r="F140" t="s">
        <v>229</v>
      </c>
      <c r="G140">
        <v>4</v>
      </c>
      <c r="H140" s="85">
        <f>155000000</f>
        <v>155000000</v>
      </c>
      <c r="I140">
        <v>77</v>
      </c>
    </row>
    <row r="141" spans="1:9" hidden="1" x14ac:dyDescent="0.25">
      <c r="A141" s="11" t="s">
        <v>55</v>
      </c>
      <c r="B141" s="20" t="s">
        <v>56</v>
      </c>
      <c r="C141" s="11" t="s">
        <v>33</v>
      </c>
      <c r="D141">
        <v>21</v>
      </c>
      <c r="E141">
        <v>1</v>
      </c>
      <c r="F141" t="s">
        <v>229</v>
      </c>
      <c r="G141">
        <v>4</v>
      </c>
      <c r="H141" s="85">
        <f>200000000</f>
        <v>200000000</v>
      </c>
      <c r="I141">
        <v>77</v>
      </c>
    </row>
    <row r="142" spans="1:9" hidden="1" x14ac:dyDescent="0.25">
      <c r="A142" s="11" t="s">
        <v>55</v>
      </c>
      <c r="B142" s="20" t="s">
        <v>56</v>
      </c>
      <c r="C142" s="11" t="s">
        <v>33</v>
      </c>
      <c r="D142">
        <v>21</v>
      </c>
      <c r="E142">
        <v>1</v>
      </c>
      <c r="F142" t="s">
        <v>230</v>
      </c>
      <c r="G142">
        <v>4</v>
      </c>
      <c r="H142" s="85">
        <f>209000000</f>
        <v>209000000</v>
      </c>
      <c r="I142">
        <v>77</v>
      </c>
    </row>
    <row r="143" spans="1:9" hidden="1" x14ac:dyDescent="0.25">
      <c r="A143" s="11" t="s">
        <v>55</v>
      </c>
      <c r="B143" s="20" t="s">
        <v>56</v>
      </c>
      <c r="C143" s="11" t="s">
        <v>33</v>
      </c>
      <c r="D143">
        <v>21</v>
      </c>
      <c r="E143">
        <v>1</v>
      </c>
      <c r="F143" t="s">
        <v>230</v>
      </c>
      <c r="G143">
        <v>4</v>
      </c>
      <c r="H143" s="85">
        <f>142000000</f>
        <v>142000000</v>
      </c>
      <c r="I143">
        <v>77</v>
      </c>
    </row>
    <row r="144" spans="1:9" hidden="1" x14ac:dyDescent="0.25">
      <c r="A144" s="11" t="s">
        <v>55</v>
      </c>
      <c r="B144" s="20" t="s">
        <v>56</v>
      </c>
      <c r="C144" s="11" t="s">
        <v>33</v>
      </c>
      <c r="D144">
        <v>32</v>
      </c>
      <c r="E144">
        <v>1</v>
      </c>
      <c r="F144" t="s">
        <v>229</v>
      </c>
      <c r="G144">
        <v>4</v>
      </c>
      <c r="H144" s="85">
        <f>286000000</f>
        <v>286000000</v>
      </c>
      <c r="I144">
        <v>77</v>
      </c>
    </row>
    <row r="145" spans="1:9" hidden="1" x14ac:dyDescent="0.25">
      <c r="A145" s="11" t="s">
        <v>55</v>
      </c>
      <c r="B145" s="20" t="s">
        <v>56</v>
      </c>
      <c r="C145" s="11" t="s">
        <v>33</v>
      </c>
      <c r="D145">
        <v>32</v>
      </c>
      <c r="E145">
        <v>1</v>
      </c>
      <c r="F145" t="s">
        <v>229</v>
      </c>
      <c r="G145">
        <v>4</v>
      </c>
      <c r="H145" s="85">
        <f>177000000</f>
        <v>177000000</v>
      </c>
      <c r="I145">
        <v>77</v>
      </c>
    </row>
    <row r="146" spans="1:9" hidden="1" x14ac:dyDescent="0.25">
      <c r="A146" s="11" t="s">
        <v>55</v>
      </c>
      <c r="B146" s="20" t="s">
        <v>56</v>
      </c>
      <c r="C146" s="11" t="s">
        <v>33</v>
      </c>
      <c r="D146">
        <v>32</v>
      </c>
      <c r="E146">
        <v>1</v>
      </c>
      <c r="F146" t="s">
        <v>230</v>
      </c>
      <c r="G146">
        <v>4</v>
      </c>
      <c r="H146" s="85">
        <f>332000000</f>
        <v>332000000</v>
      </c>
      <c r="I146">
        <v>77</v>
      </c>
    </row>
    <row r="147" spans="1:9" hidden="1" x14ac:dyDescent="0.25">
      <c r="A147" s="11" t="s">
        <v>55</v>
      </c>
      <c r="B147" s="20" t="s">
        <v>56</v>
      </c>
      <c r="C147" s="11" t="s">
        <v>33</v>
      </c>
      <c r="D147">
        <v>32</v>
      </c>
      <c r="E147">
        <v>1</v>
      </c>
      <c r="F147" t="s">
        <v>230</v>
      </c>
      <c r="G147">
        <v>4</v>
      </c>
      <c r="H147" s="85">
        <f>197000000</f>
        <v>197000000</v>
      </c>
      <c r="I147">
        <v>77</v>
      </c>
    </row>
    <row r="148" spans="1:9" hidden="1" x14ac:dyDescent="0.25">
      <c r="A148" s="11" t="s">
        <v>55</v>
      </c>
      <c r="B148" s="20" t="s">
        <v>56</v>
      </c>
      <c r="C148" s="11" t="s">
        <v>33</v>
      </c>
      <c r="D148">
        <v>37</v>
      </c>
      <c r="E148">
        <v>1</v>
      </c>
      <c r="F148" t="s">
        <v>229</v>
      </c>
      <c r="G148">
        <v>0</v>
      </c>
      <c r="H148" s="85">
        <f>760</f>
        <v>760</v>
      </c>
      <c r="I148">
        <v>77</v>
      </c>
    </row>
    <row r="149" spans="1:9" hidden="1" x14ac:dyDescent="0.25">
      <c r="A149" s="11" t="s">
        <v>55</v>
      </c>
      <c r="B149" s="20" t="s">
        <v>56</v>
      </c>
      <c r="C149" s="11" t="s">
        <v>33</v>
      </c>
      <c r="D149">
        <v>37</v>
      </c>
      <c r="E149">
        <v>1</v>
      </c>
      <c r="F149" t="s">
        <v>229</v>
      </c>
      <c r="G149">
        <v>0</v>
      </c>
      <c r="H149" s="85">
        <f>695</f>
        <v>695</v>
      </c>
      <c r="I149">
        <v>77</v>
      </c>
    </row>
    <row r="150" spans="1:9" hidden="1" x14ac:dyDescent="0.25">
      <c r="A150" s="11" t="s">
        <v>55</v>
      </c>
      <c r="B150" s="20" t="s">
        <v>56</v>
      </c>
      <c r="C150" s="11" t="s">
        <v>33</v>
      </c>
      <c r="D150">
        <v>37</v>
      </c>
      <c r="E150">
        <v>1</v>
      </c>
      <c r="F150" t="s">
        <v>230</v>
      </c>
      <c r="G150">
        <v>0</v>
      </c>
      <c r="H150" s="85">
        <f>470</f>
        <v>470</v>
      </c>
      <c r="I150">
        <v>77</v>
      </c>
    </row>
    <row r="151" spans="1:9" hidden="1" x14ac:dyDescent="0.25">
      <c r="A151" s="11" t="s">
        <v>55</v>
      </c>
      <c r="B151" s="20" t="s">
        <v>56</v>
      </c>
      <c r="C151" s="11" t="s">
        <v>33</v>
      </c>
      <c r="D151">
        <v>37</v>
      </c>
      <c r="E151">
        <v>1</v>
      </c>
      <c r="F151" t="s">
        <v>230</v>
      </c>
      <c r="G151">
        <v>0</v>
      </c>
      <c r="H151" s="85">
        <f>552</f>
        <v>552</v>
      </c>
      <c r="I151">
        <v>77</v>
      </c>
    </row>
    <row r="152" spans="1:9" hidden="1" x14ac:dyDescent="0.25">
      <c r="A152" s="11" t="s">
        <v>55</v>
      </c>
      <c r="B152" s="20" t="s">
        <v>56</v>
      </c>
      <c r="C152" s="11" t="s">
        <v>33</v>
      </c>
      <c r="D152">
        <v>55</v>
      </c>
      <c r="E152">
        <v>1</v>
      </c>
      <c r="F152" t="s">
        <v>229</v>
      </c>
      <c r="G152">
        <v>0</v>
      </c>
      <c r="H152" s="85">
        <v>0</v>
      </c>
      <c r="I152">
        <v>77</v>
      </c>
    </row>
    <row r="153" spans="1:9" hidden="1" x14ac:dyDescent="0.25">
      <c r="A153" s="11" t="s">
        <v>55</v>
      </c>
      <c r="B153" s="20" t="s">
        <v>56</v>
      </c>
      <c r="C153" s="11" t="s">
        <v>33</v>
      </c>
      <c r="D153">
        <v>55</v>
      </c>
      <c r="E153">
        <v>1</v>
      </c>
      <c r="F153" t="s">
        <v>229</v>
      </c>
      <c r="G153">
        <v>0</v>
      </c>
      <c r="H153" s="85">
        <v>0</v>
      </c>
      <c r="I153">
        <v>77</v>
      </c>
    </row>
    <row r="154" spans="1:9" hidden="1" x14ac:dyDescent="0.25">
      <c r="A154" s="11" t="s">
        <v>55</v>
      </c>
      <c r="B154" s="20" t="s">
        <v>56</v>
      </c>
      <c r="C154" s="11" t="s">
        <v>33</v>
      </c>
      <c r="D154">
        <v>55</v>
      </c>
      <c r="E154">
        <v>1</v>
      </c>
      <c r="F154" t="s">
        <v>230</v>
      </c>
      <c r="G154">
        <v>0</v>
      </c>
      <c r="H154" s="85">
        <v>0</v>
      </c>
      <c r="I154">
        <v>77</v>
      </c>
    </row>
    <row r="155" spans="1:9" hidden="1" x14ac:dyDescent="0.25">
      <c r="A155" s="11" t="s">
        <v>55</v>
      </c>
      <c r="B155" s="20" t="s">
        <v>56</v>
      </c>
      <c r="C155" s="11" t="s">
        <v>33</v>
      </c>
      <c r="D155">
        <v>55</v>
      </c>
      <c r="E155">
        <v>1</v>
      </c>
      <c r="F155" t="s">
        <v>230</v>
      </c>
      <c r="G155">
        <v>0</v>
      </c>
      <c r="H155" s="85">
        <v>0</v>
      </c>
      <c r="I155">
        <v>77</v>
      </c>
    </row>
    <row r="156" spans="1:9" hidden="1" x14ac:dyDescent="0.25">
      <c r="A156" s="11" t="s">
        <v>50</v>
      </c>
      <c r="B156" s="22" t="s">
        <v>51</v>
      </c>
      <c r="C156" s="21" t="s">
        <v>33</v>
      </c>
      <c r="D156">
        <v>21</v>
      </c>
      <c r="E156">
        <v>1</v>
      </c>
      <c r="F156" t="s">
        <v>229</v>
      </c>
      <c r="G156">
        <v>4</v>
      </c>
      <c r="H156" s="85">
        <f>193000000</f>
        <v>193000000</v>
      </c>
      <c r="I156">
        <v>77</v>
      </c>
    </row>
    <row r="157" spans="1:9" hidden="1" x14ac:dyDescent="0.25">
      <c r="A157" s="11" t="s">
        <v>50</v>
      </c>
      <c r="B157" s="22" t="s">
        <v>51</v>
      </c>
      <c r="C157" s="21" t="s">
        <v>33</v>
      </c>
      <c r="D157">
        <v>21</v>
      </c>
      <c r="E157">
        <v>1</v>
      </c>
      <c r="F157" t="s">
        <v>229</v>
      </c>
      <c r="G157">
        <v>4</v>
      </c>
      <c r="H157" s="85">
        <f>104000000</f>
        <v>104000000</v>
      </c>
      <c r="I157">
        <v>77</v>
      </c>
    </row>
    <row r="158" spans="1:9" hidden="1" x14ac:dyDescent="0.25">
      <c r="A158" s="11" t="s">
        <v>50</v>
      </c>
      <c r="B158" s="22" t="s">
        <v>51</v>
      </c>
      <c r="C158" s="21" t="s">
        <v>33</v>
      </c>
      <c r="D158">
        <v>21</v>
      </c>
      <c r="E158">
        <v>1</v>
      </c>
      <c r="F158" t="s">
        <v>230</v>
      </c>
      <c r="G158">
        <v>4</v>
      </c>
      <c r="H158" s="85">
        <f>108000000</f>
        <v>108000000</v>
      </c>
      <c r="I158">
        <v>77</v>
      </c>
    </row>
    <row r="159" spans="1:9" hidden="1" x14ac:dyDescent="0.25">
      <c r="A159" s="11" t="s">
        <v>50</v>
      </c>
      <c r="B159" s="22" t="s">
        <v>51</v>
      </c>
      <c r="C159" s="21" t="s">
        <v>33</v>
      </c>
      <c r="D159">
        <v>21</v>
      </c>
      <c r="E159">
        <v>1</v>
      </c>
      <c r="F159" t="s">
        <v>230</v>
      </c>
      <c r="G159">
        <v>4</v>
      </c>
      <c r="H159" s="85">
        <f>164000000</f>
        <v>164000000</v>
      </c>
      <c r="I159">
        <v>77</v>
      </c>
    </row>
    <row r="160" spans="1:9" hidden="1" x14ac:dyDescent="0.25">
      <c r="A160" s="11" t="s">
        <v>50</v>
      </c>
      <c r="B160" s="22" t="s">
        <v>51</v>
      </c>
      <c r="C160" s="21" t="s">
        <v>33</v>
      </c>
      <c r="D160">
        <v>32</v>
      </c>
      <c r="E160">
        <v>1</v>
      </c>
      <c r="F160" t="s">
        <v>229</v>
      </c>
      <c r="G160">
        <v>4</v>
      </c>
      <c r="H160" s="85">
        <f>535000000</f>
        <v>535000000</v>
      </c>
      <c r="I160">
        <v>77</v>
      </c>
    </row>
    <row r="161" spans="1:9" hidden="1" x14ac:dyDescent="0.25">
      <c r="A161" s="11" t="s">
        <v>50</v>
      </c>
      <c r="B161" s="22" t="s">
        <v>51</v>
      </c>
      <c r="C161" s="21" t="s">
        <v>33</v>
      </c>
      <c r="D161">
        <v>32</v>
      </c>
      <c r="E161">
        <v>1</v>
      </c>
      <c r="F161" t="s">
        <v>229</v>
      </c>
      <c r="G161">
        <v>4</v>
      </c>
      <c r="H161" s="85">
        <f>206000000</f>
        <v>206000000</v>
      </c>
      <c r="I161">
        <v>77</v>
      </c>
    </row>
    <row r="162" spans="1:9" hidden="1" x14ac:dyDescent="0.25">
      <c r="A162" s="11" t="s">
        <v>50</v>
      </c>
      <c r="B162" s="22" t="s">
        <v>51</v>
      </c>
      <c r="C162" s="21" t="s">
        <v>33</v>
      </c>
      <c r="D162">
        <v>32</v>
      </c>
      <c r="E162">
        <v>1</v>
      </c>
      <c r="F162" t="s">
        <v>230</v>
      </c>
      <c r="G162">
        <v>4</v>
      </c>
      <c r="H162" s="85">
        <f>495000000</f>
        <v>495000000</v>
      </c>
      <c r="I162">
        <v>77</v>
      </c>
    </row>
    <row r="163" spans="1:9" hidden="1" x14ac:dyDescent="0.25">
      <c r="A163" s="11" t="s">
        <v>50</v>
      </c>
      <c r="B163" s="22" t="s">
        <v>51</v>
      </c>
      <c r="C163" s="21" t="s">
        <v>33</v>
      </c>
      <c r="D163">
        <v>32</v>
      </c>
      <c r="E163">
        <v>1</v>
      </c>
      <c r="F163" t="s">
        <v>230</v>
      </c>
      <c r="G163">
        <v>4</v>
      </c>
      <c r="H163" s="85">
        <f>182000000</f>
        <v>182000000</v>
      </c>
      <c r="I163">
        <v>77</v>
      </c>
    </row>
    <row r="164" spans="1:9" hidden="1" x14ac:dyDescent="0.25">
      <c r="A164" s="11" t="s">
        <v>50</v>
      </c>
      <c r="B164" s="22" t="s">
        <v>51</v>
      </c>
      <c r="C164" s="21" t="s">
        <v>33</v>
      </c>
      <c r="D164">
        <v>37</v>
      </c>
      <c r="E164">
        <v>1</v>
      </c>
      <c r="F164" t="s">
        <v>229</v>
      </c>
      <c r="G164">
        <v>4</v>
      </c>
      <c r="H164" s="85">
        <f>40200000</f>
        <v>40200000</v>
      </c>
      <c r="I164">
        <v>77</v>
      </c>
    </row>
    <row r="165" spans="1:9" hidden="1" x14ac:dyDescent="0.25">
      <c r="A165" s="11" t="s">
        <v>50</v>
      </c>
      <c r="B165" s="22" t="s">
        <v>51</v>
      </c>
      <c r="C165" s="21" t="s">
        <v>33</v>
      </c>
      <c r="D165">
        <v>37</v>
      </c>
      <c r="E165">
        <v>1</v>
      </c>
      <c r="F165" t="s">
        <v>229</v>
      </c>
      <c r="G165">
        <v>4</v>
      </c>
      <c r="H165" s="85">
        <f>32400000</f>
        <v>32400000</v>
      </c>
      <c r="I165">
        <v>77</v>
      </c>
    </row>
    <row r="166" spans="1:9" hidden="1" x14ac:dyDescent="0.25">
      <c r="A166" s="11" t="s">
        <v>50</v>
      </c>
      <c r="B166" s="22" t="s">
        <v>51</v>
      </c>
      <c r="C166" s="21" t="s">
        <v>33</v>
      </c>
      <c r="D166">
        <v>37</v>
      </c>
      <c r="E166">
        <v>1</v>
      </c>
      <c r="F166" t="s">
        <v>230</v>
      </c>
      <c r="G166">
        <v>4</v>
      </c>
      <c r="H166" s="85">
        <f>38000000</f>
        <v>38000000</v>
      </c>
      <c r="I166">
        <v>77</v>
      </c>
    </row>
    <row r="167" spans="1:9" hidden="1" x14ac:dyDescent="0.25">
      <c r="A167" s="11" t="s">
        <v>50</v>
      </c>
      <c r="B167" s="22" t="s">
        <v>51</v>
      </c>
      <c r="C167" s="21" t="s">
        <v>33</v>
      </c>
      <c r="D167">
        <v>37</v>
      </c>
      <c r="E167">
        <v>1</v>
      </c>
      <c r="F167" t="s">
        <v>230</v>
      </c>
      <c r="G167">
        <v>4</v>
      </c>
      <c r="H167" s="85">
        <f>32200000</f>
        <v>32200000</v>
      </c>
      <c r="I167">
        <v>77</v>
      </c>
    </row>
    <row r="168" spans="1:9" hidden="1" x14ac:dyDescent="0.25">
      <c r="A168" s="11" t="s">
        <v>50</v>
      </c>
      <c r="B168" s="22" t="s">
        <v>51</v>
      </c>
      <c r="C168" s="21" t="s">
        <v>33</v>
      </c>
      <c r="D168">
        <v>55</v>
      </c>
      <c r="E168">
        <v>1</v>
      </c>
      <c r="F168" t="s">
        <v>229</v>
      </c>
      <c r="G168">
        <v>0</v>
      </c>
      <c r="H168" s="85">
        <f>0</f>
        <v>0</v>
      </c>
      <c r="I168">
        <v>77</v>
      </c>
    </row>
    <row r="169" spans="1:9" hidden="1" x14ac:dyDescent="0.25">
      <c r="A169" s="11" t="s">
        <v>50</v>
      </c>
      <c r="B169" s="22" t="s">
        <v>51</v>
      </c>
      <c r="C169" s="21" t="s">
        <v>33</v>
      </c>
      <c r="D169">
        <v>55</v>
      </c>
      <c r="E169">
        <v>1</v>
      </c>
      <c r="F169" t="s">
        <v>229</v>
      </c>
      <c r="G169">
        <v>0</v>
      </c>
      <c r="H169" s="85">
        <v>0</v>
      </c>
      <c r="I169">
        <v>77</v>
      </c>
    </row>
    <row r="170" spans="1:9" hidden="1" x14ac:dyDescent="0.25">
      <c r="A170" s="11" t="s">
        <v>50</v>
      </c>
      <c r="B170" s="22" t="s">
        <v>51</v>
      </c>
      <c r="C170" s="21" t="s">
        <v>33</v>
      </c>
      <c r="D170">
        <v>55</v>
      </c>
      <c r="E170">
        <v>1</v>
      </c>
      <c r="F170" t="s">
        <v>230</v>
      </c>
      <c r="G170">
        <v>0</v>
      </c>
      <c r="H170" s="85">
        <v>0</v>
      </c>
      <c r="I170">
        <v>77</v>
      </c>
    </row>
    <row r="171" spans="1:9" hidden="1" x14ac:dyDescent="0.25">
      <c r="A171" s="11" t="s">
        <v>50</v>
      </c>
      <c r="B171" s="22" t="s">
        <v>51</v>
      </c>
      <c r="C171" s="21" t="s">
        <v>33</v>
      </c>
      <c r="D171">
        <v>55</v>
      </c>
      <c r="E171">
        <v>1</v>
      </c>
      <c r="F171" t="s">
        <v>230</v>
      </c>
      <c r="G171">
        <v>0</v>
      </c>
      <c r="H171" s="85">
        <v>0</v>
      </c>
      <c r="I171">
        <v>77</v>
      </c>
    </row>
    <row r="172" spans="1:9" hidden="1" x14ac:dyDescent="0.25">
      <c r="A172" s="11" t="s">
        <v>61</v>
      </c>
      <c r="B172" s="12" t="s">
        <v>62</v>
      </c>
      <c r="C172" s="11" t="s">
        <v>33</v>
      </c>
      <c r="D172">
        <v>55</v>
      </c>
      <c r="E172">
        <v>1</v>
      </c>
      <c r="F172" t="s">
        <v>229</v>
      </c>
      <c r="G172">
        <v>0</v>
      </c>
      <c r="H172" s="85">
        <f>0</f>
        <v>0</v>
      </c>
      <c r="I172">
        <v>37</v>
      </c>
    </row>
    <row r="173" spans="1:9" hidden="1" x14ac:dyDescent="0.25">
      <c r="A173" s="11" t="s">
        <v>61</v>
      </c>
      <c r="B173" s="12" t="s">
        <v>62</v>
      </c>
      <c r="C173" s="11" t="s">
        <v>33</v>
      </c>
      <c r="D173">
        <v>55</v>
      </c>
      <c r="E173">
        <v>1</v>
      </c>
      <c r="F173" t="s">
        <v>229</v>
      </c>
      <c r="G173">
        <v>4</v>
      </c>
      <c r="H173" s="85">
        <v>0</v>
      </c>
      <c r="I173">
        <v>37</v>
      </c>
    </row>
    <row r="174" spans="1:9" hidden="1" x14ac:dyDescent="0.25">
      <c r="A174" s="11" t="s">
        <v>61</v>
      </c>
      <c r="B174" s="12" t="s">
        <v>62</v>
      </c>
      <c r="C174" s="11" t="s">
        <v>33</v>
      </c>
      <c r="D174">
        <v>55</v>
      </c>
      <c r="E174">
        <v>1</v>
      </c>
      <c r="F174" t="s">
        <v>229</v>
      </c>
      <c r="G174">
        <v>4</v>
      </c>
      <c r="H174" s="85">
        <v>0</v>
      </c>
      <c r="I174">
        <v>37</v>
      </c>
    </row>
    <row r="175" spans="1:9" hidden="1" x14ac:dyDescent="0.25">
      <c r="A175" s="11" t="s">
        <v>61</v>
      </c>
      <c r="B175" s="12" t="s">
        <v>62</v>
      </c>
      <c r="C175" s="11" t="s">
        <v>33</v>
      </c>
      <c r="D175">
        <v>37</v>
      </c>
      <c r="E175">
        <v>1</v>
      </c>
      <c r="F175" t="s">
        <v>229</v>
      </c>
      <c r="G175">
        <v>4</v>
      </c>
      <c r="H175" s="85">
        <f>78600000</f>
        <v>78600000</v>
      </c>
      <c r="I175">
        <v>37</v>
      </c>
    </row>
    <row r="176" spans="1:9" hidden="1" x14ac:dyDescent="0.25">
      <c r="A176" s="11" t="s">
        <v>61</v>
      </c>
      <c r="B176" s="12" t="s">
        <v>62</v>
      </c>
      <c r="C176" s="11" t="s">
        <v>33</v>
      </c>
      <c r="D176">
        <v>37</v>
      </c>
      <c r="E176">
        <v>1</v>
      </c>
      <c r="F176" t="s">
        <v>229</v>
      </c>
      <c r="G176">
        <v>4</v>
      </c>
      <c r="H176" s="85">
        <f>49100000</f>
        <v>49100000</v>
      </c>
      <c r="I176">
        <v>37</v>
      </c>
    </row>
    <row r="177" spans="1:9" hidden="1" x14ac:dyDescent="0.25">
      <c r="A177" s="11" t="s">
        <v>61</v>
      </c>
      <c r="B177" s="12" t="s">
        <v>62</v>
      </c>
      <c r="C177" s="11" t="s">
        <v>33</v>
      </c>
      <c r="D177">
        <v>32</v>
      </c>
      <c r="E177">
        <v>1</v>
      </c>
      <c r="F177" t="s">
        <v>229</v>
      </c>
      <c r="G177">
        <v>4</v>
      </c>
      <c r="H177" s="85">
        <f>65100000</f>
        <v>65100000</v>
      </c>
      <c r="I177">
        <v>37</v>
      </c>
    </row>
    <row r="178" spans="1:9" hidden="1" x14ac:dyDescent="0.25">
      <c r="A178" s="11" t="s">
        <v>61</v>
      </c>
      <c r="B178" s="12" t="s">
        <v>62</v>
      </c>
      <c r="C178" s="11" t="s">
        <v>33</v>
      </c>
      <c r="D178">
        <v>32</v>
      </c>
      <c r="E178">
        <v>1</v>
      </c>
      <c r="F178" t="s">
        <v>229</v>
      </c>
      <c r="G178">
        <v>4</v>
      </c>
      <c r="H178" s="85">
        <f>59200000</f>
        <v>59200000</v>
      </c>
      <c r="I178">
        <v>37</v>
      </c>
    </row>
    <row r="179" spans="1:9" hidden="1" x14ac:dyDescent="0.25">
      <c r="A179" s="11" t="s">
        <v>61</v>
      </c>
      <c r="B179" s="12" t="s">
        <v>62</v>
      </c>
      <c r="C179" s="11" t="s">
        <v>33</v>
      </c>
      <c r="D179">
        <v>21</v>
      </c>
      <c r="E179">
        <v>1</v>
      </c>
      <c r="F179" t="s">
        <v>229</v>
      </c>
      <c r="G179">
        <v>4</v>
      </c>
      <c r="H179" s="85">
        <f>29600000</f>
        <v>29600000</v>
      </c>
      <c r="I179">
        <v>37</v>
      </c>
    </row>
    <row r="180" spans="1:9" hidden="1" x14ac:dyDescent="0.25">
      <c r="A180" s="11" t="s">
        <v>61</v>
      </c>
      <c r="B180" s="12" t="s">
        <v>62</v>
      </c>
      <c r="C180" s="11" t="s">
        <v>33</v>
      </c>
      <c r="D180">
        <v>21</v>
      </c>
      <c r="E180">
        <v>1</v>
      </c>
      <c r="F180" t="s">
        <v>229</v>
      </c>
      <c r="G180">
        <v>4</v>
      </c>
      <c r="H180" s="85">
        <f>33500000</f>
        <v>33500000</v>
      </c>
      <c r="I180">
        <v>37</v>
      </c>
    </row>
    <row r="181" spans="1:9" hidden="1" x14ac:dyDescent="0.25">
      <c r="A181" s="11" t="s">
        <v>61</v>
      </c>
      <c r="B181" s="12" t="s">
        <v>62</v>
      </c>
      <c r="C181" s="11" t="s">
        <v>33</v>
      </c>
      <c r="D181">
        <v>55</v>
      </c>
      <c r="E181">
        <v>1</v>
      </c>
      <c r="F181" t="s">
        <v>230</v>
      </c>
      <c r="G181">
        <v>0</v>
      </c>
      <c r="H181" s="85">
        <v>0</v>
      </c>
      <c r="I181">
        <v>37</v>
      </c>
    </row>
    <row r="182" spans="1:9" hidden="1" x14ac:dyDescent="0.25">
      <c r="A182" s="11" t="s">
        <v>61</v>
      </c>
      <c r="B182" s="12" t="s">
        <v>62</v>
      </c>
      <c r="C182" s="11" t="s">
        <v>33</v>
      </c>
      <c r="D182">
        <v>55</v>
      </c>
      <c r="E182">
        <v>1</v>
      </c>
      <c r="F182" t="s">
        <v>230</v>
      </c>
      <c r="G182">
        <v>4</v>
      </c>
      <c r="H182" s="85">
        <v>0</v>
      </c>
      <c r="I182">
        <v>37</v>
      </c>
    </row>
    <row r="183" spans="1:9" hidden="1" x14ac:dyDescent="0.25">
      <c r="A183" s="11" t="s">
        <v>61</v>
      </c>
      <c r="B183" s="12" t="s">
        <v>62</v>
      </c>
      <c r="C183" s="11" t="s">
        <v>33</v>
      </c>
      <c r="D183">
        <v>55</v>
      </c>
      <c r="E183">
        <v>1</v>
      </c>
      <c r="F183" t="s">
        <v>230</v>
      </c>
      <c r="G183">
        <v>4</v>
      </c>
      <c r="H183" s="85">
        <v>0</v>
      </c>
      <c r="I183">
        <v>37</v>
      </c>
    </row>
    <row r="184" spans="1:9" hidden="1" x14ac:dyDescent="0.25">
      <c r="A184" s="11" t="s">
        <v>61</v>
      </c>
      <c r="B184" s="12" t="s">
        <v>62</v>
      </c>
      <c r="C184" s="11" t="s">
        <v>33</v>
      </c>
      <c r="D184">
        <v>37</v>
      </c>
      <c r="E184">
        <v>1</v>
      </c>
      <c r="F184" t="s">
        <v>230</v>
      </c>
      <c r="G184">
        <v>4</v>
      </c>
      <c r="H184" s="85">
        <f>75200000</f>
        <v>75200000</v>
      </c>
      <c r="I184">
        <v>37</v>
      </c>
    </row>
    <row r="185" spans="1:9" hidden="1" x14ac:dyDescent="0.25">
      <c r="A185" s="11" t="s">
        <v>61</v>
      </c>
      <c r="B185" s="12" t="s">
        <v>62</v>
      </c>
      <c r="C185" s="11" t="s">
        <v>33</v>
      </c>
      <c r="D185">
        <v>37</v>
      </c>
      <c r="E185">
        <v>1</v>
      </c>
      <c r="F185" t="s">
        <v>230</v>
      </c>
      <c r="G185">
        <v>4</v>
      </c>
      <c r="H185" s="85">
        <f>78800000</f>
        <v>78800000</v>
      </c>
      <c r="I185">
        <v>37</v>
      </c>
    </row>
    <row r="186" spans="1:9" hidden="1" x14ac:dyDescent="0.25">
      <c r="A186" s="11" t="s">
        <v>61</v>
      </c>
      <c r="B186" s="12" t="s">
        <v>62</v>
      </c>
      <c r="C186" s="11" t="s">
        <v>33</v>
      </c>
      <c r="D186">
        <v>32</v>
      </c>
      <c r="E186">
        <v>1</v>
      </c>
      <c r="F186" t="s">
        <v>230</v>
      </c>
      <c r="G186">
        <v>4</v>
      </c>
      <c r="H186" s="85">
        <f>89100000</f>
        <v>89100000</v>
      </c>
      <c r="I186">
        <v>37</v>
      </c>
    </row>
    <row r="187" spans="1:9" hidden="1" x14ac:dyDescent="0.25">
      <c r="A187" s="11" t="s">
        <v>61</v>
      </c>
      <c r="B187" s="12" t="s">
        <v>62</v>
      </c>
      <c r="C187" s="11" t="s">
        <v>33</v>
      </c>
      <c r="D187">
        <v>32</v>
      </c>
      <c r="E187">
        <v>1</v>
      </c>
      <c r="F187" t="s">
        <v>230</v>
      </c>
      <c r="G187">
        <v>4</v>
      </c>
      <c r="H187" s="85">
        <f>50000000</f>
        <v>50000000</v>
      </c>
      <c r="I187">
        <v>37</v>
      </c>
    </row>
    <row r="188" spans="1:9" hidden="1" x14ac:dyDescent="0.25">
      <c r="A188" s="11" t="s">
        <v>61</v>
      </c>
      <c r="B188" s="12" t="s">
        <v>62</v>
      </c>
      <c r="C188" s="11" t="s">
        <v>33</v>
      </c>
      <c r="D188">
        <v>21</v>
      </c>
      <c r="E188">
        <v>1</v>
      </c>
      <c r="F188" t="s">
        <v>230</v>
      </c>
      <c r="G188">
        <v>4</v>
      </c>
      <c r="H188" s="85">
        <f>63800000</f>
        <v>63800000</v>
      </c>
      <c r="I188">
        <v>37</v>
      </c>
    </row>
    <row r="189" spans="1:9" hidden="1" x14ac:dyDescent="0.25">
      <c r="A189" s="11" t="s">
        <v>61</v>
      </c>
      <c r="B189" s="12" t="s">
        <v>62</v>
      </c>
      <c r="C189" s="11" t="s">
        <v>33</v>
      </c>
      <c r="D189">
        <v>21</v>
      </c>
      <c r="E189">
        <v>1</v>
      </c>
      <c r="F189" t="s">
        <v>230</v>
      </c>
      <c r="G189">
        <v>4</v>
      </c>
      <c r="H189" s="85">
        <f>48000000</f>
        <v>48000000</v>
      </c>
      <c r="I189">
        <v>37</v>
      </c>
    </row>
    <row r="190" spans="1:9" hidden="1" x14ac:dyDescent="0.25">
      <c r="A190" s="11" t="s">
        <v>78</v>
      </c>
      <c r="B190" s="22" t="s">
        <v>79</v>
      </c>
      <c r="C190" s="21" t="s">
        <v>33</v>
      </c>
      <c r="D190">
        <v>21</v>
      </c>
      <c r="E190">
        <v>1</v>
      </c>
      <c r="F190" t="s">
        <v>229</v>
      </c>
      <c r="G190">
        <v>0</v>
      </c>
      <c r="H190" s="85">
        <f>76800</f>
        <v>76800</v>
      </c>
      <c r="I190">
        <v>63</v>
      </c>
    </row>
    <row r="191" spans="1:9" hidden="1" x14ac:dyDescent="0.25">
      <c r="A191" s="11" t="s">
        <v>78</v>
      </c>
      <c r="B191" s="22" t="s">
        <v>79</v>
      </c>
      <c r="C191" s="21" t="s">
        <v>33</v>
      </c>
      <c r="D191">
        <v>21</v>
      </c>
      <c r="E191">
        <v>1</v>
      </c>
      <c r="F191" t="s">
        <v>229</v>
      </c>
      <c r="G191">
        <v>0</v>
      </c>
      <c r="H191" s="85">
        <f>69500</f>
        <v>69500</v>
      </c>
      <c r="I191">
        <v>63</v>
      </c>
    </row>
    <row r="192" spans="1:9" hidden="1" x14ac:dyDescent="0.25">
      <c r="A192" s="11" t="s">
        <v>78</v>
      </c>
      <c r="B192" s="22" t="s">
        <v>79</v>
      </c>
      <c r="C192" s="21" t="s">
        <v>33</v>
      </c>
      <c r="D192">
        <v>21</v>
      </c>
      <c r="E192">
        <v>1</v>
      </c>
      <c r="F192" t="s">
        <v>230</v>
      </c>
      <c r="G192">
        <v>0</v>
      </c>
      <c r="H192" s="85">
        <f>119000</f>
        <v>119000</v>
      </c>
      <c r="I192">
        <v>63</v>
      </c>
    </row>
    <row r="193" spans="1:9" hidden="1" x14ac:dyDescent="0.25">
      <c r="A193" s="11" t="s">
        <v>78</v>
      </c>
      <c r="B193" s="22" t="s">
        <v>79</v>
      </c>
      <c r="C193" s="21" t="s">
        <v>33</v>
      </c>
      <c r="D193">
        <v>21</v>
      </c>
      <c r="E193">
        <v>1</v>
      </c>
      <c r="F193" t="s">
        <v>230</v>
      </c>
      <c r="G193">
        <v>0</v>
      </c>
      <c r="H193" s="85">
        <f>72900</f>
        <v>72900</v>
      </c>
      <c r="I193">
        <v>63</v>
      </c>
    </row>
    <row r="194" spans="1:9" hidden="1" x14ac:dyDescent="0.25">
      <c r="A194" s="11" t="s">
        <v>78</v>
      </c>
      <c r="B194" s="22" t="s">
        <v>79</v>
      </c>
      <c r="C194" s="21" t="s">
        <v>33</v>
      </c>
      <c r="D194">
        <v>32</v>
      </c>
      <c r="E194">
        <v>1</v>
      </c>
      <c r="F194" t="s">
        <v>229</v>
      </c>
      <c r="G194">
        <v>0</v>
      </c>
      <c r="H194" s="85">
        <f>240</f>
        <v>240</v>
      </c>
      <c r="I194">
        <v>63</v>
      </c>
    </row>
    <row r="195" spans="1:9" hidden="1" x14ac:dyDescent="0.25">
      <c r="A195" s="11" t="s">
        <v>78</v>
      </c>
      <c r="B195" s="22" t="s">
        <v>79</v>
      </c>
      <c r="C195" s="21" t="s">
        <v>33</v>
      </c>
      <c r="D195">
        <v>32</v>
      </c>
      <c r="E195">
        <v>1</v>
      </c>
      <c r="F195" t="s">
        <v>229</v>
      </c>
      <c r="G195">
        <v>0</v>
      </c>
      <c r="H195" s="85">
        <f>200</f>
        <v>200</v>
      </c>
      <c r="I195">
        <v>63</v>
      </c>
    </row>
    <row r="196" spans="1:9" hidden="1" x14ac:dyDescent="0.25">
      <c r="A196" s="11" t="s">
        <v>78</v>
      </c>
      <c r="B196" s="22" t="s">
        <v>79</v>
      </c>
      <c r="C196" s="21" t="s">
        <v>33</v>
      </c>
      <c r="D196">
        <v>32</v>
      </c>
      <c r="E196">
        <v>1</v>
      </c>
      <c r="F196" t="s">
        <v>230</v>
      </c>
      <c r="G196">
        <v>0</v>
      </c>
      <c r="H196" s="85">
        <f>220</f>
        <v>220</v>
      </c>
      <c r="I196">
        <v>63</v>
      </c>
    </row>
    <row r="197" spans="1:9" hidden="1" x14ac:dyDescent="0.25">
      <c r="A197" s="11" t="s">
        <v>78</v>
      </c>
      <c r="B197" s="22" t="s">
        <v>79</v>
      </c>
      <c r="C197" s="21" t="s">
        <v>33</v>
      </c>
      <c r="D197">
        <v>32</v>
      </c>
      <c r="E197">
        <v>1</v>
      </c>
      <c r="F197" t="s">
        <v>230</v>
      </c>
      <c r="G197">
        <v>0</v>
      </c>
      <c r="H197" s="85">
        <f>360</f>
        <v>360</v>
      </c>
      <c r="I197">
        <v>63</v>
      </c>
    </row>
    <row r="198" spans="1:9" hidden="1" x14ac:dyDescent="0.25">
      <c r="A198" s="11" t="s">
        <v>78</v>
      </c>
      <c r="B198" s="22" t="s">
        <v>79</v>
      </c>
      <c r="C198" s="21" t="s">
        <v>33</v>
      </c>
      <c r="D198">
        <v>21</v>
      </c>
      <c r="E198">
        <v>1</v>
      </c>
      <c r="F198" t="s">
        <v>229</v>
      </c>
      <c r="G198">
        <v>4</v>
      </c>
      <c r="H198" s="85">
        <f>4290000</f>
        <v>4290000</v>
      </c>
      <c r="I198">
        <v>52</v>
      </c>
    </row>
    <row r="199" spans="1:9" hidden="1" x14ac:dyDescent="0.25">
      <c r="A199" s="11" t="s">
        <v>78</v>
      </c>
      <c r="B199" s="22" t="s">
        <v>79</v>
      </c>
      <c r="C199" s="21" t="s">
        <v>33</v>
      </c>
      <c r="D199">
        <v>21</v>
      </c>
      <c r="E199">
        <v>1</v>
      </c>
      <c r="F199" t="s">
        <v>229</v>
      </c>
      <c r="G199">
        <v>4</v>
      </c>
      <c r="H199" s="85">
        <f>3270000</f>
        <v>3270000</v>
      </c>
      <c r="I199">
        <v>52</v>
      </c>
    </row>
    <row r="200" spans="1:9" hidden="1" x14ac:dyDescent="0.25">
      <c r="A200" s="11" t="s">
        <v>78</v>
      </c>
      <c r="B200" s="22" t="s">
        <v>79</v>
      </c>
      <c r="C200" s="21" t="s">
        <v>33</v>
      </c>
      <c r="D200">
        <v>21</v>
      </c>
      <c r="E200">
        <v>1</v>
      </c>
      <c r="F200" t="s">
        <v>230</v>
      </c>
      <c r="G200">
        <v>4</v>
      </c>
      <c r="H200" s="85">
        <f>30700000</f>
        <v>30700000</v>
      </c>
      <c r="I200">
        <v>52</v>
      </c>
    </row>
    <row r="201" spans="1:9" hidden="1" x14ac:dyDescent="0.25">
      <c r="A201" s="11" t="s">
        <v>78</v>
      </c>
      <c r="B201" s="22" t="s">
        <v>79</v>
      </c>
      <c r="C201" s="21" t="s">
        <v>33</v>
      </c>
      <c r="D201">
        <v>21</v>
      </c>
      <c r="E201">
        <v>1</v>
      </c>
      <c r="F201" t="s">
        <v>230</v>
      </c>
      <c r="G201">
        <v>4</v>
      </c>
      <c r="H201" s="85">
        <f>23300000</f>
        <v>23300000</v>
      </c>
      <c r="I201">
        <v>52</v>
      </c>
    </row>
    <row r="202" spans="1:9" hidden="1" x14ac:dyDescent="0.25">
      <c r="A202" s="11" t="s">
        <v>78</v>
      </c>
      <c r="B202" s="22" t="s">
        <v>79</v>
      </c>
      <c r="C202" s="21" t="s">
        <v>33</v>
      </c>
      <c r="D202">
        <v>21</v>
      </c>
      <c r="E202">
        <v>1</v>
      </c>
      <c r="F202" t="s">
        <v>230</v>
      </c>
      <c r="G202">
        <v>0</v>
      </c>
      <c r="H202" s="85">
        <f>27100</f>
        <v>27100</v>
      </c>
      <c r="I202">
        <v>48</v>
      </c>
    </row>
    <row r="203" spans="1:9" hidden="1" x14ac:dyDescent="0.25">
      <c r="A203" s="11" t="s">
        <v>78</v>
      </c>
      <c r="B203" s="22" t="s">
        <v>79</v>
      </c>
      <c r="C203" s="21" t="s">
        <v>33</v>
      </c>
      <c r="D203">
        <v>21</v>
      </c>
      <c r="E203">
        <v>1</v>
      </c>
      <c r="F203" t="s">
        <v>230</v>
      </c>
      <c r="G203">
        <v>0</v>
      </c>
      <c r="H203" s="85">
        <f>30100</f>
        <v>30100</v>
      </c>
      <c r="I203">
        <v>48</v>
      </c>
    </row>
    <row r="204" spans="1:9" hidden="1" x14ac:dyDescent="0.25">
      <c r="A204" s="11" t="s">
        <v>78</v>
      </c>
      <c r="B204" s="22" t="s">
        <v>79</v>
      </c>
      <c r="C204" s="21" t="s">
        <v>33</v>
      </c>
      <c r="D204">
        <v>32</v>
      </c>
      <c r="E204">
        <v>1</v>
      </c>
      <c r="F204" t="s">
        <v>229</v>
      </c>
      <c r="G204">
        <v>0</v>
      </c>
      <c r="H204" s="85">
        <v>0</v>
      </c>
      <c r="I204">
        <v>48</v>
      </c>
    </row>
    <row r="205" spans="1:9" hidden="1" x14ac:dyDescent="0.25">
      <c r="A205" s="11" t="s">
        <v>78</v>
      </c>
      <c r="B205" s="22" t="s">
        <v>79</v>
      </c>
      <c r="C205" s="21" t="s">
        <v>33</v>
      </c>
      <c r="D205">
        <v>32</v>
      </c>
      <c r="E205">
        <v>1</v>
      </c>
      <c r="F205" t="s">
        <v>229</v>
      </c>
      <c r="G205">
        <v>0</v>
      </c>
      <c r="H205" s="85">
        <v>0</v>
      </c>
      <c r="I205">
        <v>48</v>
      </c>
    </row>
    <row r="206" spans="1:9" hidden="1" x14ac:dyDescent="0.25">
      <c r="A206" s="11" t="s">
        <v>78</v>
      </c>
      <c r="B206" s="22" t="s">
        <v>79</v>
      </c>
      <c r="C206" s="21" t="s">
        <v>33</v>
      </c>
      <c r="D206">
        <v>32</v>
      </c>
      <c r="E206">
        <v>1</v>
      </c>
      <c r="F206" t="s">
        <v>229</v>
      </c>
      <c r="G206">
        <v>4</v>
      </c>
      <c r="H206" s="85">
        <v>0</v>
      </c>
      <c r="I206">
        <v>48</v>
      </c>
    </row>
    <row r="207" spans="1:9" hidden="1" x14ac:dyDescent="0.25">
      <c r="A207" s="11" t="s">
        <v>78</v>
      </c>
      <c r="B207" s="22" t="s">
        <v>79</v>
      </c>
      <c r="C207" s="21" t="s">
        <v>33</v>
      </c>
      <c r="D207">
        <v>32</v>
      </c>
      <c r="E207">
        <v>1</v>
      </c>
      <c r="F207" t="s">
        <v>229</v>
      </c>
      <c r="G207">
        <v>4</v>
      </c>
      <c r="H207" s="85">
        <v>0</v>
      </c>
      <c r="I207">
        <v>48</v>
      </c>
    </row>
    <row r="208" spans="1:9" hidden="1" x14ac:dyDescent="0.25">
      <c r="A208" s="11" t="s">
        <v>78</v>
      </c>
      <c r="B208" s="22" t="s">
        <v>79</v>
      </c>
      <c r="C208" s="21" t="s">
        <v>33</v>
      </c>
      <c r="D208">
        <v>32</v>
      </c>
      <c r="E208">
        <v>1</v>
      </c>
      <c r="F208" t="s">
        <v>230</v>
      </c>
      <c r="G208">
        <v>0</v>
      </c>
      <c r="H208" s="85">
        <v>0</v>
      </c>
      <c r="I208">
        <v>48</v>
      </c>
    </row>
    <row r="209" spans="1:9" hidden="1" x14ac:dyDescent="0.25">
      <c r="A209" s="11" t="s">
        <v>78</v>
      </c>
      <c r="B209" s="22" t="s">
        <v>79</v>
      </c>
      <c r="C209" s="21" t="s">
        <v>33</v>
      </c>
      <c r="D209">
        <v>32</v>
      </c>
      <c r="E209">
        <v>1</v>
      </c>
      <c r="F209" t="s">
        <v>230</v>
      </c>
      <c r="G209">
        <v>0</v>
      </c>
      <c r="H209" s="85">
        <v>0</v>
      </c>
      <c r="I209">
        <v>48</v>
      </c>
    </row>
    <row r="210" spans="1:9" hidden="1" x14ac:dyDescent="0.25">
      <c r="A210" s="11" t="s">
        <v>78</v>
      </c>
      <c r="B210" s="22" t="s">
        <v>79</v>
      </c>
      <c r="C210" s="21" t="s">
        <v>33</v>
      </c>
      <c r="D210">
        <v>32</v>
      </c>
      <c r="E210">
        <v>1</v>
      </c>
      <c r="F210" t="s">
        <v>230</v>
      </c>
      <c r="G210">
        <v>4</v>
      </c>
      <c r="H210" s="85">
        <v>0</v>
      </c>
      <c r="I210">
        <v>48</v>
      </c>
    </row>
    <row r="211" spans="1:9" hidden="1" x14ac:dyDescent="0.25">
      <c r="A211" s="11" t="s">
        <v>78</v>
      </c>
      <c r="B211" s="22" t="s">
        <v>79</v>
      </c>
      <c r="C211" s="21" t="s">
        <v>33</v>
      </c>
      <c r="D211">
        <v>32</v>
      </c>
      <c r="E211">
        <v>1</v>
      </c>
      <c r="F211" t="s">
        <v>230</v>
      </c>
      <c r="G211">
        <v>4</v>
      </c>
      <c r="H211" s="85">
        <v>0</v>
      </c>
      <c r="I211">
        <v>48</v>
      </c>
    </row>
    <row r="212" spans="1:9" x14ac:dyDescent="0.25">
      <c r="A212" s="11" t="s">
        <v>78</v>
      </c>
      <c r="B212" s="22" t="s">
        <v>79</v>
      </c>
      <c r="C212" s="21" t="s">
        <v>33</v>
      </c>
      <c r="D212">
        <v>6</v>
      </c>
      <c r="E212">
        <v>14</v>
      </c>
      <c r="F212" t="s">
        <v>229</v>
      </c>
      <c r="G212">
        <v>4</v>
      </c>
      <c r="H212" s="85">
        <f>148000000</f>
        <v>148000000</v>
      </c>
      <c r="I212">
        <v>75</v>
      </c>
    </row>
    <row r="213" spans="1:9" x14ac:dyDescent="0.25">
      <c r="A213" s="11" t="s">
        <v>78</v>
      </c>
      <c r="B213" s="22" t="s">
        <v>79</v>
      </c>
      <c r="C213" s="21" t="s">
        <v>33</v>
      </c>
      <c r="D213">
        <v>6</v>
      </c>
      <c r="E213">
        <v>14</v>
      </c>
      <c r="F213" t="s">
        <v>229</v>
      </c>
      <c r="G213">
        <v>4</v>
      </c>
      <c r="H213" s="85">
        <f>74200000</f>
        <v>74200000</v>
      </c>
      <c r="I213">
        <v>75</v>
      </c>
    </row>
    <row r="214" spans="1:9" x14ac:dyDescent="0.25">
      <c r="A214" s="11" t="s">
        <v>78</v>
      </c>
      <c r="B214" s="22" t="s">
        <v>79</v>
      </c>
      <c r="C214" s="21" t="s">
        <v>33</v>
      </c>
      <c r="D214">
        <v>6</v>
      </c>
      <c r="E214">
        <v>14</v>
      </c>
      <c r="F214" t="s">
        <v>230</v>
      </c>
      <c r="G214">
        <v>4</v>
      </c>
      <c r="H214" s="85">
        <f>123000000</f>
        <v>123000000</v>
      </c>
      <c r="I214">
        <v>75</v>
      </c>
    </row>
    <row r="215" spans="1:9" x14ac:dyDescent="0.25">
      <c r="A215" s="11" t="s">
        <v>78</v>
      </c>
      <c r="B215" s="22" t="s">
        <v>79</v>
      </c>
      <c r="C215" s="21" t="s">
        <v>33</v>
      </c>
      <c r="D215">
        <v>6</v>
      </c>
      <c r="E215">
        <v>14</v>
      </c>
      <c r="F215" t="s">
        <v>230</v>
      </c>
      <c r="G215">
        <v>4</v>
      </c>
      <c r="H215" s="85">
        <f>214000000</f>
        <v>214000000</v>
      </c>
      <c r="I215">
        <v>75</v>
      </c>
    </row>
    <row r="216" spans="1:9" x14ac:dyDescent="0.25">
      <c r="A216" s="11" t="s">
        <v>78</v>
      </c>
      <c r="B216" s="22" t="s">
        <v>79</v>
      </c>
      <c r="C216" s="21" t="s">
        <v>33</v>
      </c>
      <c r="D216">
        <v>6</v>
      </c>
      <c r="E216">
        <v>14</v>
      </c>
      <c r="F216" t="s">
        <v>229</v>
      </c>
      <c r="G216">
        <v>4</v>
      </c>
      <c r="H216" s="85">
        <f>100000000</f>
        <v>100000000</v>
      </c>
      <c r="I216">
        <v>53</v>
      </c>
    </row>
    <row r="217" spans="1:9" x14ac:dyDescent="0.25">
      <c r="A217" s="11" t="s">
        <v>78</v>
      </c>
      <c r="B217" s="22" t="s">
        <v>79</v>
      </c>
      <c r="C217" s="21" t="s">
        <v>33</v>
      </c>
      <c r="D217">
        <v>6</v>
      </c>
      <c r="E217">
        <v>14</v>
      </c>
      <c r="F217" t="s">
        <v>229</v>
      </c>
      <c r="G217">
        <v>4</v>
      </c>
      <c r="H217" s="85">
        <f>58900000</f>
        <v>58900000</v>
      </c>
      <c r="I217">
        <v>53</v>
      </c>
    </row>
    <row r="218" spans="1:9" x14ac:dyDescent="0.25">
      <c r="A218" s="11" t="s">
        <v>78</v>
      </c>
      <c r="B218" s="22" t="s">
        <v>79</v>
      </c>
      <c r="C218" s="21" t="s">
        <v>33</v>
      </c>
      <c r="D218">
        <v>6</v>
      </c>
      <c r="E218">
        <v>14</v>
      </c>
      <c r="F218" t="s">
        <v>230</v>
      </c>
      <c r="G218">
        <v>4</v>
      </c>
      <c r="H218" s="85">
        <f>41900000</f>
        <v>41900000</v>
      </c>
      <c r="I218">
        <v>53</v>
      </c>
    </row>
    <row r="219" spans="1:9" x14ac:dyDescent="0.25">
      <c r="A219" s="11" t="s">
        <v>78</v>
      </c>
      <c r="B219" s="22" t="s">
        <v>79</v>
      </c>
      <c r="C219" s="21" t="s">
        <v>33</v>
      </c>
      <c r="D219">
        <v>6</v>
      </c>
      <c r="E219">
        <v>14</v>
      </c>
      <c r="F219" t="s">
        <v>230</v>
      </c>
      <c r="G219">
        <v>4</v>
      </c>
      <c r="H219" s="85">
        <f>58900000</f>
        <v>58900000</v>
      </c>
      <c r="I219">
        <v>53</v>
      </c>
    </row>
    <row r="220" spans="1:9" x14ac:dyDescent="0.25">
      <c r="A220" s="11" t="s">
        <v>78</v>
      </c>
      <c r="B220" s="22" t="s">
        <v>79</v>
      </c>
      <c r="C220" s="21" t="s">
        <v>33</v>
      </c>
      <c r="D220">
        <v>6</v>
      </c>
      <c r="E220">
        <v>14</v>
      </c>
      <c r="F220" t="s">
        <v>229</v>
      </c>
      <c r="G220">
        <v>4</v>
      </c>
      <c r="H220" s="85">
        <f>50100000</f>
        <v>50100000</v>
      </c>
      <c r="I220">
        <v>48</v>
      </c>
    </row>
    <row r="221" spans="1:9" x14ac:dyDescent="0.25">
      <c r="A221" s="11" t="s">
        <v>78</v>
      </c>
      <c r="B221" s="22" t="s">
        <v>79</v>
      </c>
      <c r="C221" s="21" t="s">
        <v>33</v>
      </c>
      <c r="D221">
        <v>6</v>
      </c>
      <c r="E221">
        <v>14</v>
      </c>
      <c r="F221" t="s">
        <v>229</v>
      </c>
      <c r="G221">
        <v>4</v>
      </c>
      <c r="H221" s="85">
        <f>41500000</f>
        <v>41500000</v>
      </c>
      <c r="I221">
        <v>48</v>
      </c>
    </row>
    <row r="222" spans="1:9" x14ac:dyDescent="0.25">
      <c r="A222" s="11" t="s">
        <v>78</v>
      </c>
      <c r="B222" s="22" t="s">
        <v>79</v>
      </c>
      <c r="C222" s="21" t="s">
        <v>33</v>
      </c>
      <c r="D222">
        <v>6</v>
      </c>
      <c r="E222">
        <v>21</v>
      </c>
      <c r="F222" t="s">
        <v>229</v>
      </c>
      <c r="G222">
        <v>5</v>
      </c>
      <c r="H222" s="85">
        <f>331000000</f>
        <v>331000000</v>
      </c>
      <c r="I222">
        <v>78</v>
      </c>
    </row>
    <row r="223" spans="1:9" x14ac:dyDescent="0.25">
      <c r="A223" s="11" t="s">
        <v>78</v>
      </c>
      <c r="B223" s="22" t="s">
        <v>79</v>
      </c>
      <c r="C223" s="21" t="s">
        <v>33</v>
      </c>
      <c r="D223">
        <v>6</v>
      </c>
      <c r="E223">
        <v>21</v>
      </c>
      <c r="F223" t="s">
        <v>229</v>
      </c>
      <c r="G223">
        <v>5</v>
      </c>
      <c r="H223" s="85">
        <f>313000000</f>
        <v>313000000</v>
      </c>
      <c r="I223">
        <v>78</v>
      </c>
    </row>
    <row r="224" spans="1:9" x14ac:dyDescent="0.25">
      <c r="A224" s="11" t="s">
        <v>78</v>
      </c>
      <c r="B224" s="22" t="s">
        <v>79</v>
      </c>
      <c r="C224" s="21" t="s">
        <v>33</v>
      </c>
      <c r="D224">
        <v>6</v>
      </c>
      <c r="E224">
        <v>21</v>
      </c>
      <c r="F224" t="s">
        <v>230</v>
      </c>
      <c r="G224">
        <v>5</v>
      </c>
      <c r="H224" s="85">
        <f>689000000</f>
        <v>689000000</v>
      </c>
      <c r="I224">
        <v>78</v>
      </c>
    </row>
    <row r="225" spans="1:9" x14ac:dyDescent="0.25">
      <c r="A225" s="11" t="s">
        <v>78</v>
      </c>
      <c r="B225" s="22" t="s">
        <v>79</v>
      </c>
      <c r="C225" s="21" t="s">
        <v>33</v>
      </c>
      <c r="D225">
        <v>6</v>
      </c>
      <c r="E225">
        <v>21</v>
      </c>
      <c r="F225" t="s">
        <v>230</v>
      </c>
      <c r="G225">
        <v>5</v>
      </c>
      <c r="H225" s="85">
        <f>594000000</f>
        <v>594000000</v>
      </c>
      <c r="I225">
        <v>78</v>
      </c>
    </row>
    <row r="226" spans="1:9" x14ac:dyDescent="0.25">
      <c r="A226" s="11" t="s">
        <v>78</v>
      </c>
      <c r="B226" s="22" t="s">
        <v>79</v>
      </c>
      <c r="C226" s="21" t="s">
        <v>33</v>
      </c>
      <c r="D226">
        <v>6</v>
      </c>
      <c r="E226">
        <v>21</v>
      </c>
      <c r="F226" t="s">
        <v>229</v>
      </c>
      <c r="G226">
        <v>4</v>
      </c>
      <c r="H226" s="85">
        <f>679000000</f>
        <v>679000000</v>
      </c>
      <c r="I226">
        <v>60</v>
      </c>
    </row>
    <row r="227" spans="1:9" x14ac:dyDescent="0.25">
      <c r="A227" s="11" t="s">
        <v>78</v>
      </c>
      <c r="B227" s="22" t="s">
        <v>79</v>
      </c>
      <c r="C227" s="21" t="s">
        <v>33</v>
      </c>
      <c r="D227">
        <v>6</v>
      </c>
      <c r="E227">
        <v>21</v>
      </c>
      <c r="F227" t="s">
        <v>229</v>
      </c>
      <c r="G227">
        <v>4</v>
      </c>
      <c r="H227" s="85">
        <f>625000000</f>
        <v>625000000</v>
      </c>
      <c r="I227">
        <v>60</v>
      </c>
    </row>
    <row r="228" spans="1:9" x14ac:dyDescent="0.25">
      <c r="A228" s="11" t="s">
        <v>78</v>
      </c>
      <c r="B228" s="22" t="s">
        <v>79</v>
      </c>
      <c r="C228" s="21" t="s">
        <v>33</v>
      </c>
      <c r="D228">
        <v>6</v>
      </c>
      <c r="E228">
        <v>21</v>
      </c>
      <c r="F228" t="s">
        <v>230</v>
      </c>
      <c r="G228">
        <v>4</v>
      </c>
      <c r="H228" s="85">
        <f>443000000</f>
        <v>443000000</v>
      </c>
      <c r="I228">
        <v>60</v>
      </c>
    </row>
    <row r="229" spans="1:9" x14ac:dyDescent="0.25">
      <c r="A229" s="11" t="s">
        <v>78</v>
      </c>
      <c r="B229" s="22" t="s">
        <v>79</v>
      </c>
      <c r="C229" s="21" t="s">
        <v>33</v>
      </c>
      <c r="D229">
        <v>6</v>
      </c>
      <c r="E229">
        <v>21</v>
      </c>
      <c r="F229" t="s">
        <v>230</v>
      </c>
      <c r="G229">
        <v>4</v>
      </c>
      <c r="H229" s="85">
        <f>247000000</f>
        <v>247000000</v>
      </c>
      <c r="I229">
        <v>60</v>
      </c>
    </row>
    <row r="230" spans="1:9" x14ac:dyDescent="0.25">
      <c r="A230" s="11" t="s">
        <v>61</v>
      </c>
      <c r="B230" s="12" t="s">
        <v>62</v>
      </c>
      <c r="C230" s="11" t="s">
        <v>33</v>
      </c>
      <c r="D230">
        <v>6</v>
      </c>
      <c r="E230">
        <v>0</v>
      </c>
      <c r="F230" t="s">
        <v>229</v>
      </c>
      <c r="G230">
        <v>0</v>
      </c>
      <c r="H230" s="85">
        <f>1540</f>
        <v>1540</v>
      </c>
      <c r="I230">
        <v>36</v>
      </c>
    </row>
    <row r="231" spans="1:9" x14ac:dyDescent="0.25">
      <c r="A231" s="11" t="s">
        <v>61</v>
      </c>
      <c r="B231" s="12" t="s">
        <v>62</v>
      </c>
      <c r="C231" s="11" t="s">
        <v>33</v>
      </c>
      <c r="D231">
        <v>6</v>
      </c>
      <c r="E231">
        <v>0</v>
      </c>
      <c r="F231" t="s">
        <v>229</v>
      </c>
      <c r="G231">
        <v>0</v>
      </c>
      <c r="H231" s="85">
        <f>1230</f>
        <v>1230</v>
      </c>
      <c r="I231">
        <v>36</v>
      </c>
    </row>
    <row r="232" spans="1:9" hidden="1" x14ac:dyDescent="0.25">
      <c r="A232" s="11" t="s">
        <v>61</v>
      </c>
      <c r="B232" s="12" t="s">
        <v>62</v>
      </c>
      <c r="C232" s="11" t="s">
        <v>33</v>
      </c>
      <c r="D232" t="s">
        <v>239</v>
      </c>
      <c r="E232">
        <v>14</v>
      </c>
      <c r="F232" t="s">
        <v>229</v>
      </c>
      <c r="G232">
        <v>0</v>
      </c>
      <c r="H232" s="85">
        <f>184</f>
        <v>184</v>
      </c>
      <c r="I232">
        <v>46</v>
      </c>
    </row>
    <row r="233" spans="1:9" hidden="1" x14ac:dyDescent="0.25">
      <c r="A233" s="11" t="s">
        <v>61</v>
      </c>
      <c r="B233" s="12" t="s">
        <v>62</v>
      </c>
      <c r="C233" s="11" t="s">
        <v>33</v>
      </c>
      <c r="D233" t="s">
        <v>239</v>
      </c>
      <c r="E233">
        <v>14</v>
      </c>
      <c r="F233" t="s">
        <v>229</v>
      </c>
      <c r="G233">
        <v>0</v>
      </c>
      <c r="H233" s="85">
        <f>152</f>
        <v>152</v>
      </c>
      <c r="I233">
        <v>46</v>
      </c>
    </row>
    <row r="234" spans="1:9" hidden="1" x14ac:dyDescent="0.25">
      <c r="A234" s="11" t="s">
        <v>61</v>
      </c>
      <c r="B234" s="12" t="s">
        <v>62</v>
      </c>
      <c r="C234" s="11" t="s">
        <v>33</v>
      </c>
      <c r="D234" t="s">
        <v>239</v>
      </c>
      <c r="E234">
        <v>14</v>
      </c>
      <c r="F234" t="s">
        <v>230</v>
      </c>
      <c r="G234">
        <v>0</v>
      </c>
      <c r="H234" s="85">
        <f>12</f>
        <v>12</v>
      </c>
      <c r="I234">
        <v>46</v>
      </c>
    </row>
    <row r="235" spans="1:9" hidden="1" x14ac:dyDescent="0.25">
      <c r="A235" s="11" t="s">
        <v>61</v>
      </c>
      <c r="B235" s="12" t="s">
        <v>62</v>
      </c>
      <c r="C235" s="11" t="s">
        <v>33</v>
      </c>
      <c r="D235" t="s">
        <v>239</v>
      </c>
      <c r="E235">
        <v>14</v>
      </c>
      <c r="F235" t="s">
        <v>230</v>
      </c>
      <c r="G235">
        <v>0</v>
      </c>
      <c r="H235" s="85">
        <f>16</f>
        <v>16</v>
      </c>
      <c r="I235">
        <v>46</v>
      </c>
    </row>
    <row r="236" spans="1:9" x14ac:dyDescent="0.25">
      <c r="A236" s="11" t="s">
        <v>61</v>
      </c>
      <c r="B236" s="12" t="s">
        <v>62</v>
      </c>
      <c r="C236" s="11" t="s">
        <v>33</v>
      </c>
      <c r="D236">
        <v>6</v>
      </c>
      <c r="E236">
        <v>0</v>
      </c>
      <c r="F236" t="s">
        <v>230</v>
      </c>
      <c r="G236">
        <v>0</v>
      </c>
      <c r="H236" s="85">
        <f>634</f>
        <v>634</v>
      </c>
      <c r="I236">
        <v>36</v>
      </c>
    </row>
    <row r="237" spans="1:9" x14ac:dyDescent="0.25">
      <c r="A237" s="11" t="s">
        <v>61</v>
      </c>
      <c r="B237" s="12" t="s">
        <v>62</v>
      </c>
      <c r="C237" s="11" t="s">
        <v>33</v>
      </c>
      <c r="D237">
        <v>6</v>
      </c>
      <c r="E237">
        <v>0</v>
      </c>
      <c r="F237" t="s">
        <v>230</v>
      </c>
      <c r="G237">
        <v>0</v>
      </c>
      <c r="H237" s="85">
        <f>458</f>
        <v>458</v>
      </c>
      <c r="I237">
        <v>36</v>
      </c>
    </row>
    <row r="238" spans="1:9" x14ac:dyDescent="0.25">
      <c r="A238" s="11" t="s">
        <v>61</v>
      </c>
      <c r="B238" s="12" t="s">
        <v>62</v>
      </c>
      <c r="C238" s="11" t="s">
        <v>33</v>
      </c>
      <c r="D238">
        <v>6</v>
      </c>
      <c r="E238">
        <v>21</v>
      </c>
      <c r="F238" t="s">
        <v>229</v>
      </c>
      <c r="G238">
        <v>0</v>
      </c>
      <c r="H238" s="85">
        <f>81.8</f>
        <v>81.8</v>
      </c>
      <c r="I238">
        <v>49</v>
      </c>
    </row>
    <row r="239" spans="1:9" x14ac:dyDescent="0.25">
      <c r="A239" s="11" t="s">
        <v>61</v>
      </c>
      <c r="B239" s="12" t="s">
        <v>62</v>
      </c>
      <c r="C239" s="11" t="s">
        <v>33</v>
      </c>
      <c r="D239">
        <v>6</v>
      </c>
      <c r="E239">
        <v>21</v>
      </c>
      <c r="F239" t="s">
        <v>229</v>
      </c>
      <c r="G239">
        <v>0</v>
      </c>
      <c r="H239" s="85">
        <f>61.3</f>
        <v>61.3</v>
      </c>
      <c r="I239">
        <v>49</v>
      </c>
    </row>
    <row r="240" spans="1:9" x14ac:dyDescent="0.25">
      <c r="A240" s="11" t="s">
        <v>61</v>
      </c>
      <c r="B240" s="12" t="s">
        <v>62</v>
      </c>
      <c r="C240" s="11" t="s">
        <v>33</v>
      </c>
      <c r="D240">
        <v>6</v>
      </c>
      <c r="E240">
        <v>21</v>
      </c>
      <c r="F240" t="s">
        <v>230</v>
      </c>
      <c r="G240">
        <v>0</v>
      </c>
      <c r="H240" s="85">
        <f>20.4</f>
        <v>20.399999999999999</v>
      </c>
      <c r="I240">
        <v>49</v>
      </c>
    </row>
    <row r="241" spans="1:9" x14ac:dyDescent="0.25">
      <c r="A241" s="11" t="s">
        <v>61</v>
      </c>
      <c r="B241" s="12" t="s">
        <v>62</v>
      </c>
      <c r="C241" s="11" t="s">
        <v>33</v>
      </c>
      <c r="D241">
        <v>6</v>
      </c>
      <c r="E241">
        <v>21</v>
      </c>
      <c r="F241" t="s">
        <v>230</v>
      </c>
      <c r="G241">
        <v>0</v>
      </c>
      <c r="H241" s="85">
        <f>20.4</f>
        <v>20.399999999999999</v>
      </c>
      <c r="I241">
        <v>49</v>
      </c>
    </row>
    <row r="242" spans="1:9" x14ac:dyDescent="0.25">
      <c r="A242" s="11" t="s">
        <v>66</v>
      </c>
      <c r="B242" s="22" t="s">
        <v>67</v>
      </c>
      <c r="C242" s="12" t="s">
        <v>68</v>
      </c>
      <c r="D242">
        <v>6</v>
      </c>
      <c r="E242">
        <v>0</v>
      </c>
      <c r="F242" t="s">
        <v>229</v>
      </c>
      <c r="G242">
        <v>0</v>
      </c>
      <c r="H242" s="85">
        <f>204</f>
        <v>204</v>
      </c>
      <c r="I242">
        <v>46</v>
      </c>
    </row>
    <row r="243" spans="1:9" x14ac:dyDescent="0.25">
      <c r="A243" s="11" t="s">
        <v>66</v>
      </c>
      <c r="B243" s="22" t="s">
        <v>67</v>
      </c>
      <c r="C243" s="12" t="s">
        <v>68</v>
      </c>
      <c r="D243">
        <v>6</v>
      </c>
      <c r="E243">
        <v>0</v>
      </c>
      <c r="F243" t="s">
        <v>229</v>
      </c>
      <c r="G243">
        <v>0</v>
      </c>
      <c r="H243" s="85">
        <f>252</f>
        <v>252</v>
      </c>
      <c r="I243">
        <v>46</v>
      </c>
    </row>
    <row r="244" spans="1:9" x14ac:dyDescent="0.25">
      <c r="A244" s="11" t="s">
        <v>66</v>
      </c>
      <c r="B244" s="22" t="s">
        <v>67</v>
      </c>
      <c r="C244" s="12" t="s">
        <v>68</v>
      </c>
      <c r="D244">
        <v>6</v>
      </c>
      <c r="E244">
        <v>0</v>
      </c>
      <c r="F244" t="s">
        <v>230</v>
      </c>
      <c r="G244">
        <v>0</v>
      </c>
      <c r="H244" s="85">
        <f>184</f>
        <v>184</v>
      </c>
      <c r="I244">
        <v>46</v>
      </c>
    </row>
    <row r="245" spans="1:9" x14ac:dyDescent="0.25">
      <c r="A245" s="11" t="s">
        <v>66</v>
      </c>
      <c r="B245" s="22" t="s">
        <v>67</v>
      </c>
      <c r="C245" s="12" t="s">
        <v>68</v>
      </c>
      <c r="D245">
        <v>6</v>
      </c>
      <c r="E245">
        <v>0</v>
      </c>
      <c r="F245" t="s">
        <v>230</v>
      </c>
      <c r="G245">
        <v>0</v>
      </c>
      <c r="H245" s="85">
        <f>184</f>
        <v>184</v>
      </c>
      <c r="I245">
        <v>46</v>
      </c>
    </row>
    <row r="246" spans="1:9" x14ac:dyDescent="0.25">
      <c r="A246" s="11" t="s">
        <v>66</v>
      </c>
      <c r="B246" s="22" t="s">
        <v>67</v>
      </c>
      <c r="C246" s="12" t="s">
        <v>68</v>
      </c>
      <c r="D246">
        <v>6</v>
      </c>
      <c r="E246">
        <v>14</v>
      </c>
      <c r="F246" t="s">
        <v>229</v>
      </c>
      <c r="G246">
        <v>4</v>
      </c>
      <c r="H246" s="85">
        <f>12100000</f>
        <v>12100000</v>
      </c>
      <c r="I246">
        <v>53</v>
      </c>
    </row>
    <row r="247" spans="1:9" x14ac:dyDescent="0.25">
      <c r="A247" s="11" t="s">
        <v>66</v>
      </c>
      <c r="B247" s="22" t="s">
        <v>67</v>
      </c>
      <c r="C247" s="12" t="s">
        <v>68</v>
      </c>
      <c r="D247">
        <v>6</v>
      </c>
      <c r="E247">
        <v>14</v>
      </c>
      <c r="F247" t="s">
        <v>229</v>
      </c>
      <c r="G247">
        <v>4</v>
      </c>
      <c r="H247" s="85">
        <f>14700000</f>
        <v>14700000</v>
      </c>
      <c r="I247">
        <v>53</v>
      </c>
    </row>
    <row r="248" spans="1:9" x14ac:dyDescent="0.25">
      <c r="A248" s="11" t="s">
        <v>66</v>
      </c>
      <c r="B248" s="22" t="s">
        <v>67</v>
      </c>
      <c r="C248" s="12" t="s">
        <v>68</v>
      </c>
      <c r="D248">
        <v>6</v>
      </c>
      <c r="E248">
        <v>14</v>
      </c>
      <c r="F248" t="s">
        <v>230</v>
      </c>
      <c r="G248">
        <v>4</v>
      </c>
      <c r="H248" s="85">
        <f>78800000</f>
        <v>78800000</v>
      </c>
      <c r="I248">
        <v>53</v>
      </c>
    </row>
    <row r="249" spans="1:9" x14ac:dyDescent="0.25">
      <c r="A249" s="11" t="s">
        <v>66</v>
      </c>
      <c r="B249" s="22" t="s">
        <v>67</v>
      </c>
      <c r="C249" s="12" t="s">
        <v>68</v>
      </c>
      <c r="D249">
        <v>6</v>
      </c>
      <c r="E249">
        <v>14</v>
      </c>
      <c r="F249" t="s">
        <v>230</v>
      </c>
      <c r="G249">
        <v>4</v>
      </c>
      <c r="H249" s="85">
        <f>24900000</f>
        <v>24900000</v>
      </c>
      <c r="I249">
        <v>53</v>
      </c>
    </row>
    <row r="250" spans="1:9" x14ac:dyDescent="0.25">
      <c r="A250" s="11" t="s">
        <v>66</v>
      </c>
      <c r="B250" s="22" t="s">
        <v>67</v>
      </c>
      <c r="C250" s="12" t="s">
        <v>68</v>
      </c>
      <c r="D250">
        <v>6</v>
      </c>
      <c r="E250">
        <v>21</v>
      </c>
      <c r="F250" t="s">
        <v>229</v>
      </c>
      <c r="G250">
        <v>4</v>
      </c>
      <c r="H250" s="85">
        <f>280000000</f>
        <v>280000000</v>
      </c>
      <c r="I250">
        <v>60</v>
      </c>
    </row>
    <row r="251" spans="1:9" x14ac:dyDescent="0.25">
      <c r="A251" s="11" t="s">
        <v>66</v>
      </c>
      <c r="B251" s="22" t="s">
        <v>67</v>
      </c>
      <c r="C251" s="12" t="s">
        <v>68</v>
      </c>
      <c r="D251">
        <v>6</v>
      </c>
      <c r="E251">
        <v>21</v>
      </c>
      <c r="F251" t="s">
        <v>229</v>
      </c>
      <c r="G251">
        <v>4</v>
      </c>
      <c r="H251" s="85">
        <f>448000000</f>
        <v>448000000</v>
      </c>
      <c r="I251">
        <v>60</v>
      </c>
    </row>
    <row r="252" spans="1:9" x14ac:dyDescent="0.25">
      <c r="A252" s="11" t="s">
        <v>66</v>
      </c>
      <c r="B252" s="22" t="s">
        <v>67</v>
      </c>
      <c r="C252" s="12" t="s">
        <v>68</v>
      </c>
      <c r="D252">
        <v>6</v>
      </c>
      <c r="E252">
        <v>21</v>
      </c>
      <c r="F252" t="s">
        <v>230</v>
      </c>
      <c r="G252">
        <v>4</v>
      </c>
      <c r="H252" s="85">
        <f>199000000</f>
        <v>199000000</v>
      </c>
      <c r="I252">
        <v>60</v>
      </c>
    </row>
    <row r="253" spans="1:9" x14ac:dyDescent="0.25">
      <c r="A253" s="11" t="s">
        <v>66</v>
      </c>
      <c r="B253" s="22" t="s">
        <v>67</v>
      </c>
      <c r="C253" s="12" t="s">
        <v>68</v>
      </c>
      <c r="D253">
        <v>6</v>
      </c>
      <c r="E253">
        <v>21</v>
      </c>
      <c r="F253" t="s">
        <v>230</v>
      </c>
      <c r="G253">
        <v>4</v>
      </c>
      <c r="H253" s="85">
        <f>374000000</f>
        <v>374000000</v>
      </c>
      <c r="I253">
        <v>60</v>
      </c>
    </row>
    <row r="254" spans="1:9" x14ac:dyDescent="0.25">
      <c r="A254" s="11" t="s">
        <v>59</v>
      </c>
      <c r="B254" s="12" t="s">
        <v>60</v>
      </c>
      <c r="C254" s="11" t="s">
        <v>33</v>
      </c>
      <c r="D254">
        <v>6</v>
      </c>
      <c r="E254">
        <v>0</v>
      </c>
      <c r="F254" t="s">
        <v>229</v>
      </c>
      <c r="G254">
        <v>0</v>
      </c>
      <c r="H254" s="85">
        <f>520</f>
        <v>520</v>
      </c>
      <c r="I254">
        <v>36</v>
      </c>
    </row>
    <row r="255" spans="1:9" x14ac:dyDescent="0.25">
      <c r="A255" s="11" t="s">
        <v>59</v>
      </c>
      <c r="B255" s="12" t="s">
        <v>60</v>
      </c>
      <c r="C255" s="11" t="s">
        <v>33</v>
      </c>
      <c r="D255">
        <v>6</v>
      </c>
      <c r="E255">
        <v>0</v>
      </c>
      <c r="F255" t="s">
        <v>229</v>
      </c>
      <c r="G255">
        <v>0</v>
      </c>
      <c r="H255" s="85">
        <f>490</f>
        <v>490</v>
      </c>
      <c r="I255">
        <v>36</v>
      </c>
    </row>
    <row r="256" spans="1:9" x14ac:dyDescent="0.25">
      <c r="A256" s="11" t="s">
        <v>59</v>
      </c>
      <c r="B256" s="12" t="s">
        <v>60</v>
      </c>
      <c r="C256" s="11" t="s">
        <v>33</v>
      </c>
      <c r="D256">
        <v>6</v>
      </c>
      <c r="E256">
        <v>0</v>
      </c>
      <c r="F256" t="s">
        <v>230</v>
      </c>
      <c r="G256">
        <v>0</v>
      </c>
      <c r="H256" s="85">
        <f>291</f>
        <v>291</v>
      </c>
      <c r="I256">
        <v>36</v>
      </c>
    </row>
    <row r="257" spans="1:9" x14ac:dyDescent="0.25">
      <c r="A257" s="11" t="s">
        <v>59</v>
      </c>
      <c r="B257" s="12" t="s">
        <v>60</v>
      </c>
      <c r="C257" s="11" t="s">
        <v>33</v>
      </c>
      <c r="D257">
        <v>6</v>
      </c>
      <c r="E257">
        <v>0</v>
      </c>
      <c r="F257" t="s">
        <v>230</v>
      </c>
      <c r="G257">
        <v>0</v>
      </c>
      <c r="H257" s="85">
        <f>328</f>
        <v>328</v>
      </c>
      <c r="I257">
        <v>36</v>
      </c>
    </row>
    <row r="258" spans="1:9" x14ac:dyDescent="0.25">
      <c r="A258" s="11" t="s">
        <v>59</v>
      </c>
      <c r="B258" s="12" t="s">
        <v>60</v>
      </c>
      <c r="C258" s="11" t="s">
        <v>33</v>
      </c>
      <c r="D258">
        <v>6</v>
      </c>
      <c r="E258">
        <v>14</v>
      </c>
      <c r="F258" t="s">
        <v>229</v>
      </c>
      <c r="G258">
        <v>4</v>
      </c>
      <c r="H258" s="85">
        <f>29400000</f>
        <v>29400000</v>
      </c>
      <c r="I258">
        <v>46</v>
      </c>
    </row>
    <row r="259" spans="1:9" x14ac:dyDescent="0.25">
      <c r="A259" s="11" t="s">
        <v>59</v>
      </c>
      <c r="B259" s="12" t="s">
        <v>60</v>
      </c>
      <c r="C259" s="11" t="s">
        <v>33</v>
      </c>
      <c r="D259">
        <v>6</v>
      </c>
      <c r="E259">
        <v>14</v>
      </c>
      <c r="F259" t="s">
        <v>229</v>
      </c>
      <c r="G259">
        <v>4</v>
      </c>
      <c r="H259" s="85">
        <f>24100000</f>
        <v>24100000</v>
      </c>
      <c r="I259">
        <v>46</v>
      </c>
    </row>
    <row r="260" spans="1:9" x14ac:dyDescent="0.25">
      <c r="A260" s="11" t="s">
        <v>59</v>
      </c>
      <c r="B260" s="12" t="s">
        <v>60</v>
      </c>
      <c r="C260" s="11" t="s">
        <v>33</v>
      </c>
      <c r="D260">
        <v>6</v>
      </c>
      <c r="E260">
        <v>14</v>
      </c>
      <c r="F260" t="s">
        <v>230</v>
      </c>
      <c r="G260">
        <v>4</v>
      </c>
      <c r="H260" s="85">
        <f>49600000</f>
        <v>49600000</v>
      </c>
      <c r="I260">
        <v>46</v>
      </c>
    </row>
    <row r="261" spans="1:9" x14ac:dyDescent="0.25">
      <c r="A261" s="11" t="s">
        <v>59</v>
      </c>
      <c r="B261" s="12" t="s">
        <v>60</v>
      </c>
      <c r="C261" s="11" t="s">
        <v>33</v>
      </c>
      <c r="D261">
        <v>6</v>
      </c>
      <c r="E261">
        <v>14</v>
      </c>
      <c r="F261" t="s">
        <v>230</v>
      </c>
      <c r="G261">
        <v>4</v>
      </c>
      <c r="H261" s="85">
        <f>59500000</f>
        <v>59500000</v>
      </c>
      <c r="I261">
        <v>46</v>
      </c>
    </row>
    <row r="262" spans="1:9" x14ac:dyDescent="0.25">
      <c r="A262" s="11" t="s">
        <v>59</v>
      </c>
      <c r="B262" s="12" t="s">
        <v>60</v>
      </c>
      <c r="C262" s="11" t="s">
        <v>33</v>
      </c>
      <c r="D262">
        <v>6</v>
      </c>
      <c r="E262">
        <v>21</v>
      </c>
      <c r="F262" t="s">
        <v>229</v>
      </c>
      <c r="G262">
        <v>6</v>
      </c>
      <c r="H262" s="85">
        <f>2060000000</f>
        <v>2060000000</v>
      </c>
      <c r="I262">
        <v>49</v>
      </c>
    </row>
    <row r="263" spans="1:9" x14ac:dyDescent="0.25">
      <c r="A263" s="11" t="s">
        <v>59</v>
      </c>
      <c r="B263" s="12" t="s">
        <v>60</v>
      </c>
      <c r="C263" s="11" t="s">
        <v>33</v>
      </c>
      <c r="D263">
        <v>6</v>
      </c>
      <c r="E263">
        <v>21</v>
      </c>
      <c r="F263" t="s">
        <v>229</v>
      </c>
      <c r="G263">
        <v>6</v>
      </c>
      <c r="H263" s="85">
        <f>1550000000</f>
        <v>1550000000</v>
      </c>
      <c r="I263">
        <v>49</v>
      </c>
    </row>
    <row r="264" spans="1:9" x14ac:dyDescent="0.25">
      <c r="A264" s="11" t="s">
        <v>59</v>
      </c>
      <c r="B264" s="12" t="s">
        <v>60</v>
      </c>
      <c r="C264" s="11" t="s">
        <v>33</v>
      </c>
      <c r="D264">
        <v>6</v>
      </c>
      <c r="E264">
        <v>21</v>
      </c>
      <c r="F264" t="s">
        <v>230</v>
      </c>
      <c r="G264">
        <v>6</v>
      </c>
      <c r="H264" s="85">
        <f>940000000</f>
        <v>940000000</v>
      </c>
      <c r="I264">
        <v>49</v>
      </c>
    </row>
    <row r="265" spans="1:9" x14ac:dyDescent="0.25">
      <c r="A265" s="11" t="s">
        <v>59</v>
      </c>
      <c r="B265" s="12" t="s">
        <v>60</v>
      </c>
      <c r="C265" s="11" t="s">
        <v>33</v>
      </c>
      <c r="D265">
        <v>6</v>
      </c>
      <c r="E265">
        <v>21</v>
      </c>
      <c r="F265" t="s">
        <v>230</v>
      </c>
      <c r="G265">
        <v>6</v>
      </c>
      <c r="H265" s="85">
        <f>736000000</f>
        <v>736000000</v>
      </c>
      <c r="I265">
        <v>49</v>
      </c>
    </row>
    <row r="266" spans="1:9" x14ac:dyDescent="0.25">
      <c r="A266" s="11" t="s">
        <v>55</v>
      </c>
      <c r="B266" s="20" t="s">
        <v>56</v>
      </c>
      <c r="C266" s="11" t="s">
        <v>33</v>
      </c>
      <c r="D266">
        <v>6</v>
      </c>
      <c r="E266">
        <v>0</v>
      </c>
      <c r="F266" t="s">
        <v>229</v>
      </c>
      <c r="G266">
        <v>0</v>
      </c>
      <c r="H266" s="85">
        <f>1920</f>
        <v>1920</v>
      </c>
      <c r="I266">
        <v>77</v>
      </c>
    </row>
    <row r="267" spans="1:9" x14ac:dyDescent="0.25">
      <c r="A267" s="11" t="s">
        <v>55</v>
      </c>
      <c r="B267" s="20" t="s">
        <v>56</v>
      </c>
      <c r="C267" s="11" t="s">
        <v>33</v>
      </c>
      <c r="D267">
        <v>6</v>
      </c>
      <c r="E267">
        <v>0</v>
      </c>
      <c r="F267" t="s">
        <v>229</v>
      </c>
      <c r="G267">
        <v>0</v>
      </c>
      <c r="H267" s="85">
        <f>2020</f>
        <v>2020</v>
      </c>
      <c r="I267">
        <v>77</v>
      </c>
    </row>
    <row r="268" spans="1:9" x14ac:dyDescent="0.25">
      <c r="A268" s="11" t="s">
        <v>55</v>
      </c>
      <c r="B268" s="20" t="s">
        <v>56</v>
      </c>
      <c r="C268" s="11" t="s">
        <v>33</v>
      </c>
      <c r="D268">
        <v>6</v>
      </c>
      <c r="E268">
        <v>0</v>
      </c>
      <c r="F268" t="s">
        <v>230</v>
      </c>
      <c r="G268">
        <v>0</v>
      </c>
      <c r="H268" s="85">
        <f>1920</f>
        <v>1920</v>
      </c>
      <c r="I268">
        <v>77</v>
      </c>
    </row>
    <row r="269" spans="1:9" x14ac:dyDescent="0.25">
      <c r="A269" s="11" t="s">
        <v>55</v>
      </c>
      <c r="B269" s="20" t="s">
        <v>56</v>
      </c>
      <c r="C269" s="11" t="s">
        <v>33</v>
      </c>
      <c r="D269">
        <v>6</v>
      </c>
      <c r="E269">
        <v>0</v>
      </c>
      <c r="F269" t="s">
        <v>230</v>
      </c>
      <c r="G269">
        <v>0</v>
      </c>
      <c r="H269" s="85">
        <f>2080</f>
        <v>2080</v>
      </c>
      <c r="I269">
        <v>77</v>
      </c>
    </row>
    <row r="270" spans="1:9" x14ac:dyDescent="0.25">
      <c r="A270" s="11" t="s">
        <v>55</v>
      </c>
      <c r="B270" s="20" t="s">
        <v>56</v>
      </c>
      <c r="C270" s="11" t="s">
        <v>33</v>
      </c>
      <c r="D270">
        <v>6</v>
      </c>
      <c r="E270">
        <v>14</v>
      </c>
      <c r="F270" t="s">
        <v>229</v>
      </c>
      <c r="G270">
        <v>5</v>
      </c>
      <c r="H270" s="85">
        <f>8790000000</f>
        <v>8790000000</v>
      </c>
      <c r="I270">
        <v>80</v>
      </c>
    </row>
    <row r="271" spans="1:9" x14ac:dyDescent="0.25">
      <c r="A271" s="11" t="s">
        <v>55</v>
      </c>
      <c r="B271" s="20" t="s">
        <v>56</v>
      </c>
      <c r="C271" s="11" t="s">
        <v>33</v>
      </c>
      <c r="D271">
        <v>6</v>
      </c>
      <c r="E271">
        <v>14</v>
      </c>
      <c r="F271" t="s">
        <v>229</v>
      </c>
      <c r="G271">
        <v>5</v>
      </c>
      <c r="H271" s="85">
        <f>15500000000</f>
        <v>15500000000</v>
      </c>
      <c r="I271">
        <v>80</v>
      </c>
    </row>
    <row r="272" spans="1:9" x14ac:dyDescent="0.25">
      <c r="A272" s="11" t="s">
        <v>55</v>
      </c>
      <c r="B272" s="20" t="s">
        <v>56</v>
      </c>
      <c r="C272" s="11" t="s">
        <v>33</v>
      </c>
      <c r="D272">
        <v>6</v>
      </c>
      <c r="E272">
        <v>14</v>
      </c>
      <c r="F272" t="s">
        <v>230</v>
      </c>
      <c r="G272">
        <v>5</v>
      </c>
      <c r="H272" s="85">
        <f>13500000000</f>
        <v>13500000000</v>
      </c>
      <c r="I272">
        <v>80</v>
      </c>
    </row>
    <row r="273" spans="1:9" x14ac:dyDescent="0.25">
      <c r="A273" s="11" t="s">
        <v>55</v>
      </c>
      <c r="B273" s="20" t="s">
        <v>56</v>
      </c>
      <c r="C273" s="11" t="s">
        <v>33</v>
      </c>
      <c r="D273">
        <v>6</v>
      </c>
      <c r="E273">
        <v>14</v>
      </c>
      <c r="F273" t="s">
        <v>230</v>
      </c>
      <c r="G273">
        <v>5</v>
      </c>
      <c r="H273" s="85">
        <f>11800000000</f>
        <v>11800000000</v>
      </c>
      <c r="I273">
        <v>80</v>
      </c>
    </row>
    <row r="274" spans="1:9" x14ac:dyDescent="0.25">
      <c r="A274" s="11" t="s">
        <v>55</v>
      </c>
      <c r="B274" s="20" t="s">
        <v>56</v>
      </c>
      <c r="C274" s="11" t="s">
        <v>33</v>
      </c>
      <c r="D274">
        <v>6</v>
      </c>
      <c r="E274">
        <v>21</v>
      </c>
      <c r="F274" t="s">
        <v>229</v>
      </c>
      <c r="G274">
        <v>8</v>
      </c>
      <c r="H274" s="85">
        <f>18500000000</f>
        <v>18500000000</v>
      </c>
      <c r="I274">
        <v>82</v>
      </c>
    </row>
    <row r="275" spans="1:9" x14ac:dyDescent="0.25">
      <c r="A275" s="11" t="s">
        <v>55</v>
      </c>
      <c r="B275" s="20" t="s">
        <v>56</v>
      </c>
      <c r="C275" s="11" t="s">
        <v>33</v>
      </c>
      <c r="D275">
        <v>6</v>
      </c>
      <c r="E275">
        <v>21</v>
      </c>
      <c r="F275" t="s">
        <v>229</v>
      </c>
      <c r="G275">
        <v>8</v>
      </c>
      <c r="H275" s="85">
        <f>14900000000</f>
        <v>14900000000</v>
      </c>
      <c r="I275">
        <v>82</v>
      </c>
    </row>
    <row r="276" spans="1:9" x14ac:dyDescent="0.25">
      <c r="A276" s="11" t="s">
        <v>55</v>
      </c>
      <c r="B276" s="20" t="s">
        <v>56</v>
      </c>
      <c r="C276" s="11" t="s">
        <v>33</v>
      </c>
      <c r="D276">
        <v>6</v>
      </c>
      <c r="E276">
        <v>21</v>
      </c>
      <c r="F276" t="s">
        <v>230</v>
      </c>
      <c r="G276">
        <v>8</v>
      </c>
      <c r="H276" s="85">
        <f>17900000000</f>
        <v>17900000000</v>
      </c>
      <c r="I276">
        <v>82</v>
      </c>
    </row>
    <row r="277" spans="1:9" x14ac:dyDescent="0.25">
      <c r="A277" s="11" t="s">
        <v>55</v>
      </c>
      <c r="B277" s="20" t="s">
        <v>56</v>
      </c>
      <c r="C277" s="11" t="s">
        <v>33</v>
      </c>
      <c r="D277">
        <v>6</v>
      </c>
      <c r="E277">
        <v>21</v>
      </c>
      <c r="F277" t="s">
        <v>230</v>
      </c>
      <c r="G277">
        <v>8</v>
      </c>
      <c r="H277" s="85">
        <f>18300000000</f>
        <v>18300000000</v>
      </c>
      <c r="I277">
        <v>82</v>
      </c>
    </row>
  </sheetData>
  <autoFilter ref="A1:I277" xr:uid="{789EA5F6-BF60-40AE-BAD6-6DDE27DD205F}">
    <filterColumn colId="3">
      <filters>
        <filter val="6"/>
      </filters>
    </filterColumn>
    <sortState xmlns:xlrd2="http://schemas.microsoft.com/office/spreadsheetml/2017/richdata2" ref="A2:I277">
      <sortCondition ref="B1:B277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C36E-4047-49D9-A292-C849C43B5795}">
  <dimension ref="A1:I13"/>
  <sheetViews>
    <sheetView tabSelected="1" topLeftCell="A16" workbookViewId="0">
      <selection activeCell="O26" sqref="O26"/>
    </sheetView>
  </sheetViews>
  <sheetFormatPr defaultRowHeight="15" x14ac:dyDescent="0.25"/>
  <sheetData>
    <row r="1" spans="1:9" s="151" customFormat="1" x14ac:dyDescent="0.25">
      <c r="A1" s="151" t="s">
        <v>97</v>
      </c>
      <c r="B1" s="151" t="s">
        <v>233</v>
      </c>
      <c r="C1" s="151" t="s">
        <v>99</v>
      </c>
      <c r="D1" s="151" t="s">
        <v>226</v>
      </c>
      <c r="E1" s="151" t="s">
        <v>227</v>
      </c>
      <c r="F1" s="151" t="s">
        <v>228</v>
      </c>
      <c r="G1" s="151" t="s">
        <v>231</v>
      </c>
      <c r="H1" s="152" t="s">
        <v>232</v>
      </c>
      <c r="I1" s="151" t="s">
        <v>242</v>
      </c>
    </row>
    <row r="2" spans="1:9" x14ac:dyDescent="0.25">
      <c r="A2" s="11" t="s">
        <v>55</v>
      </c>
      <c r="B2" s="20" t="s">
        <v>56</v>
      </c>
      <c r="C2" s="11" t="s">
        <v>33</v>
      </c>
      <c r="D2">
        <v>6</v>
      </c>
      <c r="E2">
        <v>0</v>
      </c>
      <c r="F2" t="s">
        <v>229</v>
      </c>
      <c r="G2">
        <v>0</v>
      </c>
      <c r="H2" s="85">
        <f>1920</f>
        <v>1920</v>
      </c>
      <c r="I2">
        <f>LOG10(H2)</f>
        <v>3.2833012287035497</v>
      </c>
    </row>
    <row r="3" spans="1:9" x14ac:dyDescent="0.25">
      <c r="A3" s="11" t="s">
        <v>55</v>
      </c>
      <c r="B3" s="20" t="s">
        <v>56</v>
      </c>
      <c r="C3" s="11" t="s">
        <v>33</v>
      </c>
      <c r="D3">
        <v>6</v>
      </c>
      <c r="E3">
        <v>0</v>
      </c>
      <c r="F3" t="s">
        <v>229</v>
      </c>
      <c r="G3">
        <v>0</v>
      </c>
      <c r="H3" s="85">
        <f>2020</f>
        <v>2020</v>
      </c>
      <c r="I3">
        <f t="shared" ref="I3:I13" si="0">LOG10(H3)</f>
        <v>3.3053513694466239</v>
      </c>
    </row>
    <row r="4" spans="1:9" x14ac:dyDescent="0.25">
      <c r="A4" s="11" t="s">
        <v>55</v>
      </c>
      <c r="B4" s="20" t="s">
        <v>56</v>
      </c>
      <c r="C4" s="11" t="s">
        <v>33</v>
      </c>
      <c r="D4">
        <v>6</v>
      </c>
      <c r="E4">
        <v>0</v>
      </c>
      <c r="F4" t="s">
        <v>230</v>
      </c>
      <c r="G4">
        <v>0</v>
      </c>
      <c r="H4" s="85">
        <f>1920</f>
        <v>1920</v>
      </c>
      <c r="I4">
        <f t="shared" si="0"/>
        <v>3.2833012287035497</v>
      </c>
    </row>
    <row r="5" spans="1:9" x14ac:dyDescent="0.25">
      <c r="A5" s="11" t="s">
        <v>55</v>
      </c>
      <c r="B5" s="20" t="s">
        <v>56</v>
      </c>
      <c r="C5" s="11" t="s">
        <v>33</v>
      </c>
      <c r="D5">
        <v>6</v>
      </c>
      <c r="E5">
        <v>0</v>
      </c>
      <c r="F5" t="s">
        <v>230</v>
      </c>
      <c r="G5">
        <v>0</v>
      </c>
      <c r="H5" s="85">
        <f>2080</f>
        <v>2080</v>
      </c>
      <c r="I5">
        <f t="shared" si="0"/>
        <v>3.3180633349627615</v>
      </c>
    </row>
    <row r="6" spans="1:9" x14ac:dyDescent="0.25">
      <c r="A6" s="11" t="s">
        <v>55</v>
      </c>
      <c r="B6" s="20" t="s">
        <v>56</v>
      </c>
      <c r="C6" s="11" t="s">
        <v>33</v>
      </c>
      <c r="D6">
        <v>6</v>
      </c>
      <c r="E6">
        <v>14</v>
      </c>
      <c r="F6" t="s">
        <v>229</v>
      </c>
      <c r="G6">
        <v>5</v>
      </c>
      <c r="H6" s="85">
        <f>8790000000</f>
        <v>8790000000</v>
      </c>
      <c r="I6">
        <f t="shared" si="0"/>
        <v>9.9439888750737726</v>
      </c>
    </row>
    <row r="7" spans="1:9" x14ac:dyDescent="0.25">
      <c r="A7" s="11" t="s">
        <v>55</v>
      </c>
      <c r="B7" s="20" t="s">
        <v>56</v>
      </c>
      <c r="C7" s="11" t="s">
        <v>33</v>
      </c>
      <c r="D7">
        <v>6</v>
      </c>
      <c r="E7">
        <v>14</v>
      </c>
      <c r="F7" t="s">
        <v>229</v>
      </c>
      <c r="G7">
        <v>5</v>
      </c>
      <c r="H7" s="85">
        <f>15500000000</f>
        <v>15500000000</v>
      </c>
      <c r="I7">
        <f t="shared" si="0"/>
        <v>10.190331698170292</v>
      </c>
    </row>
    <row r="8" spans="1:9" x14ac:dyDescent="0.25">
      <c r="A8" s="11" t="s">
        <v>55</v>
      </c>
      <c r="B8" s="20" t="s">
        <v>56</v>
      </c>
      <c r="C8" s="11" t="s">
        <v>33</v>
      </c>
      <c r="D8">
        <v>6</v>
      </c>
      <c r="E8">
        <v>14</v>
      </c>
      <c r="F8" t="s">
        <v>230</v>
      </c>
      <c r="G8">
        <v>5</v>
      </c>
      <c r="H8" s="85">
        <f>13500000000</f>
        <v>13500000000</v>
      </c>
      <c r="I8">
        <f t="shared" si="0"/>
        <v>10.130333768495007</v>
      </c>
    </row>
    <row r="9" spans="1:9" x14ac:dyDescent="0.25">
      <c r="A9" s="11" t="s">
        <v>55</v>
      </c>
      <c r="B9" s="20" t="s">
        <v>56</v>
      </c>
      <c r="C9" s="11" t="s">
        <v>33</v>
      </c>
      <c r="D9">
        <v>6</v>
      </c>
      <c r="E9">
        <v>14</v>
      </c>
      <c r="F9" t="s">
        <v>230</v>
      </c>
      <c r="G9">
        <v>5</v>
      </c>
      <c r="H9" s="85">
        <f>11800000000</f>
        <v>11800000000</v>
      </c>
      <c r="I9">
        <f t="shared" si="0"/>
        <v>10.071882007306126</v>
      </c>
    </row>
    <row r="10" spans="1:9" x14ac:dyDescent="0.25">
      <c r="A10" s="11" t="s">
        <v>55</v>
      </c>
      <c r="B10" s="20" t="s">
        <v>56</v>
      </c>
      <c r="C10" s="11" t="s">
        <v>33</v>
      </c>
      <c r="D10">
        <v>6</v>
      </c>
      <c r="E10">
        <v>21</v>
      </c>
      <c r="F10" t="s">
        <v>229</v>
      </c>
      <c r="G10">
        <v>8</v>
      </c>
      <c r="H10" s="85">
        <f>18500000000</f>
        <v>18500000000</v>
      </c>
      <c r="I10">
        <f t="shared" si="0"/>
        <v>10.267171728403014</v>
      </c>
    </row>
    <row r="11" spans="1:9" x14ac:dyDescent="0.25">
      <c r="A11" s="11" t="s">
        <v>55</v>
      </c>
      <c r="B11" s="20" t="s">
        <v>56</v>
      </c>
      <c r="C11" s="11" t="s">
        <v>33</v>
      </c>
      <c r="D11">
        <v>6</v>
      </c>
      <c r="E11">
        <v>21</v>
      </c>
      <c r="F11" t="s">
        <v>229</v>
      </c>
      <c r="G11">
        <v>8</v>
      </c>
      <c r="H11" s="85">
        <f>14900000000</f>
        <v>14900000000</v>
      </c>
      <c r="I11">
        <f t="shared" si="0"/>
        <v>10.173186268412275</v>
      </c>
    </row>
    <row r="12" spans="1:9" x14ac:dyDescent="0.25">
      <c r="A12" s="11" t="s">
        <v>55</v>
      </c>
      <c r="B12" s="20" t="s">
        <v>56</v>
      </c>
      <c r="C12" s="11" t="s">
        <v>33</v>
      </c>
      <c r="D12">
        <v>6</v>
      </c>
      <c r="E12">
        <v>21</v>
      </c>
      <c r="F12" t="s">
        <v>230</v>
      </c>
      <c r="G12">
        <v>8</v>
      </c>
      <c r="H12" s="85">
        <f>17900000000</f>
        <v>17900000000</v>
      </c>
      <c r="I12">
        <f t="shared" si="0"/>
        <v>10.252853030979892</v>
      </c>
    </row>
    <row r="13" spans="1:9" x14ac:dyDescent="0.25">
      <c r="A13" s="11" t="s">
        <v>55</v>
      </c>
      <c r="B13" s="20" t="s">
        <v>56</v>
      </c>
      <c r="C13" s="11" t="s">
        <v>33</v>
      </c>
      <c r="D13">
        <v>6</v>
      </c>
      <c r="E13">
        <v>21</v>
      </c>
      <c r="F13" t="s">
        <v>230</v>
      </c>
      <c r="G13">
        <v>8</v>
      </c>
      <c r="H13" s="85">
        <f>18300000000</f>
        <v>18300000000</v>
      </c>
      <c r="I13">
        <f t="shared" si="0"/>
        <v>10.26245108973043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Al-Paper Table1</vt:lpstr>
      <vt:lpstr>Al-Table1-FMT check</vt:lpstr>
      <vt:lpstr>Isolates that can grow at 6C</vt:lpstr>
      <vt:lpstr>RAW DATA-Silin 2014</vt:lpstr>
      <vt:lpstr>LOG DATA-Silin 2014</vt:lpstr>
      <vt:lpstr>Sheet8</vt:lpstr>
      <vt:lpstr>Random data from Al notebook</vt:lpstr>
      <vt:lpstr>Sheet1</vt:lpstr>
      <vt:lpstr>'Al-Paper Table1'!Print_Area</vt:lpstr>
      <vt:lpstr>'Al-Table1-FMT check'!Print_Area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2019-04-23T13:39:55Z</cp:lastPrinted>
  <dcterms:created xsi:type="dcterms:W3CDTF">2019-04-23T13:05:53Z</dcterms:created>
  <dcterms:modified xsi:type="dcterms:W3CDTF">2019-05-10T14:04:40Z</dcterms:modified>
</cp:coreProperties>
</file>