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B37340DB-A821-49B1-B06B-0FF375CF8F5E}" xr6:coauthVersionLast="45" xr6:coauthVersionMax="45" xr10:uidLastSave="{00000000-0000-0000-0000-000000000000}"/>
  <workbookProtection workbookAlgorithmName="SHA-512" workbookHashValue="fK0DYwQcYmBcXLZL/aOJWOHBvmbwF8yJ+ModxzgHWgwxDckd0wr5wvMla95RUl3U+Gq7HXYnt+L/9Dnd8w7zIA==" workbookSaltValue="sJA3Kn+eQ5gm5ABhGbA7Sw==" workbookSpinCount="100000" lockStructure="1"/>
  <bookViews>
    <workbookView xWindow="-120" yWindow="-120" windowWidth="24240" windowHeight="13140" xr2:uid="{00000000-000D-0000-FFFF-FFFF00000000}"/>
  </bookViews>
  <sheets>
    <sheet name="Demo" sheetId="14" r:id="rId1"/>
    <sheet name="明细" sheetId="13" r:id="rId2"/>
  </sheets>
  <definedNames>
    <definedName name="_xlnm._FilterDatabase" localSheetId="1" hidden="1">明细!$A$1:$M$7327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68" i="14" l="1"/>
  <c r="AE68" i="14" s="1"/>
  <c r="AF68" i="14" s="1"/>
  <c r="AC69" i="14"/>
  <c r="AE69" i="14" s="1"/>
  <c r="AF69" i="14" s="1"/>
  <c r="AC70" i="14"/>
  <c r="AE70" i="14" s="1"/>
  <c r="AF70" i="14" s="1"/>
  <c r="AC71" i="14"/>
  <c r="AE71" i="14" s="1"/>
  <c r="AC72" i="14"/>
  <c r="AC73" i="14"/>
  <c r="AE73" i="14" s="1"/>
  <c r="AF73" i="14" s="1"/>
  <c r="AC74" i="14"/>
  <c r="AE74" i="14" s="1"/>
  <c r="AC75" i="14"/>
  <c r="AE75" i="14" s="1"/>
  <c r="AC67" i="14"/>
  <c r="AE67" i="14" s="1"/>
  <c r="AC57" i="14"/>
  <c r="AD57" i="14" s="1"/>
  <c r="AC58" i="14"/>
  <c r="AE58" i="14" s="1"/>
  <c r="AF58" i="14" s="1"/>
  <c r="AC59" i="14"/>
  <c r="AD59" i="14" s="1"/>
  <c r="AC60" i="14"/>
  <c r="AD60" i="14" s="1"/>
  <c r="AC61" i="14"/>
  <c r="AE61" i="14" s="1"/>
  <c r="AF61" i="14" s="1"/>
  <c r="AC62" i="14"/>
  <c r="AE62" i="14" s="1"/>
  <c r="AF62" i="14" s="1"/>
  <c r="AC63" i="14"/>
  <c r="AD63" i="14" s="1"/>
  <c r="AC64" i="14"/>
  <c r="AD64" i="14" s="1"/>
  <c r="AC65" i="14"/>
  <c r="AE65" i="14" s="1"/>
  <c r="AF65" i="14" s="1"/>
  <c r="Q51" i="14"/>
  <c r="R51" i="14" s="1"/>
  <c r="S51" i="14" s="1"/>
  <c r="Q50" i="14"/>
  <c r="R50" i="14" s="1"/>
  <c r="S50" i="14" s="1"/>
  <c r="Q49" i="14"/>
  <c r="R49" i="14" s="1"/>
  <c r="S49" i="14" s="1"/>
  <c r="N46" i="14"/>
  <c r="S46" i="14"/>
  <c r="I46" i="14"/>
  <c r="G49" i="14"/>
  <c r="L49" i="14"/>
  <c r="M49" i="14" s="1"/>
  <c r="N49" i="14" s="1"/>
  <c r="L52" i="14"/>
  <c r="M52" i="14" s="1"/>
  <c r="N52" i="14" s="1"/>
  <c r="L51" i="14"/>
  <c r="M51" i="14" s="1"/>
  <c r="N51" i="14" s="1"/>
  <c r="L50" i="14"/>
  <c r="M50" i="14" s="1"/>
  <c r="N50" i="14" s="1"/>
  <c r="G52" i="14"/>
  <c r="H52" i="14" s="1"/>
  <c r="I52" i="14" s="1"/>
  <c r="G50" i="14"/>
  <c r="H50" i="14" s="1"/>
  <c r="I50" i="14" s="1"/>
  <c r="G51" i="14"/>
  <c r="H51" i="14" s="1"/>
  <c r="I51" i="14" s="1"/>
  <c r="AF74" i="14" l="1"/>
  <c r="AF71" i="14"/>
  <c r="AE72" i="14"/>
  <c r="AF72" i="14" s="1"/>
  <c r="AF75" i="14"/>
  <c r="AF67" i="14"/>
  <c r="AD67" i="14"/>
  <c r="AD68" i="14"/>
  <c r="AD69" i="14"/>
  <c r="AD70" i="14"/>
  <c r="AD71" i="14"/>
  <c r="AD72" i="14"/>
  <c r="AD73" i="14"/>
  <c r="AD74" i="14"/>
  <c r="AD75" i="14"/>
  <c r="AE64" i="14"/>
  <c r="AF64" i="14" s="1"/>
  <c r="AE60" i="14"/>
  <c r="AF60" i="14" s="1"/>
  <c r="AE57" i="14"/>
  <c r="AF57" i="14" s="1"/>
  <c r="AD62" i="14"/>
  <c r="AD58" i="14"/>
  <c r="AD65" i="14"/>
  <c r="AD61" i="14"/>
  <c r="AE63" i="14"/>
  <c r="AF63" i="14" s="1"/>
  <c r="AE59" i="14"/>
  <c r="AF59" i="14" s="1"/>
  <c r="H49" i="14"/>
  <c r="I49" i="14" s="1"/>
  <c r="AE21" i="14"/>
  <c r="AE22" i="14"/>
  <c r="AE23" i="14"/>
  <c r="AE24" i="14"/>
  <c r="AE25" i="14"/>
  <c r="AE26" i="14"/>
  <c r="AE16" i="14"/>
  <c r="AE17" i="14"/>
  <c r="AE18" i="14"/>
  <c r="AE19" i="14"/>
  <c r="AE20" i="14"/>
  <c r="AE15" i="14"/>
  <c r="AD21" i="14"/>
  <c r="AD22" i="14"/>
  <c r="AD23" i="14"/>
  <c r="AD24" i="14"/>
  <c r="AD25" i="14"/>
  <c r="AD26" i="14"/>
  <c r="AD16" i="14"/>
  <c r="AD17" i="14"/>
  <c r="AD18" i="14"/>
  <c r="AD19" i="14"/>
  <c r="AD20" i="14"/>
  <c r="AD15" i="14"/>
  <c r="AC15" i="14" l="1"/>
  <c r="AG15" i="14" s="1"/>
  <c r="AB15" i="14"/>
  <c r="AF15" i="14" s="1"/>
  <c r="AC16" i="14"/>
  <c r="AG16" i="14" s="1"/>
  <c r="AC17" i="14"/>
  <c r="AG17" i="14" s="1"/>
  <c r="AC18" i="14"/>
  <c r="AG18" i="14" s="1"/>
  <c r="AC19" i="14"/>
  <c r="AG19" i="14" s="1"/>
  <c r="AC20" i="14"/>
  <c r="AG20" i="14" s="1"/>
  <c r="AC21" i="14"/>
  <c r="AG21" i="14" s="1"/>
  <c r="AC22" i="14"/>
  <c r="AG22" i="14" s="1"/>
  <c r="AC23" i="14"/>
  <c r="AG23" i="14" s="1"/>
  <c r="AC24" i="14"/>
  <c r="AG24" i="14" s="1"/>
  <c r="AC25" i="14"/>
  <c r="AG25" i="14" s="1"/>
  <c r="AC26" i="14"/>
  <c r="AG26" i="14" s="1"/>
  <c r="AB16" i="14"/>
  <c r="AF16" i="14" s="1"/>
  <c r="AB17" i="14"/>
  <c r="AF17" i="14" s="1"/>
  <c r="AB18" i="14"/>
  <c r="AF18" i="14" s="1"/>
  <c r="AB19" i="14"/>
  <c r="AF19" i="14" s="1"/>
  <c r="AB20" i="14"/>
  <c r="AF20" i="14" s="1"/>
  <c r="AB21" i="14"/>
  <c r="AF21" i="14" s="1"/>
  <c r="AB22" i="14"/>
  <c r="AF22" i="14" s="1"/>
  <c r="AB23" i="14"/>
  <c r="AF23" i="14" s="1"/>
  <c r="AB24" i="14"/>
  <c r="AF24" i="14" s="1"/>
  <c r="AB25" i="14"/>
  <c r="AF25" i="14" s="1"/>
  <c r="AB26" i="14"/>
  <c r="AF26" i="14" s="1"/>
  <c r="AG14" i="14"/>
  <c r="AF14" i="14"/>
  <c r="AE14" i="14"/>
  <c r="AD14" i="14"/>
  <c r="AC14" i="14"/>
  <c r="AB14" i="14"/>
  <c r="AD6" i="14"/>
  <c r="AA6" i="14"/>
  <c r="AE8" i="14"/>
  <c r="AB8" i="14"/>
  <c r="AE7" i="14"/>
  <c r="AB7" i="14"/>
  <c r="AH8" i="14" l="1"/>
  <c r="AB9" i="14"/>
  <c r="AE9" i="14"/>
  <c r="AE10" i="14" s="1"/>
  <c r="AH7" i="14"/>
  <c r="H15" i="14" s="1"/>
  <c r="AH9" i="14" l="1"/>
  <c r="N15" i="14" s="1"/>
  <c r="AB10" i="14"/>
  <c r="AH10" i="14" s="1"/>
  <c r="S15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A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用以月份下拉框选择</t>
        </r>
      </text>
    </comment>
  </commentList>
</comments>
</file>

<file path=xl/sharedStrings.xml><?xml version="1.0" encoding="utf-8"?>
<sst xmlns="http://schemas.openxmlformats.org/spreadsheetml/2006/main" count="51345" uniqueCount="112">
  <si>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</si>
  <si>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</si>
  <si>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</si>
  <si>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</si>
  <si>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</si>
  <si>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</si>
  <si>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</si>
  <si>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</si>
  <si>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</si>
  <si>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</si>
  <si>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</si>
  <si>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</si>
  <si>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</si>
  <si>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</si>
  <si>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</si>
  <si>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</si>
  <si>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</si>
  <si>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</si>
  <si>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</si>
  <si>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</si>
  <si>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</si>
  <si>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</si>
  <si>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</si>
  <si>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</si>
  <si>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</si>
  <si>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</si>
  <si>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</si>
  <si>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</si>
  <si>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</si>
  <si>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</si>
  <si>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</si>
  <si>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</si>
  <si>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</si>
  <si>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</si>
  <si>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</si>
  <si>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</si>
  <si>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</si>
  <si>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</si>
  <si>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</si>
  <si>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</si>
  <si>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</si>
  <si>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</si>
  <si>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</si>
  <si>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</si>
  <si>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</si>
  <si>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</si>
  <si>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</si>
  <si>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</si>
  <si>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</si>
  <si>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</si>
  <si>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</si>
  <si>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</si>
  <si>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</si>
  <si>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</si>
  <si>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</si>
  <si>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</si>
  <si>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</si>
  <si>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</si>
  <si>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</si>
  <si>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</si>
  <si>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</si>
  <si>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</si>
  <si>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</si>
  <si>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</si>
  <si>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</si>
  <si>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</si>
  <si>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</si>
  <si>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</si>
  <si>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</si>
  <si>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</si>
  <si>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</si>
  <si>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</si>
  <si>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</si>
  <si>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</si>
  <si>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</si>
  <si>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</si>
  <si>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</si>
  <si>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</si>
  <si>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</si>
  <si>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</si>
  <si>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</si>
  <si>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</si>
  <si>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</si>
  <si>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</si>
  <si>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</si>
  <si>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</si>
  <si>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</si>
  <si>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</si>
  <si>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</si>
  <si>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</si>
  <si>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</si>
  <si>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</si>
  <si>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</si>
  <si>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</si>
  <si>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</si>
  <si>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</si>
  <si>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</si>
  <si>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东区</t>
    <phoneticPr fontId="3" type="noConversion"/>
  </si>
  <si>
    <t>销售报表</t>
    <phoneticPr fontId="3" type="noConversion"/>
  </si>
  <si>
    <t>年</t>
    <phoneticPr fontId="3" type="noConversion"/>
  </si>
  <si>
    <t>利润率</t>
  </si>
  <si>
    <t>销售额</t>
  </si>
  <si>
    <t>销售额YTD</t>
  </si>
  <si>
    <t>成本YTD</t>
  </si>
  <si>
    <t>利润YTD</t>
  </si>
  <si>
    <t>销售额YoY</t>
  </si>
  <si>
    <t>成本YoY</t>
  </si>
  <si>
    <t>利润YoY</t>
  </si>
  <si>
    <t>YoY</t>
  </si>
  <si>
    <t>某平台</t>
  </si>
  <si>
    <t>2018年</t>
    <phoneticPr fontId="3" type="noConversion"/>
  </si>
  <si>
    <t>2019年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</si>
</sst>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2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b/>
      <sz val="22"/>
      <color theme="0" tint="-4.9989318521683403E-2"/>
      <name val="等线"/>
      <scheme val="minor"/>
    </font>
    <font>
      <sz val="11"/>
      <color theme="0" tint="-4.9989318521683403E-2"/>
      <name val="等线"/>
      <scheme val="minor"/>
    </font>
    <font>
      <sz val="11"/>
      <color theme="1" tint="0.34998626667073579"/>
      <name val="等线"/>
      <family val="2"/>
      <scheme val="minor"/>
    </font>
    <font>
      <sz val="14"/>
      <color theme="0" tint="-4.9989318521683403E-2"/>
      <name val="等线"/>
      <scheme val="minor"/>
    </font>
    <font>
      <b/>
      <sz val="9"/>
      <color indexed="81"/>
      <name val="宋体"/>
      <charset val="134"/>
    </font>
    <font>
      <b/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8"/>
      <color theme="1"/>
      <name val="等线"/>
      <family val="2"/>
      <scheme val="minor"/>
    </font>
    <font>
      <sz val="14"/>
      <color theme="0" tint="-4.9989318521683403E-2"/>
      <name val="等线"/>
      <family val="2"/>
      <scheme val="minor"/>
    </font>
    <font>
      <b/>
      <sz val="18"/>
      <color theme="0" tint="-4.9989318521683403E-2"/>
      <name val="等线"/>
      <family val="2"/>
      <scheme val="minor"/>
    </font>
    <font>
      <b/>
      <sz val="20"/>
      <color theme="0" tint="-4.9989318521683403E-2"/>
      <name val="等线"/>
      <family val="2"/>
      <scheme val="minor"/>
    </font>
    <font>
      <b/>
      <sz val="22"/>
      <color theme="0" tint="-4.9989318521683403E-2"/>
      <name val="等线"/>
      <family val="2"/>
      <scheme val="minor"/>
    </font>
    <font>
      <b/>
      <u/>
      <sz val="22"/>
      <color theme="0" tint="-4.9989318521683403E-2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0" fillId="3" borderId="0" xfId="0" applyFill="1"/>
    <xf numFmtId="0" fontId="9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4" borderId="1" xfId="0" applyFill="1" applyBorder="1"/>
    <xf numFmtId="177" fontId="0" fillId="4" borderId="1" xfId="1" applyNumberFormat="1" applyFont="1" applyFill="1" applyBorder="1" applyAlignment="1"/>
    <xf numFmtId="0" fontId="0" fillId="4" borderId="1" xfId="0" applyFill="1" applyBorder="1" applyAlignment="1"/>
    <xf numFmtId="10" fontId="0" fillId="4" borderId="1" xfId="4" applyNumberFormat="1" applyFont="1" applyFill="1" applyBorder="1"/>
    <xf numFmtId="0" fontId="0" fillId="4" borderId="8" xfId="0" applyFill="1" applyBorder="1" applyAlignment="1"/>
    <xf numFmtId="10" fontId="0" fillId="3" borderId="1" xfId="4" applyNumberFormat="1" applyFont="1" applyFill="1" applyBorder="1"/>
    <xf numFmtId="0" fontId="0" fillId="5" borderId="0" xfId="0" applyFill="1"/>
    <xf numFmtId="0" fontId="0" fillId="5" borderId="0" xfId="0" applyFill="1" applyBorder="1" applyAlignment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177" fontId="0" fillId="5" borderId="0" xfId="1" applyNumberFormat="1" applyFont="1" applyFill="1" applyBorder="1" applyAlignment="1"/>
    <xf numFmtId="10" fontId="0" fillId="5" borderId="0" xfId="4" applyNumberFormat="1" applyFont="1" applyFill="1" applyBorder="1"/>
    <xf numFmtId="0" fontId="13" fillId="5" borderId="0" xfId="0" applyFont="1" applyFill="1" applyBorder="1"/>
    <xf numFmtId="0" fontId="13" fillId="5" borderId="0" xfId="0" applyFont="1" applyFill="1" applyBorder="1" applyAlignment="1">
      <alignment horizontal="right"/>
    </xf>
    <xf numFmtId="0" fontId="8" fillId="6" borderId="3" xfId="0" applyFont="1" applyFill="1" applyBorder="1" applyAlignment="1"/>
    <xf numFmtId="0" fontId="0" fillId="6" borderId="4" xfId="0" applyFill="1" applyBorder="1" applyAlignment="1"/>
    <xf numFmtId="0" fontId="8" fillId="6" borderId="0" xfId="0" applyFont="1" applyFill="1" applyBorder="1" applyAlignment="1"/>
    <xf numFmtId="0" fontId="0" fillId="6" borderId="6" xfId="0" applyFill="1" applyBorder="1" applyAlignment="1"/>
    <xf numFmtId="10" fontId="14" fillId="5" borderId="0" xfId="0" applyNumberFormat="1" applyFont="1" applyFill="1" applyBorder="1" applyAlignment="1">
      <alignment horizontal="right"/>
    </xf>
    <xf numFmtId="10" fontId="14" fillId="5" borderId="0" xfId="0" applyNumberFormat="1" applyFont="1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177" fontId="0" fillId="3" borderId="0" xfId="1" applyNumberFormat="1" applyFont="1" applyFill="1" applyAlignment="1"/>
    <xf numFmtId="10" fontId="0" fillId="3" borderId="0" xfId="4" applyNumberFormat="1" applyFont="1" applyFill="1"/>
    <xf numFmtId="10" fontId="0" fillId="5" borderId="0" xfId="4" applyNumberFormat="1" applyFont="1" applyFill="1" applyBorder="1" applyAlignment="1">
      <alignment horizontal="right"/>
    </xf>
    <xf numFmtId="10" fontId="0" fillId="5" borderId="0" xfId="4" applyNumberFormat="1" applyFont="1" applyFill="1" applyBorder="1" applyAlignment="1">
      <alignment horizontal="left"/>
    </xf>
    <xf numFmtId="0" fontId="12" fillId="5" borderId="0" xfId="0" applyFont="1" applyFill="1" applyBorder="1"/>
    <xf numFmtId="177" fontId="12" fillId="5" borderId="0" xfId="1" applyNumberFormat="1" applyFont="1" applyFill="1" applyBorder="1" applyAlignment="1"/>
    <xf numFmtId="10" fontId="12" fillId="5" borderId="0" xfId="4" applyNumberFormat="1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9" fillId="5" borderId="0" xfId="0" applyFont="1" applyFill="1"/>
    <xf numFmtId="0" fontId="18" fillId="6" borderId="3" xfId="0" applyFont="1" applyFill="1" applyBorder="1" applyAlignment="1">
      <alignment horizontal="right" vertical="center"/>
    </xf>
    <xf numFmtId="0" fontId="18" fillId="6" borderId="0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9" fillId="6" borderId="3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 applyProtection="1">
      <alignment horizontal="right" vertical="center"/>
      <protection locked="0"/>
    </xf>
    <xf numFmtId="0" fontId="17" fillId="6" borderId="0" xfId="0" applyFont="1" applyFill="1" applyBorder="1" applyAlignment="1" applyProtection="1">
      <alignment horizontal="right" vertical="center"/>
      <protection locked="0"/>
    </xf>
    <xf numFmtId="0" fontId="10" fillId="6" borderId="0" xfId="0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20" fillId="7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177" fontId="12" fillId="3" borderId="1" xfId="1" applyNumberFormat="1" applyFont="1" applyFill="1" applyBorder="1" applyAlignment="1">
      <alignment vertical="center"/>
    </xf>
    <xf numFmtId="177" fontId="0" fillId="3" borderId="1" xfId="0" applyNumberFormat="1" applyFill="1" applyBorder="1"/>
    <xf numFmtId="177" fontId="20" fillId="7" borderId="1" xfId="1" applyNumberFormat="1" applyFont="1" applyFill="1" applyBorder="1" applyAlignment="1">
      <alignment horizontal="center" vertical="center"/>
    </xf>
  </cellXfs>
  <cellStyles count="5">
    <cellStyle name="百分比" xfId="4" builtinId="5"/>
    <cellStyle name="常规" xfId="0" builtinId="0"/>
    <cellStyle name="常规 2" xfId="3" xr:uid="{00000000-0005-0000-0000-000002000000}"/>
    <cellStyle name="常规_Sheet2" xfId="2" xr:uid="{00000000-0005-0000-0000-000003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09280490770001E-2"/>
          <c:y val="5.8510638297872342E-2"/>
          <c:w val="0.84280093328595218"/>
          <c:h val="0.62927552465983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Demo!$AB$14</c:f>
              <c:strCache>
                <c:ptCount val="1"/>
                <c:pt idx="0">
                  <c:v>2019-销售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Demo!$AA$15:$AA$26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Demo!$AB$15:$AB$26</c:f>
              <c:numCache>
                <c:formatCode>_(* #,##0_);_(* \(#,##0\);_(* "-"??_);_(@_)</c:formatCode>
                <c:ptCount val="12"/>
                <c:pt idx="0">
                  <c:v>44000431.337359987</c:v>
                </c:pt>
                <c:pt idx="1">
                  <c:v>42335183.210150003</c:v>
                </c:pt>
                <c:pt idx="2">
                  <c:v>42565669.28773997</c:v>
                </c:pt>
                <c:pt idx="3">
                  <c:v>42045571.597220004</c:v>
                </c:pt>
                <c:pt idx="4">
                  <c:v>43397843.521820024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A-47D7-AA1F-FE897FC43453}"/>
            </c:ext>
          </c:extLst>
        </c:ser>
        <c:ser>
          <c:idx val="1"/>
          <c:order val="1"/>
          <c:tx>
            <c:strRef>
              <c:f>Demo!$AC$14</c:f>
              <c:strCache>
                <c:ptCount val="1"/>
                <c:pt idx="0">
                  <c:v>2018-销售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Demo!$AA$15:$AA$26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Demo!$AC$15:$AC$26</c:f>
              <c:numCache>
                <c:formatCode>_(* #,##0_);_(* \(#,##0\);_(* "-"??_);_(@_)</c:formatCode>
                <c:ptCount val="12"/>
                <c:pt idx="0">
                  <c:v>40163545.702669986</c:v>
                </c:pt>
                <c:pt idx="1">
                  <c:v>42169657.072709993</c:v>
                </c:pt>
                <c:pt idx="2">
                  <c:v>39288672.893969983</c:v>
                </c:pt>
                <c:pt idx="3">
                  <c:v>41235377.199489996</c:v>
                </c:pt>
                <c:pt idx="4">
                  <c:v>41112431.946579993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A-47D7-AA1F-FE897FC4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5"/>
        <c:overlap val="-1"/>
        <c:axId val="600401816"/>
        <c:axId val="600400504"/>
      </c:barChart>
      <c:catAx>
        <c:axId val="60040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400504"/>
        <c:crosses val="autoZero"/>
        <c:auto val="1"/>
        <c:lblAlgn val="ctr"/>
        <c:lblOffset val="100"/>
        <c:noMultiLvlLbl val="0"/>
      </c:catAx>
      <c:valAx>
        <c:axId val="600400504"/>
        <c:scaling>
          <c:orientation val="minMax"/>
          <c:min val="30000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40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272035625229025"/>
          <c:y val="0.81098079267288237"/>
          <c:w val="0.21051574356270167"/>
          <c:h val="0.13507437485586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09329915975263E-2"/>
          <c:y val="3.731844541391785E-2"/>
          <c:w val="0.84280093328595218"/>
          <c:h val="0.25886675396582665"/>
        </c:manualLayout>
      </c:layout>
      <c:lineChart>
        <c:grouping val="standard"/>
        <c:varyColors val="0"/>
        <c:ser>
          <c:idx val="0"/>
          <c:order val="0"/>
          <c:tx>
            <c:strRef>
              <c:f>Demo!$AF$14</c:f>
              <c:strCache>
                <c:ptCount val="1"/>
                <c:pt idx="0">
                  <c:v>2019-利润率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 w="19050" cmpd="dbl">
                <a:noFill/>
              </a:ln>
              <a:effectLst/>
            </c:spPr>
          </c:marker>
          <c:cat>
            <c:numRef>
              <c:f>Demo!$AA$15:$AA$26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Demo!$AF$15:$AF$26</c:f>
              <c:numCache>
                <c:formatCode>0.00%</c:formatCode>
                <c:ptCount val="12"/>
                <c:pt idx="0">
                  <c:v>0.35346274395024868</c:v>
                </c:pt>
                <c:pt idx="1">
                  <c:v>0.35084177306658715</c:v>
                </c:pt>
                <c:pt idx="2">
                  <c:v>0.3493631898688272</c:v>
                </c:pt>
                <c:pt idx="3">
                  <c:v>0.34577416579707454</c:v>
                </c:pt>
                <c:pt idx="4">
                  <c:v>0.35363677191128962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B-430C-B0FB-78154656192F}"/>
            </c:ext>
          </c:extLst>
        </c:ser>
        <c:ser>
          <c:idx val="1"/>
          <c:order val="1"/>
          <c:tx>
            <c:strRef>
              <c:f>Demo!$AG$14</c:f>
              <c:strCache>
                <c:ptCount val="1"/>
                <c:pt idx="0">
                  <c:v>2018-利润率</c:v>
                </c:pt>
              </c:strCache>
            </c:strRef>
          </c:tx>
          <c:spPr>
            <a:ln w="28575" cap="rnd" cmpd="dbl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Demo!$AA$15:$AA$26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Demo!$AG$15:$AG$26</c:f>
              <c:numCache>
                <c:formatCode>0.00%</c:formatCode>
                <c:ptCount val="12"/>
                <c:pt idx="0">
                  <c:v>0.35401986099316129</c:v>
                </c:pt>
                <c:pt idx="1">
                  <c:v>0.36177951886048065</c:v>
                </c:pt>
                <c:pt idx="2">
                  <c:v>0.34102129808261239</c:v>
                </c:pt>
                <c:pt idx="3">
                  <c:v>0.3485589212559892</c:v>
                </c:pt>
                <c:pt idx="4">
                  <c:v>0.34769245884204225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30C-B0FB-78154656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401816"/>
        <c:axId val="600400504"/>
      </c:lineChart>
      <c:catAx>
        <c:axId val="600401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400504"/>
        <c:crosses val="autoZero"/>
        <c:auto val="1"/>
        <c:lblAlgn val="ctr"/>
        <c:lblOffset val="100"/>
        <c:noMultiLvlLbl val="0"/>
      </c:catAx>
      <c:valAx>
        <c:axId val="600400504"/>
        <c:scaling>
          <c:orientation val="minMax"/>
          <c:max val="0.5"/>
          <c:min val="0.2"/>
        </c:scaling>
        <c:delete val="1"/>
        <c:axPos val="l"/>
        <c:numFmt formatCode="0.00%" sourceLinked="1"/>
        <c:majorTickMark val="out"/>
        <c:minorTickMark val="none"/>
        <c:tickLblPos val="nextTo"/>
        <c:crossAx val="60040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25414398703517"/>
          <c:y val="0.88909974196637587"/>
          <c:w val="0.34660267927918409"/>
          <c:h val="0.1078407639923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75-470E-ACD4-664EAB505E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B76D57-64FE-4214-914E-B3342E69EF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A75-470E-ACD4-664EAB505E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8B2CB4-53C0-449A-9CC9-6B317B7B03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A75-470E-ACD4-664EAB505E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60C236-EA4E-45A7-B947-F2BCE2A1B9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A75-470E-ACD4-664EAB505E8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62D866-8E79-4900-AF9C-9FD1110408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A75-470E-ACD4-664EAB505E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A0861A-1439-471D-8ED3-B7FEA5F2BA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A75-470E-ACD4-664EAB505E8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62D629A-BCF4-48BF-9A2A-382313C6DF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75-470E-ACD4-664EAB505E8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312160-08E4-4A09-8695-0BB69D560F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A75-470E-ACD4-664EAB505E8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96052E6-B298-4534-ACAA-FB7C2A7915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75-470E-ACD4-664EAB505E8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C035C0-1BC5-4063-AF01-F21CA0A881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A75-470E-ACD4-664EAB505E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Demo!$AC$56:$AC$65</c:f>
              <c:numCache>
                <c:formatCode>_(* #,##0_);_(* \(#,##0\);_(* "-"??_);_(@_)</c:formatCode>
                <c:ptCount val="10"/>
                <c:pt idx="1">
                  <c:v>3529779.2228399999</c:v>
                </c:pt>
                <c:pt idx="2">
                  <c:v>4183629.45945</c:v>
                </c:pt>
                <c:pt idx="3">
                  <c:v>5505111.3784599993</c:v>
                </c:pt>
                <c:pt idx="4">
                  <c:v>5820652.2316400008</c:v>
                </c:pt>
                <c:pt idx="5">
                  <c:v>6539862.2380599966</c:v>
                </c:pt>
                <c:pt idx="6">
                  <c:v>4072277.0124999993</c:v>
                </c:pt>
                <c:pt idx="7">
                  <c:v>5563267.7460499993</c:v>
                </c:pt>
                <c:pt idx="8">
                  <c:v>4259687.9736400004</c:v>
                </c:pt>
                <c:pt idx="9">
                  <c:v>3923576.2591800001</c:v>
                </c:pt>
              </c:numCache>
            </c:numRef>
          </c:xVal>
          <c:yVal>
            <c:numRef>
              <c:f>Demo!$AE$56:$AE$65</c:f>
              <c:numCache>
                <c:formatCode>0.00%</c:formatCode>
                <c:ptCount val="10"/>
                <c:pt idx="1">
                  <c:v>0.34519016648172696</c:v>
                </c:pt>
                <c:pt idx="2">
                  <c:v>0.34416523882673267</c:v>
                </c:pt>
                <c:pt idx="3">
                  <c:v>0.35280514066699564</c:v>
                </c:pt>
                <c:pt idx="4">
                  <c:v>0.36434010051842436</c:v>
                </c:pt>
                <c:pt idx="5">
                  <c:v>0.367765201182783</c:v>
                </c:pt>
                <c:pt idx="6">
                  <c:v>0.33403166947867025</c:v>
                </c:pt>
                <c:pt idx="7">
                  <c:v>0.37237041683288785</c:v>
                </c:pt>
                <c:pt idx="8">
                  <c:v>0.33100064330629531</c:v>
                </c:pt>
                <c:pt idx="9">
                  <c:v>0.3530019690859989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Demo!$AB$56:$AB$65</c15:f>
                <c15:dlblRangeCache>
                  <c:ptCount val="10"/>
                  <c:pt idx="1">
                    <c:v>李浩</c:v>
                  </c:pt>
                  <c:pt idx="2">
                    <c:v>王斌</c:v>
                  </c:pt>
                  <c:pt idx="3">
                    <c:v>赵敏</c:v>
                  </c:pt>
                  <c:pt idx="4">
                    <c:v>周康</c:v>
                  </c:pt>
                  <c:pt idx="5">
                    <c:v>张文礼</c:v>
                  </c:pt>
                  <c:pt idx="6">
                    <c:v>李忠</c:v>
                  </c:pt>
                  <c:pt idx="7">
                    <c:v>冯雪</c:v>
                  </c:pt>
                  <c:pt idx="8">
                    <c:v>赵佳</c:v>
                  </c:pt>
                  <c:pt idx="9">
                    <c:v>刘希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A75-470E-ACD4-664EAB50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86136"/>
        <c:axId val="747090728"/>
      </c:scatterChart>
      <c:valAx>
        <c:axId val="747086136"/>
        <c:scaling>
          <c:orientation val="minMax"/>
          <c:max val="7000000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90728"/>
        <c:crosses val="autoZero"/>
        <c:crossBetween val="midCat"/>
      </c:valAx>
      <c:valAx>
        <c:axId val="747090728"/>
        <c:scaling>
          <c:orientation val="minMax"/>
          <c:max val="0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72F72C4-4F6B-490A-AC58-08E052510C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AE-44BC-A1F7-288ED091EC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73763A-6D41-47AC-8FED-FC63171330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4AE-44BC-A1F7-288ED091EC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515B87-6CAB-4253-B7A0-17C6CC33F3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4AE-44BC-A1F7-288ED091EC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432811-9C61-40F7-A62F-36A8A9740F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AE-44BC-A1F7-288ED091EC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F71401-6616-46DC-8206-A41477C687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AE-44BC-A1F7-288ED091EC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2E098A-869C-4712-A7C1-21C41599E0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AE-44BC-A1F7-288ED091EC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F1720A-AB05-46EE-91A0-FDC3D199A6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AE-44BC-A1F7-288ED091EC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29DF10A-6223-427E-9BB7-82BB5209AC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AE-44BC-A1F7-288ED091EC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E2A3946-2C32-4B64-A219-090AED3D4C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AE-44BC-A1F7-288ED091EC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Demo!$AC$67:$AC$75</c:f>
              <c:numCache>
                <c:formatCode>_(* #,##0_);_(* \(#,##0\);_(* "-"??_);_(@_)</c:formatCode>
                <c:ptCount val="9"/>
                <c:pt idx="0">
                  <c:v>2956803.78767</c:v>
                </c:pt>
                <c:pt idx="1">
                  <c:v>3816693.3760000006</c:v>
                </c:pt>
                <c:pt idx="2">
                  <c:v>5246672.69735</c:v>
                </c:pt>
                <c:pt idx="3">
                  <c:v>5856568.2855400005</c:v>
                </c:pt>
                <c:pt idx="4">
                  <c:v>5808706.7356400006</c:v>
                </c:pt>
                <c:pt idx="5">
                  <c:v>4163659.1768200002</c:v>
                </c:pt>
                <c:pt idx="6">
                  <c:v>5822641.9589999998</c:v>
                </c:pt>
                <c:pt idx="7">
                  <c:v>3516774.9899400007</c:v>
                </c:pt>
                <c:pt idx="8">
                  <c:v>3923910.9386199992</c:v>
                </c:pt>
              </c:numCache>
            </c:numRef>
          </c:xVal>
          <c:yVal>
            <c:numRef>
              <c:f>Demo!$AE$67:$AE$75</c:f>
              <c:numCache>
                <c:formatCode>0.00%</c:formatCode>
                <c:ptCount val="9"/>
                <c:pt idx="0">
                  <c:v>0.34051773131764307</c:v>
                </c:pt>
                <c:pt idx="1">
                  <c:v>0.33284817533644673</c:v>
                </c:pt>
                <c:pt idx="2">
                  <c:v>0.33642409459997569</c:v>
                </c:pt>
                <c:pt idx="3">
                  <c:v>0.32894628712389307</c:v>
                </c:pt>
                <c:pt idx="4">
                  <c:v>0.3351667747443996</c:v>
                </c:pt>
                <c:pt idx="5">
                  <c:v>0.36950076597211434</c:v>
                </c:pt>
                <c:pt idx="6">
                  <c:v>0.39795224352629877</c:v>
                </c:pt>
                <c:pt idx="7">
                  <c:v>0.32051557606097481</c:v>
                </c:pt>
                <c:pt idx="8">
                  <c:v>0.36031611398741803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Demo!$AB$56:$AB$65</c15:f>
                <c15:dlblRangeCache>
                  <c:ptCount val="10"/>
                  <c:pt idx="1">
                    <c:v>李浩</c:v>
                  </c:pt>
                  <c:pt idx="2">
                    <c:v>王斌</c:v>
                  </c:pt>
                  <c:pt idx="3">
                    <c:v>赵敏</c:v>
                  </c:pt>
                  <c:pt idx="4">
                    <c:v>周康</c:v>
                  </c:pt>
                  <c:pt idx="5">
                    <c:v>张文礼</c:v>
                  </c:pt>
                  <c:pt idx="6">
                    <c:v>李忠</c:v>
                  </c:pt>
                  <c:pt idx="7">
                    <c:v>冯雪</c:v>
                  </c:pt>
                  <c:pt idx="8">
                    <c:v>赵佳</c:v>
                  </c:pt>
                  <c:pt idx="9">
                    <c:v>刘希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4AE-44BC-A1F7-288ED091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86136"/>
        <c:axId val="747090728"/>
      </c:scatterChart>
      <c:valAx>
        <c:axId val="747086136"/>
        <c:scaling>
          <c:orientation val="minMax"/>
          <c:max val="7000000"/>
          <c:min val="200000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90728"/>
        <c:crosses val="autoZero"/>
        <c:crossBetween val="midCat"/>
      </c:valAx>
      <c:valAx>
        <c:axId val="747090728"/>
        <c:scaling>
          <c:orientation val="minMax"/>
          <c:max val="0.4"/>
          <c:min val="0.30000000000000004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8</xdr:col>
      <xdr:colOff>487680</xdr:colOff>
      <xdr:row>15</xdr:row>
      <xdr:rowOff>71120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3306536" y="1251857"/>
          <a:ext cx="2515144" cy="1608727"/>
          <a:chOff x="1148080" y="1270000"/>
          <a:chExt cx="2336800" cy="1645920"/>
        </a:xfrm>
      </xdr:grpSpPr>
      <xdr:sp macro="" textlink="$AB$7">
        <xdr:nvSpPr>
          <xdr:cNvPr id="4" name="矩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402080" y="1920240"/>
            <a:ext cx="1889760" cy="4775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0CD4C46-0F6D-4EBB-AACD-E01EE50E43A6}" type="TxLink">
              <a:rPr lang="en-US" altLang="en-US" sz="2400" b="1" i="0" u="none" strike="noStrike">
                <a:solidFill>
                  <a:schemeClr val="tx2">
                    <a:lumMod val="50000"/>
                  </a:schemeClr>
                </a:solidFill>
                <a:latin typeface="Calibri"/>
                <a:cs typeface="Calibri"/>
              </a:rPr>
              <a:pPr algn="ctr"/>
              <a:t> 214,344,699 </a:t>
            </a:fld>
            <a:endParaRPr lang="en-US" sz="3600" b="1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$AH$7">
        <xdr:nvSpPr>
          <xdr:cNvPr id="9" name="矩形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869440" y="2489200"/>
            <a:ext cx="86360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EB43251-D75F-4CAA-A01F-E957AAD91F58}" type="TxLink">
              <a:rPr lang="en-US" altLang="en-US" sz="1600" b="1" i="0" u="none" strike="noStrike">
                <a:solidFill>
                  <a:schemeClr val="tx2">
                    <a:lumMod val="50000"/>
                  </a:schemeClr>
                </a:solidFill>
                <a:latin typeface="Calibri"/>
                <a:cs typeface="Calibri"/>
              </a:rPr>
              <a:pPr algn="ctr"/>
              <a:t>5.09%</a:t>
            </a:fld>
            <a:endParaRPr lang="en-US" sz="4000" b="1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920240" y="1381760"/>
            <a:ext cx="86360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 i="0" u="none" strike="noStrike">
                <a:solidFill>
                  <a:schemeClr val="bg1"/>
                </a:solidFill>
                <a:latin typeface="Calibri"/>
                <a:cs typeface="Calibri"/>
              </a:rPr>
              <a:t>YTD</a:t>
            </a:r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148080" y="1270000"/>
            <a:ext cx="1209040" cy="477520"/>
          </a:xfrm>
          <a:prstGeom prst="rect">
            <a:avLst/>
          </a:prstGeom>
          <a:noFill/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销售额</a:t>
            </a:r>
            <a:endParaRPr lang="en-US" sz="1800" b="1"/>
          </a:p>
        </xdr:txBody>
      </xdr:sp>
      <xdr:cxnSp macro="">
        <xdr:nvCxnSpPr>
          <xdr:cNvPr id="21" name="直接连接符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1391920" y="1717040"/>
            <a:ext cx="2092960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73200" y="2550160"/>
            <a:ext cx="487680" cy="3048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40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10</xdr:col>
      <xdr:colOff>83219</xdr:colOff>
      <xdr:row>7</xdr:row>
      <xdr:rowOff>10160</xdr:rowOff>
    </xdr:from>
    <xdr:to>
      <xdr:col>14</xdr:col>
      <xdr:colOff>172713</xdr:colOff>
      <xdr:row>15</xdr:row>
      <xdr:rowOff>71120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587433" y="1262017"/>
          <a:ext cx="2797316" cy="1598567"/>
          <a:chOff x="1233108" y="1280160"/>
          <a:chExt cx="2251772" cy="1635760"/>
        </a:xfrm>
      </xdr:grpSpPr>
      <xdr:sp macro="" textlink="$AB$9">
        <xdr:nvSpPr>
          <xdr:cNvPr id="26" name="矩形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1402080" y="1920240"/>
            <a:ext cx="1889760" cy="4775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14979E-3EC9-4143-A2E2-20432A8C76FD}" type="TxLink">
              <a:rPr lang="en-US" altLang="en-US" sz="2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55,647,466 </a:t>
            </a:fld>
            <a:endParaRPr lang="en-US" sz="6600" b="1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$AH$9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1869440" y="2489200"/>
            <a:ext cx="86360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1A8D4B-9942-4C4C-99F4-99E5B23F64D6}" type="TxLink">
              <a:rPr lang="en-US" alt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5.07%</a:t>
            </a:fld>
            <a:endParaRPr lang="en-US" sz="5400" b="1">
              <a:solidFill>
                <a:schemeClr val="bg1"/>
              </a:solidFill>
            </a:endParaRPr>
          </a:p>
        </xdr:txBody>
      </xdr:sp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1920240" y="1381760"/>
            <a:ext cx="86360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 i="0" u="none" strike="noStrike">
                <a:solidFill>
                  <a:schemeClr val="bg1"/>
                </a:solidFill>
                <a:latin typeface="Calibri"/>
                <a:cs typeface="Calibri"/>
              </a:rPr>
              <a:t>YTD</a:t>
            </a:r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1233108" y="1280160"/>
            <a:ext cx="1209040" cy="477520"/>
          </a:xfrm>
          <a:prstGeom prst="rect">
            <a:avLst/>
          </a:prstGeom>
          <a:noFill/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利润</a:t>
            </a:r>
            <a:endParaRPr lang="en-US" sz="1800" b="1"/>
          </a:p>
        </xdr:txBody>
      </xdr:sp>
      <xdr:cxnSp macro="">
        <xdr:nvCxnSpPr>
          <xdr:cNvPr id="30" name="直接连接符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/>
        </xdr:nvCxnSpPr>
        <xdr:spPr>
          <a:xfrm>
            <a:off x="1391920" y="1717040"/>
            <a:ext cx="2092960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1473200" y="2550160"/>
            <a:ext cx="487680" cy="3048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40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15</xdr:col>
      <xdr:colOff>91440</xdr:colOff>
      <xdr:row>7</xdr:row>
      <xdr:rowOff>0</xdr:rowOff>
    </xdr:from>
    <xdr:to>
      <xdr:col>19</xdr:col>
      <xdr:colOff>274320</xdr:colOff>
      <xdr:row>15</xdr:row>
      <xdr:rowOff>71120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9888583" y="1251857"/>
          <a:ext cx="2863487" cy="1608727"/>
          <a:chOff x="1148080" y="1270000"/>
          <a:chExt cx="2336800" cy="1645920"/>
        </a:xfrm>
      </xdr:grpSpPr>
      <xdr:sp macro="" textlink="$AB$10">
        <xdr:nvSpPr>
          <xdr:cNvPr id="33" name="矩形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1402080" y="1920240"/>
            <a:ext cx="1889760" cy="4775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C9308DE-5157-4F80-904D-6A6C61A326A3}" type="TxLink">
              <a:rPr lang="en-US" altLang="en-US" sz="2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35.07%</a:t>
            </a:fld>
            <a:endParaRPr lang="en-US" sz="6600" b="1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$AH$10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1869440" y="2489200"/>
            <a:ext cx="86360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6D559B4-C78B-4D91-9E2C-6FFD987D61B7}" type="TxLink">
              <a:rPr lang="en-US" alt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-0.01%</a:t>
            </a:fld>
            <a:endParaRPr lang="en-US" sz="5400" b="1">
              <a:solidFill>
                <a:schemeClr val="bg1"/>
              </a:solidFill>
            </a:endParaRPr>
          </a:p>
        </xdr:txBody>
      </xdr:sp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1920240" y="1381760"/>
            <a:ext cx="86360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 i="0" u="none" strike="noStrike">
                <a:solidFill>
                  <a:schemeClr val="bg1"/>
                </a:solidFill>
                <a:latin typeface="Calibri"/>
                <a:cs typeface="Calibri"/>
              </a:rPr>
              <a:t>YTD</a:t>
            </a: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1148080" y="1270000"/>
            <a:ext cx="1209040" cy="477520"/>
          </a:xfrm>
          <a:prstGeom prst="rect">
            <a:avLst/>
          </a:prstGeom>
          <a:noFill/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利润率</a:t>
            </a:r>
            <a:endParaRPr lang="en-US" sz="1800" b="1"/>
          </a:p>
        </xdr:txBody>
      </xdr:sp>
      <xdr:cxnSp macro="">
        <xdr:nvCxnSpPr>
          <xdr:cNvPr id="37" name="直接连接符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/>
        </xdr:nvCxnSpPr>
        <xdr:spPr>
          <a:xfrm>
            <a:off x="1391920" y="1717040"/>
            <a:ext cx="2092960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1473200" y="2550160"/>
            <a:ext cx="487680" cy="3048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40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4</xdr:col>
      <xdr:colOff>355600</xdr:colOff>
      <xdr:row>23</xdr:row>
      <xdr:rowOff>10160</xdr:rowOff>
    </xdr:from>
    <xdr:to>
      <xdr:col>20</xdr:col>
      <xdr:colOff>457200</xdr:colOff>
      <xdr:row>36</xdr:row>
      <xdr:rowOff>91440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314960</xdr:colOff>
      <xdr:row>19</xdr:row>
      <xdr:rowOff>60960</xdr:rowOff>
    </xdr:from>
    <xdr:to>
      <xdr:col>21</xdr:col>
      <xdr:colOff>10160</xdr:colOff>
      <xdr:row>35</xdr:row>
      <xdr:rowOff>142240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121920</xdr:colOff>
      <xdr:row>46</xdr:row>
      <xdr:rowOff>0</xdr:rowOff>
    </xdr:from>
    <xdr:to>
      <xdr:col>7</xdr:col>
      <xdr:colOff>193040</xdr:colOff>
      <xdr:row>47</xdr:row>
      <xdr:rowOff>111760</xdr:rowOff>
    </xdr:to>
    <xdr:sp macro="" textlink="$AB$7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270000" y="7599680"/>
          <a:ext cx="1381760" cy="294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CD4C46-0F6D-4EBB-AACD-E01EE50E43A6}" type="TxLink">
            <a:rPr lang="en-US" altLang="en-US" sz="2400" b="1" i="0" u="none" strike="noStrike">
              <a:solidFill>
                <a:schemeClr val="tx2">
                  <a:lumMod val="50000"/>
                </a:schemeClr>
              </a:solidFill>
              <a:latin typeface="Calibri"/>
              <a:cs typeface="Calibri"/>
            </a:rPr>
            <a:pPr algn="ctr"/>
            <a:t> 214,344,699 </a:t>
          </a:fld>
          <a:endParaRPr lang="en-US" sz="36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457200</xdr:colOff>
      <xdr:row>41</xdr:row>
      <xdr:rowOff>40640</xdr:rowOff>
    </xdr:from>
    <xdr:to>
      <xdr:col>8</xdr:col>
      <xdr:colOff>406400</xdr:colOff>
      <xdr:row>52</xdr:row>
      <xdr:rowOff>101600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3178629" y="7429319"/>
          <a:ext cx="2561771" cy="2387781"/>
          <a:chOff x="1056640" y="6746240"/>
          <a:chExt cx="2336800" cy="2438400"/>
        </a:xfrm>
      </xdr:grpSpPr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1432560" y="7030720"/>
            <a:ext cx="47752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M</a:t>
            </a:r>
            <a:r>
              <a:rPr lang="en-US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TD</a:t>
            </a: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2661920" y="7071360"/>
            <a:ext cx="467360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05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grpSp>
        <xdr:nvGrpSpPr>
          <xdr:cNvPr id="51" name="组合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1056640" y="6746240"/>
            <a:ext cx="2326640" cy="2438400"/>
            <a:chOff x="1056640" y="6898640"/>
            <a:chExt cx="2326640" cy="1920240"/>
          </a:xfrm>
        </xdr:grpSpPr>
        <xdr:sp macro="" textlink="">
          <xdr:nvSpPr>
            <xdr:cNvPr id="50" name="矩形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56640" y="7091680"/>
              <a:ext cx="2326640" cy="1727200"/>
            </a:xfrm>
            <a:prstGeom prst="rect">
              <a:avLst/>
            </a:prstGeom>
            <a:noFill/>
            <a:ln w="19050">
              <a:solidFill>
                <a:schemeClr val="bg1">
                  <a:lumMod val="9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" name="矩形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>
            <a:xfrm>
              <a:off x="1808480" y="6898640"/>
              <a:ext cx="883920" cy="355600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400" b="1"/>
                <a:t>酒水</a:t>
              </a:r>
              <a:endParaRPr lang="en-US" sz="1400" b="1"/>
            </a:p>
          </xdr:txBody>
        </xdr:sp>
      </xdr:grpSp>
      <xdr:sp macro="" textlink="$AB$42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1127760" y="7325360"/>
            <a:ext cx="114808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EF010E0-ABE3-4975-890A-587389CDA331}" type="TxLink">
              <a:rPr lang="en-US" altLang="zh-CN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14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sp macro="" textlink="$AC$42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326640" y="7396480"/>
            <a:ext cx="80264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82BC3E-9B40-4C7B-86E4-C9BCD981B3EF}" type="TxLink">
              <a:rPr lang="en-US" altLang="zh-CN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14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cxnSp macro="">
        <xdr:nvCxnSpPr>
          <xdr:cNvPr id="56" name="直接连接符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CxnSpPr/>
        </xdr:nvCxnSpPr>
        <xdr:spPr>
          <a:xfrm flipV="1">
            <a:off x="1087120" y="7792720"/>
            <a:ext cx="2306320" cy="20320"/>
          </a:xfrm>
          <a:prstGeom prst="line">
            <a:avLst/>
          </a:prstGeom>
          <a:ln w="9525">
            <a:solidFill>
              <a:schemeClr val="bg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436880</xdr:colOff>
      <xdr:row>41</xdr:row>
      <xdr:rowOff>30480</xdr:rowOff>
    </xdr:from>
    <xdr:to>
      <xdr:col>13</xdr:col>
      <xdr:colOff>304800</xdr:colOff>
      <xdr:row>52</xdr:row>
      <xdr:rowOff>91440</xdr:rowOff>
    </xdr:to>
    <xdr:grpSp>
      <xdr:nvGrpSpPr>
        <xdr:cNvPr id="58" name="组合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6355987" y="7419159"/>
          <a:ext cx="2575742" cy="2387781"/>
          <a:chOff x="1056640" y="6746240"/>
          <a:chExt cx="2336800" cy="2438400"/>
        </a:xfrm>
      </xdr:grpSpPr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1432560" y="7030720"/>
            <a:ext cx="47752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M</a:t>
            </a:r>
            <a:r>
              <a:rPr lang="en-US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TD</a:t>
            </a:r>
          </a:p>
        </xdr:txBody>
      </xdr:sp>
      <xdr:sp macro="" textlink="">
        <xdr:nvSpPr>
          <xdr:cNvPr id="60" name="矩形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2661920" y="7071360"/>
            <a:ext cx="467360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05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grpSp>
        <xdr:nvGrpSpPr>
          <xdr:cNvPr id="61" name="组合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GrpSpPr/>
        </xdr:nvGrpSpPr>
        <xdr:grpSpPr>
          <a:xfrm>
            <a:off x="1056640" y="6746240"/>
            <a:ext cx="2326640" cy="2438400"/>
            <a:chOff x="1056640" y="6898640"/>
            <a:chExt cx="2326640" cy="1920240"/>
          </a:xfrm>
        </xdr:grpSpPr>
        <xdr:sp macro="" textlink="">
          <xdr:nvSpPr>
            <xdr:cNvPr id="65" name="矩形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56640" y="7091680"/>
              <a:ext cx="2326640" cy="1727200"/>
            </a:xfrm>
            <a:prstGeom prst="rect">
              <a:avLst/>
            </a:prstGeom>
            <a:noFill/>
            <a:ln w="19050">
              <a:solidFill>
                <a:schemeClr val="bg1">
                  <a:lumMod val="9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矩形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/>
          </xdr:nvSpPr>
          <xdr:spPr>
            <a:xfrm>
              <a:off x="1808480" y="6898640"/>
              <a:ext cx="883920" cy="355600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400" b="1"/>
                <a:t>食品</a:t>
              </a:r>
              <a:endParaRPr lang="en-US" sz="1400" b="1"/>
            </a:p>
          </xdr:txBody>
        </xdr:sp>
      </xdr:grpSp>
      <xdr:sp macro="" textlink="$AB$43">
        <xdr:nvSpPr>
          <xdr:cNvPr id="62" name="矩形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1127760" y="7325360"/>
            <a:ext cx="125984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150245A-F6FB-4DE1-9731-1C9F6CC05396}" type="TxLink">
              <a:rPr lang="en-US" altLang="zh-CN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20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sp macro="" textlink="$AC$43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2438400" y="7396480"/>
            <a:ext cx="80264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24CBAB-E5B0-4CF2-A0C6-1EAD4DE5FE8F}" type="TxLink">
              <a:rPr lang="en-US" altLang="zh-CN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14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cxnSp macro="">
        <xdr:nvCxnSpPr>
          <xdr:cNvPr id="64" name="直接连接符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CxnSpPr/>
        </xdr:nvCxnSpPr>
        <xdr:spPr>
          <a:xfrm flipV="1">
            <a:off x="1087120" y="7792720"/>
            <a:ext cx="2306320" cy="20320"/>
          </a:xfrm>
          <a:prstGeom prst="line">
            <a:avLst/>
          </a:prstGeom>
          <a:ln w="9525">
            <a:solidFill>
              <a:schemeClr val="bg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396240</xdr:colOff>
      <xdr:row>41</xdr:row>
      <xdr:rowOff>40640</xdr:rowOff>
    </xdr:from>
    <xdr:to>
      <xdr:col>18</xdr:col>
      <xdr:colOff>355600</xdr:colOff>
      <xdr:row>52</xdr:row>
      <xdr:rowOff>101600</xdr:rowOff>
    </xdr:to>
    <xdr:grpSp>
      <xdr:nvGrpSpPr>
        <xdr:cNvPr id="67" name="组合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9608276" y="7429319"/>
          <a:ext cx="2639967" cy="2387781"/>
          <a:chOff x="1016000" y="6746240"/>
          <a:chExt cx="2377440" cy="2438400"/>
        </a:xfrm>
      </xdr:grpSpPr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432560" y="7030720"/>
            <a:ext cx="47752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M</a:t>
            </a:r>
            <a:r>
              <a:rPr lang="en-US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TD</a:t>
            </a: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2661920" y="7071360"/>
            <a:ext cx="467360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05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grpSp>
        <xdr:nvGrpSpPr>
          <xdr:cNvPr id="70" name="组合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1056640" y="6746240"/>
            <a:ext cx="2326640" cy="2438400"/>
            <a:chOff x="1056640" y="6898640"/>
            <a:chExt cx="2326640" cy="1920240"/>
          </a:xfrm>
        </xdr:grpSpPr>
        <xdr:sp macro="" textlink="">
          <xdr:nvSpPr>
            <xdr:cNvPr id="74" name="矩形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56640" y="7091680"/>
              <a:ext cx="2326640" cy="1727200"/>
            </a:xfrm>
            <a:prstGeom prst="rect">
              <a:avLst/>
            </a:prstGeom>
            <a:noFill/>
            <a:ln w="19050">
              <a:solidFill>
                <a:schemeClr val="bg1">
                  <a:lumMod val="9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" name="矩形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808480" y="6898640"/>
              <a:ext cx="883920" cy="355600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400" b="1"/>
                <a:t>日用品</a:t>
              </a:r>
              <a:endParaRPr lang="en-US" sz="1400" b="1"/>
            </a:p>
          </xdr:txBody>
        </xdr:sp>
      </xdr:grpSp>
      <xdr:sp macro="" textlink="$AB$44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1016000" y="7345680"/>
            <a:ext cx="142240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BBFDB8-ABDA-4161-BB90-A84EA3C6473C}" type="TxLink">
              <a:rPr lang="en-US" altLang="zh-CN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20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sp macro="" textlink="$AC$44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387600" y="7396480"/>
            <a:ext cx="80264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A86B290-9213-4774-AE30-C9E8AFD40C82}" type="TxLink">
              <a:rPr lang="en-US" altLang="zh-CN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14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cxnSp macro="">
        <xdr:nvCxnSpPr>
          <xdr:cNvPr id="73" name="直接连接符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CxnSpPr/>
        </xdr:nvCxnSpPr>
        <xdr:spPr>
          <a:xfrm flipV="1">
            <a:off x="1087120" y="7792720"/>
            <a:ext cx="2306320" cy="20320"/>
          </a:xfrm>
          <a:prstGeom prst="line">
            <a:avLst/>
          </a:prstGeom>
          <a:ln w="9525">
            <a:solidFill>
              <a:schemeClr val="bg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420076</xdr:colOff>
      <xdr:row>57</xdr:row>
      <xdr:rowOff>166077</xdr:rowOff>
    </xdr:from>
    <xdr:to>
      <xdr:col>20</xdr:col>
      <xdr:colOff>244230</xdr:colOff>
      <xdr:row>75</xdr:row>
      <xdr:rowOff>147850</xdr:rowOff>
    </xdr:to>
    <xdr:graphicFrame macro="">
      <xdr:nvGraphicFramePr>
        <xdr:cNvPr id="77" name="图表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419195</xdr:colOff>
      <xdr:row>57</xdr:row>
      <xdr:rowOff>167858</xdr:rowOff>
    </xdr:from>
    <xdr:to>
      <xdr:col>20</xdr:col>
      <xdr:colOff>240143</xdr:colOff>
      <xdr:row>75</xdr:row>
      <xdr:rowOff>142453</xdr:rowOff>
    </xdr:to>
    <xdr:graphicFrame macro="">
      <xdr:nvGraphicFramePr>
        <xdr:cNvPr id="80" name="图表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2950</xdr:colOff>
      <xdr:row>16</xdr:row>
      <xdr:rowOff>67351</xdr:rowOff>
    </xdr:from>
    <xdr:to>
      <xdr:col>20</xdr:col>
      <xdr:colOff>513490</xdr:colOff>
      <xdr:row>19</xdr:row>
      <xdr:rowOff>181651</xdr:rowOff>
    </xdr:to>
    <xdr:sp macro="" textlink="">
      <xdr:nvSpPr>
        <xdr:cNvPr id="84" name="矩形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2461015" y="3115351"/>
          <a:ext cx="9826604" cy="66736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/>
            <a:t>各月份销售额及利润率 </a:t>
          </a:r>
          <a:endParaRPr lang="en-US" sz="2000" b="1"/>
        </a:p>
      </xdr:txBody>
    </xdr:sp>
    <xdr:clientData/>
  </xdr:twoCellAnchor>
  <xdr:twoCellAnchor>
    <xdr:from>
      <xdr:col>4</xdr:col>
      <xdr:colOff>7866</xdr:colOff>
      <xdr:row>36</xdr:row>
      <xdr:rowOff>133718</xdr:rowOff>
    </xdr:from>
    <xdr:to>
      <xdr:col>20</xdr:col>
      <xdr:colOff>518406</xdr:colOff>
      <xdr:row>40</xdr:row>
      <xdr:rowOff>63664</xdr:rowOff>
    </xdr:to>
    <xdr:sp macro="" textlink="">
      <xdr:nvSpPr>
        <xdr:cNvPr id="88" name="矩形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2465931" y="6868815"/>
          <a:ext cx="9826604" cy="66736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/>
            <a:t>各产品类型销售额 </a:t>
          </a:r>
          <a:endParaRPr lang="en-US" sz="2000" b="1"/>
        </a:p>
      </xdr:txBody>
    </xdr:sp>
    <xdr:clientData/>
  </xdr:twoCellAnchor>
  <xdr:twoCellAnchor>
    <xdr:from>
      <xdr:col>4</xdr:col>
      <xdr:colOff>492</xdr:colOff>
      <xdr:row>53</xdr:row>
      <xdr:rowOff>163215</xdr:rowOff>
    </xdr:from>
    <xdr:to>
      <xdr:col>20</xdr:col>
      <xdr:colOff>511032</xdr:colOff>
      <xdr:row>57</xdr:row>
      <xdr:rowOff>93161</xdr:rowOff>
    </xdr:to>
    <xdr:sp macro="" textlink="">
      <xdr:nvSpPr>
        <xdr:cNvPr id="89" name="矩形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2458557" y="10376473"/>
          <a:ext cx="9826604" cy="66736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/>
            <a:t>各区域经理销售额及利润率</a:t>
          </a:r>
          <a:endParaRPr lang="en-US" sz="2000" b="1"/>
        </a:p>
      </xdr:txBody>
    </xdr:sp>
    <xdr:clientData/>
  </xdr:twoCellAnchor>
  <xdr:twoCellAnchor editAs="oneCell">
    <xdr:from>
      <xdr:col>10</xdr:col>
      <xdr:colOff>366889</xdr:colOff>
      <xdr:row>77</xdr:row>
      <xdr:rowOff>28221</xdr:rowOff>
    </xdr:from>
    <xdr:to>
      <xdr:col>11</xdr:col>
      <xdr:colOff>141111</xdr:colOff>
      <xdr:row>78</xdr:row>
      <xdr:rowOff>159926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5333" y="15653925"/>
          <a:ext cx="310445" cy="310445"/>
        </a:xfrm>
        <a:prstGeom prst="rect">
          <a:avLst/>
        </a:prstGeom>
      </xdr:spPr>
    </xdr:pic>
    <xdr:clientData/>
  </xdr:twoCellAnchor>
  <xdr:twoCellAnchor editAs="oneCell">
    <xdr:from>
      <xdr:col>13</xdr:col>
      <xdr:colOff>152399</xdr:colOff>
      <xdr:row>77</xdr:row>
      <xdr:rowOff>58323</xdr:rowOff>
    </xdr:from>
    <xdr:to>
      <xdr:col>13</xdr:col>
      <xdr:colOff>462844</xdr:colOff>
      <xdr:row>79</xdr:row>
      <xdr:rowOff>11287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9362" y="15684027"/>
          <a:ext cx="310445" cy="310445"/>
        </a:xfrm>
        <a:prstGeom prst="rect">
          <a:avLst/>
        </a:prstGeom>
      </xdr:spPr>
    </xdr:pic>
    <xdr:clientData/>
  </xdr:twoCellAnchor>
  <xdr:oneCellAnchor>
    <xdr:from>
      <xdr:col>11</xdr:col>
      <xdr:colOff>75259</xdr:colOff>
      <xdr:row>77</xdr:row>
      <xdr:rowOff>112889</xdr:rowOff>
    </xdr:from>
    <xdr:ext cx="492443" cy="287643"/>
    <xdr:sp macro="" textlink="">
      <xdr:nvSpPr>
        <xdr:cNvPr id="92" name="文本框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6509926" y="15738593"/>
          <a:ext cx="492443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 b="1"/>
            <a:t>去年</a:t>
          </a:r>
          <a:endParaRPr lang="en-US" sz="1200" b="1"/>
        </a:p>
      </xdr:txBody>
    </xdr:sp>
    <xdr:clientData/>
  </xdr:oneCellAnchor>
  <xdr:oneCellAnchor>
    <xdr:from>
      <xdr:col>13</xdr:col>
      <xdr:colOff>368772</xdr:colOff>
      <xdr:row>77</xdr:row>
      <xdr:rowOff>124178</xdr:rowOff>
    </xdr:from>
    <xdr:ext cx="493597" cy="287643"/>
    <xdr:sp macro="" textlink="">
      <xdr:nvSpPr>
        <xdr:cNvPr id="93" name="文本框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8195735" y="15749882"/>
          <a:ext cx="493597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 b="1"/>
            <a:t>今年</a:t>
          </a:r>
          <a:endParaRPr lang="en-US" sz="1200" b="1"/>
        </a:p>
      </xdr:txBody>
    </xdr:sp>
    <xdr:clientData/>
  </xdr:oneCellAnchor>
  <xdr:oneCellAnchor>
    <xdr:from>
      <xdr:col>18</xdr:col>
      <xdr:colOff>521173</xdr:colOff>
      <xdr:row>72</xdr:row>
      <xdr:rowOff>60207</xdr:rowOff>
    </xdr:from>
    <xdr:ext cx="648063" cy="287643"/>
    <xdr:sp macro="" textlink="">
      <xdr:nvSpPr>
        <xdr:cNvPr id="94" name="文本框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11311469" y="14792207"/>
          <a:ext cx="648063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 b="1">
              <a:solidFill>
                <a:schemeClr val="tx1">
                  <a:lumMod val="65000"/>
                  <a:lumOff val="35000"/>
                </a:schemeClr>
              </a:solidFill>
            </a:rPr>
            <a:t>销售额</a:t>
          </a:r>
          <a:endParaRPr lang="en-US" sz="12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5</xdr:col>
      <xdr:colOff>486893</xdr:colOff>
      <xdr:row>58</xdr:row>
      <xdr:rowOff>51211</xdr:rowOff>
    </xdr:from>
    <xdr:ext cx="287643" cy="648063"/>
    <xdr:sp macro="" textlink="">
      <xdr:nvSpPr>
        <xdr:cNvPr id="95" name="文本框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 rot="5400000">
          <a:off x="3288831" y="11106384"/>
          <a:ext cx="648063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 b="1">
              <a:solidFill>
                <a:schemeClr val="tx1">
                  <a:lumMod val="65000"/>
                  <a:lumOff val="35000"/>
                </a:schemeClr>
              </a:solidFill>
            </a:rPr>
            <a:t>利润率</a:t>
          </a:r>
          <a:endParaRPr lang="en-US" sz="12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17</xdr:col>
      <xdr:colOff>554528</xdr:colOff>
      <xdr:row>3</xdr:row>
      <xdr:rowOff>171967</xdr:rowOff>
    </xdr:from>
    <xdr:to>
      <xdr:col>18</xdr:col>
      <xdr:colOff>253104</xdr:colOff>
      <xdr:row>4</xdr:row>
      <xdr:rowOff>71121</xdr:rowOff>
    </xdr:to>
    <xdr:grpSp>
      <xdr:nvGrpSpPr>
        <xdr:cNvPr id="104" name="组合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pSpPr/>
      </xdr:nvGrpSpPr>
      <xdr:grpSpPr>
        <a:xfrm>
          <a:off x="11821242" y="716253"/>
          <a:ext cx="324505" cy="76047"/>
          <a:chOff x="573852" y="1919111"/>
          <a:chExt cx="1013053" cy="413926"/>
        </a:xfrm>
      </xdr:grpSpPr>
      <xdr:cxnSp macro="">
        <xdr:nvCxnSpPr>
          <xdr:cNvPr id="105" name="直接连接符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CxnSpPr/>
        </xdr:nvCxnSpPr>
        <xdr:spPr>
          <a:xfrm>
            <a:off x="573852" y="1919111"/>
            <a:ext cx="498592" cy="395111"/>
          </a:xfrm>
          <a:prstGeom prst="line">
            <a:avLst/>
          </a:prstGeom>
          <a:ln w="381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直接连接符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CxnSpPr/>
        </xdr:nvCxnSpPr>
        <xdr:spPr>
          <a:xfrm flipV="1">
            <a:off x="1031868" y="1937926"/>
            <a:ext cx="555037" cy="395111"/>
          </a:xfrm>
          <a:prstGeom prst="line">
            <a:avLst/>
          </a:prstGeom>
          <a:ln w="381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468489</xdr:colOff>
      <xdr:row>3</xdr:row>
      <xdr:rowOff>171967</xdr:rowOff>
    </xdr:from>
    <xdr:to>
      <xdr:col>16</xdr:col>
      <xdr:colOff>187926</xdr:colOff>
      <xdr:row>4</xdr:row>
      <xdr:rowOff>71121</xdr:rowOff>
    </xdr:to>
    <xdr:grpSp>
      <xdr:nvGrpSpPr>
        <xdr:cNvPr id="107" name="组合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10265632" y="716253"/>
          <a:ext cx="304544" cy="76047"/>
          <a:chOff x="573852" y="1919111"/>
          <a:chExt cx="1013053" cy="413926"/>
        </a:xfrm>
      </xdr:grpSpPr>
      <xdr:cxnSp macro="">
        <xdr:nvCxnSpPr>
          <xdr:cNvPr id="108" name="直接连接符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CxnSpPr/>
        </xdr:nvCxnSpPr>
        <xdr:spPr>
          <a:xfrm>
            <a:off x="573852" y="1919111"/>
            <a:ext cx="498592" cy="395111"/>
          </a:xfrm>
          <a:prstGeom prst="line">
            <a:avLst/>
          </a:prstGeom>
          <a:ln w="381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直接连接符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CxnSpPr/>
        </xdr:nvCxnSpPr>
        <xdr:spPr>
          <a:xfrm flipV="1">
            <a:off x="1031868" y="1937926"/>
            <a:ext cx="555037" cy="395111"/>
          </a:xfrm>
          <a:prstGeom prst="line">
            <a:avLst/>
          </a:prstGeom>
          <a:ln w="381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486382</xdr:colOff>
      <xdr:row>16</xdr:row>
      <xdr:rowOff>162128</xdr:rowOff>
    </xdr:from>
    <xdr:to>
      <xdr:col>20</xdr:col>
      <xdr:colOff>197524</xdr:colOff>
      <xdr:row>19</xdr:row>
      <xdr:rowOff>44638</xdr:rowOff>
    </xdr:to>
    <xdr:grpSp>
      <xdr:nvGrpSpPr>
        <xdr:cNvPr id="114" name="组合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pSpPr/>
      </xdr:nvGrpSpPr>
      <xdr:grpSpPr>
        <a:xfrm>
          <a:off x="12379025" y="3128485"/>
          <a:ext cx="881356" cy="413189"/>
          <a:chOff x="11251659" y="3250660"/>
          <a:chExt cx="781184" cy="441850"/>
        </a:xfrm>
      </xdr:grpSpPr>
      <xdr:sp macro="" textlink="">
        <xdr:nvSpPr>
          <xdr:cNvPr id="111" name="文本框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>
            <a:off x="11616447" y="3307405"/>
            <a:ext cx="416396" cy="3851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更多</a:t>
            </a:r>
            <a:endParaRPr lang="en-US" altLang="zh-CN" sz="900" b="1">
              <a:solidFill>
                <a:schemeClr val="bg1">
                  <a:lumMod val="85000"/>
                </a:schemeClr>
              </a:solidFill>
            </a:endParaRPr>
          </a:p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分析</a:t>
            </a:r>
            <a:endParaRPr lang="en-US" sz="900" b="1">
              <a:solidFill>
                <a:schemeClr val="bg1">
                  <a:lumMod val="85000"/>
                </a:schemeClr>
              </a:solidFill>
            </a:endParaRPr>
          </a:p>
        </xdr:txBody>
      </xdr:sp>
      <xdr:pic>
        <xdr:nvPicPr>
          <xdr:cNvPr id="113" name="图片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51659" y="3250660"/>
            <a:ext cx="413426" cy="413426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486382</xdr:colOff>
      <xdr:row>37</xdr:row>
      <xdr:rowOff>81064</xdr:rowOff>
    </xdr:from>
    <xdr:to>
      <xdr:col>20</xdr:col>
      <xdr:colOff>197524</xdr:colOff>
      <xdr:row>39</xdr:row>
      <xdr:rowOff>150020</xdr:rowOff>
    </xdr:to>
    <xdr:grpSp>
      <xdr:nvGrpSpPr>
        <xdr:cNvPr id="115" name="组合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2379025" y="6762171"/>
          <a:ext cx="881356" cy="422742"/>
          <a:chOff x="11251659" y="3250660"/>
          <a:chExt cx="781184" cy="441850"/>
        </a:xfrm>
      </xdr:grpSpPr>
      <xdr:sp macro="" textlink="">
        <xdr:nvSpPr>
          <xdr:cNvPr id="116" name="文本框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 txBox="1"/>
        </xdr:nvSpPr>
        <xdr:spPr>
          <a:xfrm>
            <a:off x="11616447" y="3307405"/>
            <a:ext cx="416396" cy="3851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更多</a:t>
            </a:r>
            <a:endParaRPr lang="en-US" altLang="zh-CN" sz="900" b="1">
              <a:solidFill>
                <a:schemeClr val="bg1">
                  <a:lumMod val="85000"/>
                </a:schemeClr>
              </a:solidFill>
            </a:endParaRPr>
          </a:p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分析</a:t>
            </a:r>
            <a:endParaRPr lang="en-US" sz="900" b="1">
              <a:solidFill>
                <a:schemeClr val="bg1">
                  <a:lumMod val="85000"/>
                </a:schemeClr>
              </a:solidFill>
            </a:endParaRPr>
          </a:p>
        </xdr:txBody>
      </xdr:sp>
      <xdr:pic>
        <xdr:nvPicPr>
          <xdr:cNvPr id="117" name="图片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51659" y="3250660"/>
            <a:ext cx="413426" cy="41342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154021</xdr:colOff>
      <xdr:row>54</xdr:row>
      <xdr:rowOff>81064</xdr:rowOff>
    </xdr:from>
    <xdr:to>
      <xdr:col>20</xdr:col>
      <xdr:colOff>400184</xdr:colOff>
      <xdr:row>56</xdr:row>
      <xdr:rowOff>150020</xdr:rowOff>
    </xdr:to>
    <xdr:grpSp>
      <xdr:nvGrpSpPr>
        <xdr:cNvPr id="118" name="组合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2631771" y="10150350"/>
          <a:ext cx="831270" cy="422741"/>
          <a:chOff x="11251659" y="3250660"/>
          <a:chExt cx="781184" cy="441850"/>
        </a:xfrm>
      </xdr:grpSpPr>
      <xdr:sp macro="" textlink="">
        <xdr:nvSpPr>
          <xdr:cNvPr id="119" name="文本框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 txBox="1"/>
        </xdr:nvSpPr>
        <xdr:spPr>
          <a:xfrm>
            <a:off x="11616447" y="3307405"/>
            <a:ext cx="416396" cy="3851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更多</a:t>
            </a:r>
            <a:endParaRPr lang="en-US" altLang="zh-CN" sz="900" b="1">
              <a:solidFill>
                <a:schemeClr val="bg1">
                  <a:lumMod val="85000"/>
                </a:schemeClr>
              </a:solidFill>
            </a:endParaRPr>
          </a:p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分析</a:t>
            </a:r>
            <a:endParaRPr lang="en-US" sz="900" b="1">
              <a:solidFill>
                <a:schemeClr val="bg1">
                  <a:lumMod val="85000"/>
                </a:schemeClr>
              </a:solidFill>
            </a:endParaRPr>
          </a:p>
        </xdr:txBody>
      </xdr:sp>
      <xdr:pic>
        <xdr:nvPicPr>
          <xdr:cNvPr id="120" name="图片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51659" y="3250660"/>
            <a:ext cx="413426" cy="41342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9"/>
  <sheetViews>
    <sheetView tabSelected="1" zoomScale="70" zoomScaleNormal="70" workbookViewId="0">
      <selection activeCell="W22" sqref="W22"/>
    </sheetView>
  </sheetViews>
  <sheetFormatPr defaultRowHeight="14.25"/>
  <cols>
    <col min="1" max="3" width="8.875" style="20"/>
    <col min="4" max="4" width="8.875" style="20" customWidth="1"/>
    <col min="5" max="6" width="7.75" style="20" customWidth="1"/>
    <col min="7" max="7" width="11.25" style="20" customWidth="1"/>
    <col min="8" max="11" width="7.75" style="20" customWidth="1"/>
    <col min="12" max="12" width="12.5" style="20" bestFit="1" customWidth="1"/>
    <col min="13" max="16" width="7.75" style="20" customWidth="1"/>
    <col min="17" max="17" width="11.625" style="20" bestFit="1" customWidth="1"/>
    <col min="18" max="18" width="8.125" style="20" bestFit="1" customWidth="1"/>
    <col min="19" max="21" width="7.75" style="20" customWidth="1"/>
    <col min="22" max="26" width="8.875" style="20"/>
    <col min="27" max="27" width="10.625" style="9" bestFit="1" customWidth="1"/>
    <col min="28" max="28" width="12.625" style="9" bestFit="1" customWidth="1"/>
    <col min="29" max="30" width="11.625" style="9" bestFit="1" customWidth="1"/>
    <col min="31" max="31" width="12.625" style="9" bestFit="1" customWidth="1"/>
    <col min="32" max="33" width="12" style="9" bestFit="1" customWidth="1"/>
    <col min="34" max="34" width="7.75" style="9" bestFit="1" customWidth="1"/>
    <col min="35" max="41" width="8.875" style="9"/>
  </cols>
  <sheetData>
    <row r="1" spans="5:39" ht="15" thickBot="1">
      <c r="AA1" s="12" t="s">
        <v>82</v>
      </c>
      <c r="AB1" s="13">
        <v>1</v>
      </c>
      <c r="AC1" s="13">
        <v>2</v>
      </c>
      <c r="AD1" s="13">
        <v>3</v>
      </c>
      <c r="AE1" s="13">
        <v>4</v>
      </c>
      <c r="AF1" s="13">
        <v>5</v>
      </c>
      <c r="AG1" s="13">
        <v>6</v>
      </c>
      <c r="AH1" s="13">
        <v>7</v>
      </c>
      <c r="AI1" s="13">
        <v>8</v>
      </c>
      <c r="AJ1" s="13">
        <v>9</v>
      </c>
      <c r="AK1" s="13">
        <v>10</v>
      </c>
      <c r="AL1" s="13">
        <v>11</v>
      </c>
      <c r="AM1" s="13">
        <v>12</v>
      </c>
    </row>
    <row r="2" spans="5:39" ht="14.45" customHeight="1">
      <c r="E2" s="49" t="s">
        <v>109</v>
      </c>
      <c r="F2" s="49"/>
      <c r="G2" s="53" t="s">
        <v>97</v>
      </c>
      <c r="H2" s="55" t="s">
        <v>98</v>
      </c>
      <c r="I2" s="55"/>
      <c r="J2" s="55"/>
      <c r="K2" s="55"/>
      <c r="L2" s="55"/>
      <c r="M2" s="55"/>
      <c r="N2" s="55"/>
      <c r="O2" s="55"/>
      <c r="P2" s="55"/>
      <c r="Q2" s="29"/>
      <c r="R2" s="29"/>
      <c r="S2" s="29"/>
      <c r="T2" s="29"/>
      <c r="U2" s="30"/>
      <c r="Z2" s="48"/>
      <c r="AA2" s="10"/>
    </row>
    <row r="3" spans="5:39" ht="14.45" customHeight="1">
      <c r="E3" s="50"/>
      <c r="F3" s="50"/>
      <c r="G3" s="54"/>
      <c r="H3" s="56"/>
      <c r="I3" s="56"/>
      <c r="J3" s="56"/>
      <c r="K3" s="56"/>
      <c r="L3" s="56"/>
      <c r="M3" s="56"/>
      <c r="N3" s="56"/>
      <c r="O3" s="56"/>
      <c r="P3" s="56"/>
      <c r="Q3" s="31"/>
      <c r="R3" s="31"/>
      <c r="S3" s="31"/>
      <c r="T3" s="31"/>
      <c r="U3" s="32"/>
      <c r="Z3" s="48"/>
      <c r="AA3" s="10"/>
    </row>
    <row r="4" spans="5:39" ht="13.9" customHeight="1">
      <c r="E4" s="50"/>
      <c r="F4" s="50"/>
      <c r="G4" s="54"/>
      <c r="H4" s="56"/>
      <c r="I4" s="56"/>
      <c r="J4" s="56"/>
      <c r="K4" s="56"/>
      <c r="L4" s="56"/>
      <c r="M4" s="56"/>
      <c r="N4" s="56"/>
      <c r="O4" s="56"/>
      <c r="P4" s="56"/>
      <c r="Q4" s="58">
        <v>2019</v>
      </c>
      <c r="R4" s="60" t="s">
        <v>99</v>
      </c>
      <c r="S4" s="57">
        <v>5</v>
      </c>
      <c r="T4" s="59" t="s">
        <v>96</v>
      </c>
      <c r="U4" s="32"/>
      <c r="Z4" s="48"/>
      <c r="AA4" s="10"/>
    </row>
    <row r="5" spans="5:39" ht="13.9" customHeight="1">
      <c r="E5" s="50"/>
      <c r="F5" s="50"/>
      <c r="G5" s="54"/>
      <c r="H5" s="56"/>
      <c r="I5" s="56"/>
      <c r="J5" s="56"/>
      <c r="K5" s="56"/>
      <c r="L5" s="56"/>
      <c r="M5" s="56"/>
      <c r="N5" s="56"/>
      <c r="O5" s="56"/>
      <c r="P5" s="56"/>
      <c r="Q5" s="58"/>
      <c r="R5" s="60"/>
      <c r="S5" s="57"/>
      <c r="T5" s="59"/>
      <c r="U5" s="32"/>
      <c r="Z5" s="48"/>
      <c r="AA5" s="10"/>
    </row>
    <row r="6" spans="5:39"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  <c r="Z6" s="48"/>
      <c r="AA6" s="51" t="str">
        <f>Q4&amp;"年"</f>
        <v>2019年</v>
      </c>
      <c r="AB6" s="51"/>
      <c r="AD6" s="51" t="str">
        <f>Q4-1&amp;"年"</f>
        <v>2018年</v>
      </c>
      <c r="AE6" s="51"/>
      <c r="AG6" s="52" t="s">
        <v>108</v>
      </c>
      <c r="AH6" s="52"/>
    </row>
    <row r="7" spans="5:39">
      <c r="E7" s="22"/>
      <c r="F7" s="23"/>
      <c r="G7" s="21"/>
      <c r="H7" s="21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Z7" s="48"/>
      <c r="AA7" s="14" t="s">
        <v>102</v>
      </c>
      <c r="AB7" s="15">
        <f>SUMIFS(明细!$L$2:$L$7327,明细!$B$2:$B$7327,Demo!$Q$4,明细!$C$2:$C$7327,"&lt;="&amp;$S$4)</f>
        <v>214344698.95429033</v>
      </c>
      <c r="AC7" s="18"/>
      <c r="AD7" s="14" t="s">
        <v>102</v>
      </c>
      <c r="AE7" s="15">
        <f>SUMIFS(明细!$L$2:$L$7327,明细!$B$2:$B$7327,Demo!$Q$4-1,明细!$C$2:$C$7327,"&lt;="&amp;$S$4)</f>
        <v>203969684.81542015</v>
      </c>
      <c r="AF7" s="14"/>
      <c r="AG7" s="14" t="s">
        <v>105</v>
      </c>
      <c r="AH7" s="17">
        <f>AB7/AE7-1</f>
        <v>5.0865471250097327E-2</v>
      </c>
    </row>
    <row r="8" spans="5:39">
      <c r="E8" s="22"/>
      <c r="F8" s="23"/>
      <c r="G8" s="25"/>
      <c r="H8" s="21"/>
      <c r="I8" s="23"/>
      <c r="J8" s="25"/>
      <c r="K8" s="23"/>
      <c r="L8" s="23"/>
      <c r="M8" s="26"/>
      <c r="N8" s="23"/>
      <c r="O8" s="23"/>
      <c r="P8" s="23"/>
      <c r="Q8" s="23"/>
      <c r="R8" s="23"/>
      <c r="S8" s="23"/>
      <c r="T8" s="23"/>
      <c r="U8" s="24"/>
      <c r="Z8" s="48"/>
      <c r="AA8" s="14" t="s">
        <v>103</v>
      </c>
      <c r="AB8" s="15">
        <f>SUMIFS(明细!$K$2:$K$7327,明细!$B$2:$B$7327,Demo!$Q$4,明细!$C$2:$C$7327,"&lt;="&amp;$S$4)</f>
        <v>158697233.09200007</v>
      </c>
      <c r="AC8" s="16"/>
      <c r="AD8" s="14" t="s">
        <v>103</v>
      </c>
      <c r="AE8" s="15">
        <f>SUMIFS(明细!$K$2:$K$7327,明细!$B$2:$B$7327,Demo!$Q$4-1,明细!$C$2:$C$7327,"&lt;="&amp;$S$4)</f>
        <v>151009767.72199994</v>
      </c>
      <c r="AF8" s="14"/>
      <c r="AG8" s="14" t="s">
        <v>106</v>
      </c>
      <c r="AH8" s="17">
        <f>AB8/AE8-1</f>
        <v>5.0907073667925129E-2</v>
      </c>
    </row>
    <row r="9" spans="5:39">
      <c r="E9" s="22"/>
      <c r="F9" s="23"/>
      <c r="G9" s="25"/>
      <c r="H9" s="27"/>
      <c r="J9" s="25"/>
      <c r="K9" s="23"/>
      <c r="L9" s="23"/>
      <c r="M9" s="26"/>
      <c r="N9" s="23"/>
      <c r="O9" s="23"/>
      <c r="P9" s="23"/>
      <c r="Q9" s="23"/>
      <c r="R9" s="23"/>
      <c r="S9" s="23"/>
      <c r="T9" s="23"/>
      <c r="U9" s="24"/>
      <c r="Z9" s="48"/>
      <c r="AA9" s="14" t="s">
        <v>104</v>
      </c>
      <c r="AB9" s="15">
        <f>AB7-AB8</f>
        <v>55647465.862290263</v>
      </c>
      <c r="AC9" s="16"/>
      <c r="AD9" s="14" t="s">
        <v>104</v>
      </c>
      <c r="AE9" s="15">
        <f>AE7-AE8</f>
        <v>52959917.093420208</v>
      </c>
      <c r="AF9" s="14"/>
      <c r="AG9" s="14" t="s">
        <v>107</v>
      </c>
      <c r="AH9" s="17">
        <f>AB9/AE9-1</f>
        <v>5.0746846225783848E-2</v>
      </c>
    </row>
    <row r="10" spans="5:39">
      <c r="E10" s="22"/>
      <c r="F10" s="23"/>
      <c r="G10" s="25"/>
      <c r="H10" s="21"/>
      <c r="I10" s="23"/>
      <c r="J10" s="25"/>
      <c r="K10" s="23"/>
      <c r="L10" s="23"/>
      <c r="M10" s="26"/>
      <c r="N10" s="23"/>
      <c r="O10" s="23"/>
      <c r="P10" s="23"/>
      <c r="Q10" s="23"/>
      <c r="R10" s="23"/>
      <c r="S10" s="23"/>
      <c r="T10" s="23"/>
      <c r="U10" s="24"/>
      <c r="Z10" s="48"/>
      <c r="AA10" s="14" t="s">
        <v>100</v>
      </c>
      <c r="AB10" s="17">
        <f>AB9/AB8</f>
        <v>0.35065177116245166</v>
      </c>
      <c r="AC10" s="14"/>
      <c r="AD10" s="14" t="s">
        <v>100</v>
      </c>
      <c r="AE10" s="17">
        <f>AE9/AE8</f>
        <v>0.35070524173586098</v>
      </c>
      <c r="AF10" s="14"/>
      <c r="AG10" s="14" t="s">
        <v>100</v>
      </c>
      <c r="AH10" s="17">
        <f>AB10-AE10</f>
        <v>-5.3470573409319933E-5</v>
      </c>
    </row>
    <row r="11" spans="5:39">
      <c r="E11" s="22"/>
      <c r="F11" s="23"/>
      <c r="G11" s="26"/>
      <c r="H11" s="23"/>
      <c r="I11" s="23"/>
      <c r="J11" s="26"/>
      <c r="K11" s="23"/>
      <c r="L11" s="23"/>
      <c r="M11" s="26"/>
      <c r="N11" s="23"/>
      <c r="O11" s="23"/>
      <c r="P11" s="23"/>
      <c r="Q11" s="23"/>
      <c r="R11" s="23"/>
      <c r="S11" s="23"/>
      <c r="T11" s="23"/>
      <c r="U11" s="24"/>
      <c r="Z11" s="48"/>
      <c r="AA11" s="10"/>
    </row>
    <row r="12" spans="5:39"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Z12" s="48"/>
      <c r="AA12" s="10"/>
    </row>
    <row r="13" spans="5:39"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Z13" s="48"/>
      <c r="AA13" s="10"/>
    </row>
    <row r="14" spans="5:39">
      <c r="E14" s="22"/>
      <c r="F14" s="23"/>
      <c r="G14" s="28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AA14" s="11"/>
      <c r="AB14" s="12" t="str">
        <f>$Q$4&amp;"-销售"</f>
        <v>2019-销售</v>
      </c>
      <c r="AC14" s="12" t="str">
        <f>$Q$4-1&amp;"-销售"</f>
        <v>2018-销售</v>
      </c>
      <c r="AD14" s="12" t="str">
        <f>$Q$4&amp;"-成本"</f>
        <v>2019-成本</v>
      </c>
      <c r="AE14" s="12" t="str">
        <f>$Q$4-1&amp;"-成本"</f>
        <v>2018-成本</v>
      </c>
      <c r="AF14" s="12" t="str">
        <f>$Q$4&amp;"-利润率"</f>
        <v>2019-利润率</v>
      </c>
      <c r="AG14" s="12" t="str">
        <f>$Q$4-1&amp;"-利润率"</f>
        <v>2018-利润率</v>
      </c>
    </row>
    <row r="15" spans="5:39" ht="23.25">
      <c r="E15" s="22"/>
      <c r="H15" s="33">
        <f>AH7</f>
        <v>5.0865471250097327E-2</v>
      </c>
      <c r="I15" s="23"/>
      <c r="J15" s="23"/>
      <c r="K15" s="23"/>
      <c r="L15" s="23"/>
      <c r="M15" s="23"/>
      <c r="N15" s="34">
        <f>AH9</f>
        <v>5.0746846225783848E-2</v>
      </c>
      <c r="O15" s="23"/>
      <c r="P15" s="23"/>
      <c r="Q15" s="23"/>
      <c r="R15" s="23"/>
      <c r="S15" s="34">
        <f>AH10</f>
        <v>-5.3470573409319933E-5</v>
      </c>
      <c r="T15" s="23"/>
      <c r="U15" s="24"/>
      <c r="AA15" s="11">
        <v>1</v>
      </c>
      <c r="AB15" s="15">
        <f>IF($AA15&lt;=$S$4,SUMIFS(明细!$L$2:$L$17327,明细!$B$2:$B$17327,Demo!$Q$4,明细!$C$2:$C$17327,$AA15),"")</f>
        <v>44000431.337359987</v>
      </c>
      <c r="AC15" s="15">
        <f>IF($AA15&lt;=$S$4,SUMIFS(明细!$L$2:$L$17327,明细!$B$2:$B$17327,Demo!$Q$4-1,明细!$C$2:$C$17327,$AA15),"")</f>
        <v>40163545.702669986</v>
      </c>
      <c r="AD15" s="15">
        <f>IF($AA15&lt;=$S$4,SUMIFS(明细!$K$2:$K$17327,明细!$B$2:$B$17327,Demo!$Q$4,明细!$C$2:$C$17327,$AA15),"")</f>
        <v>32509525.315000009</v>
      </c>
      <c r="AE15" s="15">
        <f>IF($AA15&lt;=$S$4,SUMIFS(明细!$K$2:$K$17327,明细!$B$2:$B$17327,Demo!$Q$4-1,明细!$C$2:$C$17327,$AA15),"")</f>
        <v>29662449.465999994</v>
      </c>
      <c r="AF15" s="19">
        <f>IFERROR(AB15/AD15-1,#N/A)</f>
        <v>0.35346274395024868</v>
      </c>
      <c r="AG15" s="19">
        <f>IFERROR(AC15/AE15-1,#N/A)</f>
        <v>0.35401986099316129</v>
      </c>
    </row>
    <row r="16" spans="5:39"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AA16" s="11">
        <v>2</v>
      </c>
      <c r="AB16" s="15">
        <f>IF($AA16&lt;=$S$4,SUMIFS(明细!$L$2:$L$17327,明细!$B$2:$B$17327,Demo!$Q$4,明细!$C$2:$C$17327,$AA16),"")</f>
        <v>42335183.210150003</v>
      </c>
      <c r="AC16" s="15">
        <f>IF($AA16&lt;=$S$4,SUMIFS(明细!$L$2:$L$17327,明细!$B$2:$B$17327,Demo!$Q$4-1,明细!$C$2:$C$17327,$AA16),"")</f>
        <v>42169657.072709993</v>
      </c>
      <c r="AD16" s="15">
        <f>IF($AA16&lt;=$S$4,SUMIFS(明细!$K$2:$K$17327,明细!$B$2:$B$17327,Demo!$Q$4,明细!$C$2:$C$17327,$AA16),"")</f>
        <v>31339853.455999967</v>
      </c>
      <c r="AE16" s="15">
        <f>IF($AA16&lt;=$S$4,SUMIFS(明细!$K$2:$K$17327,明细!$B$2:$B$17327,Demo!$Q$4-1,明细!$C$2:$C$17327,$AA16),"")</f>
        <v>30966581.953000005</v>
      </c>
      <c r="AF16" s="19">
        <f t="shared" ref="AF16:AF26" si="0">IFERROR(AB16/AD16-1,#N/A)</f>
        <v>0.35084177306658715</v>
      </c>
      <c r="AG16" s="19">
        <f t="shared" ref="AG16:AG26" si="1">IFERROR(AC16/AE16-1,#N/A)</f>
        <v>0.36177951886048065</v>
      </c>
    </row>
    <row r="17" spans="5:33"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AA17" s="11">
        <v>3</v>
      </c>
      <c r="AB17" s="15">
        <f>IF($AA17&lt;=$S$4,SUMIFS(明细!$L$2:$L$17327,明细!$B$2:$B$17327,Demo!$Q$4,明细!$C$2:$C$17327,$AA17),"")</f>
        <v>42565669.28773997</v>
      </c>
      <c r="AC17" s="15">
        <f>IF($AA17&lt;=$S$4,SUMIFS(明细!$L$2:$L$17327,明细!$B$2:$B$17327,Demo!$Q$4-1,明细!$C$2:$C$17327,$AA17),"")</f>
        <v>39288672.893969983</v>
      </c>
      <c r="AD17" s="15">
        <f>IF($AA17&lt;=$S$4,SUMIFS(明细!$K$2:$K$17327,明细!$B$2:$B$17327,Demo!$Q$4,明细!$C$2:$C$17327,$AA17),"")</f>
        <v>31545005.531000007</v>
      </c>
      <c r="AE17" s="15">
        <f>IF($AA17&lt;=$S$4,SUMIFS(明细!$K$2:$K$17327,明细!$B$2:$B$17327,Demo!$Q$4-1,明细!$C$2:$C$17327,$AA17),"")</f>
        <v>29297575.623999998</v>
      </c>
      <c r="AF17" s="19">
        <f t="shared" si="0"/>
        <v>0.3493631898688272</v>
      </c>
      <c r="AG17" s="19">
        <f t="shared" si="1"/>
        <v>0.34102129808261239</v>
      </c>
    </row>
    <row r="18" spans="5:33"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AA18" s="11">
        <v>4</v>
      </c>
      <c r="AB18" s="15">
        <f>IF($AA18&lt;=$S$4,SUMIFS(明细!$L$2:$L$17327,明细!$B$2:$B$17327,Demo!$Q$4,明细!$C$2:$C$17327,$AA18),"")</f>
        <v>42045571.597220004</v>
      </c>
      <c r="AC18" s="15">
        <f>IF($AA18&lt;=$S$4,SUMIFS(明细!$L$2:$L$17327,明细!$B$2:$B$17327,Demo!$Q$4-1,明细!$C$2:$C$17327,$AA18),"")</f>
        <v>41235377.199489996</v>
      </c>
      <c r="AD18" s="15">
        <f>IF($AA18&lt;=$S$4,SUMIFS(明细!$K$2:$K$17327,明细!$B$2:$B$17327,Demo!$Q$4,明细!$C$2:$C$17327,$AA18),"")</f>
        <v>31242665.126000002</v>
      </c>
      <c r="AE18" s="15">
        <f>IF($AA18&lt;=$S$4,SUMIFS(明细!$K$2:$K$17327,明细!$B$2:$B$17327,Demo!$Q$4-1,明细!$C$2:$C$17327,$AA18),"")</f>
        <v>30577364.140000019</v>
      </c>
      <c r="AF18" s="19">
        <f t="shared" si="0"/>
        <v>0.34577416579707454</v>
      </c>
      <c r="AG18" s="19">
        <f t="shared" si="1"/>
        <v>0.3485589212559892</v>
      </c>
    </row>
    <row r="19" spans="5:33"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AA19" s="11">
        <v>5</v>
      </c>
      <c r="AB19" s="15">
        <f>IF($AA19&lt;=$S$4,SUMIFS(明细!$L$2:$L$17327,明细!$B$2:$B$17327,Demo!$Q$4,明细!$C$2:$C$17327,$AA19),"")</f>
        <v>43397843.521820024</v>
      </c>
      <c r="AC19" s="15">
        <f>IF($AA19&lt;=$S$4,SUMIFS(明细!$L$2:$L$17327,明细!$B$2:$B$17327,Demo!$Q$4-1,明细!$C$2:$C$17327,$AA19),"")</f>
        <v>41112431.946579993</v>
      </c>
      <c r="AD19" s="15">
        <f>IF($AA19&lt;=$S$4,SUMIFS(明细!$K$2:$K$17327,明细!$B$2:$B$17327,Demo!$Q$4,明细!$C$2:$C$17327,$AA19),"")</f>
        <v>32060183.664000001</v>
      </c>
      <c r="AE19" s="15">
        <f>IF($AA19&lt;=$S$4,SUMIFS(明细!$K$2:$K$17327,明细!$B$2:$B$17327,Demo!$Q$4-1,明细!$C$2:$C$17327,$AA19),"")</f>
        <v>30505796.539000016</v>
      </c>
      <c r="AF19" s="19">
        <f t="shared" si="0"/>
        <v>0.35363677191128962</v>
      </c>
      <c r="AG19" s="19">
        <f t="shared" si="1"/>
        <v>0.34769245884204225</v>
      </c>
    </row>
    <row r="20" spans="5:33">
      <c r="E20" s="22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AA20" s="11">
        <v>6</v>
      </c>
      <c r="AB20" s="15" t="str">
        <f>IF($AA20&lt;=$S$4,SUMIFS(明细!$L$2:$L$17327,明细!$B$2:$B$17327,Demo!$Q$4,明细!$C$2:$C$17327,$AA20),"")</f>
        <v/>
      </c>
      <c r="AC20" s="15" t="str">
        <f>IF($AA20&lt;=$S$4,SUMIFS(明细!$L$2:$L$17327,明细!$B$2:$B$17327,Demo!$Q$4-1,明细!$C$2:$C$17327,$AA20),"")</f>
        <v/>
      </c>
      <c r="AD20" s="15" t="str">
        <f>IF($AA20&lt;=$S$4,SUMIFS(明细!$K$2:$K$17327,明细!$B$2:$B$17327,Demo!$Q$4,明细!$C$2:$C$17327,$AA20),"")</f>
        <v/>
      </c>
      <c r="AE20" s="15" t="str">
        <f>IF($AA20&lt;=$S$4,SUMIFS(明细!$K$2:$K$17327,明细!$B$2:$B$17327,Demo!$Q$4-1,明细!$C$2:$C$17327,$AA20),"")</f>
        <v/>
      </c>
      <c r="AF20" s="19" t="e">
        <f t="shared" si="0"/>
        <v>#N/A</v>
      </c>
      <c r="AG20" s="19" t="e">
        <f t="shared" si="1"/>
        <v>#N/A</v>
      </c>
    </row>
    <row r="21" spans="5:33">
      <c r="E21" s="22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  <c r="AA21" s="11">
        <v>7</v>
      </c>
      <c r="AB21" s="15" t="str">
        <f>IF($AA21&lt;=$S$4,SUMIFS(明细!$L$2:$L$17327,明细!$B$2:$B$17327,Demo!$Q$4,明细!$C$2:$C$17327,$AA21),"")</f>
        <v/>
      </c>
      <c r="AC21" s="15" t="str">
        <f>IF($AA21&lt;=$S$4,SUMIFS(明细!$L$2:$L$17327,明细!$B$2:$B$17327,Demo!$Q$4-1,明细!$C$2:$C$17327,$AA21),"")</f>
        <v/>
      </c>
      <c r="AD21" s="15" t="str">
        <f>IF($AA21&lt;=$S$4,SUMIFS(明细!$K$2:$K$17327,明细!$B$2:$B$17327,Demo!$Q$4,明细!$C$2:$C$17327,$AA21),"")</f>
        <v/>
      </c>
      <c r="AE21" s="15" t="str">
        <f>IF($AA21&lt;=$S$4,SUMIFS(明细!$K$2:$K$17327,明细!$B$2:$B$17327,Demo!$Q$4-1,明细!$C$2:$C$17327,$AA21),"")</f>
        <v/>
      </c>
      <c r="AF21" s="19" t="e">
        <f t="shared" si="0"/>
        <v>#N/A</v>
      </c>
      <c r="AG21" s="19" t="e">
        <f t="shared" si="1"/>
        <v>#N/A</v>
      </c>
    </row>
    <row r="22" spans="5:33">
      <c r="E22" s="22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AA22" s="11">
        <v>8</v>
      </c>
      <c r="AB22" s="15" t="str">
        <f>IF($AA22&lt;=$S$4,SUMIFS(明细!$L$2:$L$17327,明细!$B$2:$B$17327,Demo!$Q$4,明细!$C$2:$C$17327,$AA22),"")</f>
        <v/>
      </c>
      <c r="AC22" s="15" t="str">
        <f>IF($AA22&lt;=$S$4,SUMIFS(明细!$L$2:$L$17327,明细!$B$2:$B$17327,Demo!$Q$4-1,明细!$C$2:$C$17327,$AA22),"")</f>
        <v/>
      </c>
      <c r="AD22" s="15" t="str">
        <f>IF($AA22&lt;=$S$4,SUMIFS(明细!$K$2:$K$17327,明细!$B$2:$B$17327,Demo!$Q$4,明细!$C$2:$C$17327,$AA22),"")</f>
        <v/>
      </c>
      <c r="AE22" s="15" t="str">
        <f>IF($AA22&lt;=$S$4,SUMIFS(明细!$K$2:$K$17327,明细!$B$2:$B$17327,Demo!$Q$4-1,明细!$C$2:$C$17327,$AA22),"")</f>
        <v/>
      </c>
      <c r="AF22" s="19" t="e">
        <f t="shared" si="0"/>
        <v>#N/A</v>
      </c>
      <c r="AG22" s="19" t="e">
        <f t="shared" si="1"/>
        <v>#N/A</v>
      </c>
    </row>
    <row r="23" spans="5:33">
      <c r="E23" s="22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AA23" s="11">
        <v>9</v>
      </c>
      <c r="AB23" s="15" t="str">
        <f>IF($AA23&lt;=$S$4,SUMIFS(明细!$L$2:$L$17327,明细!$B$2:$B$17327,Demo!$Q$4,明细!$C$2:$C$17327,$AA23),"")</f>
        <v/>
      </c>
      <c r="AC23" s="15" t="str">
        <f>IF($AA23&lt;=$S$4,SUMIFS(明细!$L$2:$L$17327,明细!$B$2:$B$17327,Demo!$Q$4-1,明细!$C$2:$C$17327,$AA23),"")</f>
        <v/>
      </c>
      <c r="AD23" s="15" t="str">
        <f>IF($AA23&lt;=$S$4,SUMIFS(明细!$K$2:$K$17327,明细!$B$2:$B$17327,Demo!$Q$4,明细!$C$2:$C$17327,$AA23),"")</f>
        <v/>
      </c>
      <c r="AE23" s="15" t="str">
        <f>IF($AA23&lt;=$S$4,SUMIFS(明细!$K$2:$K$17327,明细!$B$2:$B$17327,Demo!$Q$4-1,明细!$C$2:$C$17327,$AA23),"")</f>
        <v/>
      </c>
      <c r="AF23" s="19" t="e">
        <f t="shared" si="0"/>
        <v>#N/A</v>
      </c>
      <c r="AG23" s="19" t="e">
        <f t="shared" si="1"/>
        <v>#N/A</v>
      </c>
    </row>
    <row r="24" spans="5:33"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AA24" s="11">
        <v>10</v>
      </c>
      <c r="AB24" s="15" t="str">
        <f>IF($AA24&lt;=$S$4,SUMIFS(明细!$L$2:$L$17327,明细!$B$2:$B$17327,Demo!$Q$4,明细!$C$2:$C$17327,$AA24),"")</f>
        <v/>
      </c>
      <c r="AC24" s="15" t="str">
        <f>IF($AA24&lt;=$S$4,SUMIFS(明细!$L$2:$L$17327,明细!$B$2:$B$17327,Demo!$Q$4-1,明细!$C$2:$C$17327,$AA24),"")</f>
        <v/>
      </c>
      <c r="AD24" s="15" t="str">
        <f>IF($AA24&lt;=$S$4,SUMIFS(明细!$K$2:$K$17327,明细!$B$2:$B$17327,Demo!$Q$4,明细!$C$2:$C$17327,$AA24),"")</f>
        <v/>
      </c>
      <c r="AE24" s="15" t="str">
        <f>IF($AA24&lt;=$S$4,SUMIFS(明细!$K$2:$K$17327,明细!$B$2:$B$17327,Demo!$Q$4-1,明细!$C$2:$C$17327,$AA24),"")</f>
        <v/>
      </c>
      <c r="AF24" s="19" t="e">
        <f t="shared" si="0"/>
        <v>#N/A</v>
      </c>
      <c r="AG24" s="19" t="e">
        <f t="shared" si="1"/>
        <v>#N/A</v>
      </c>
    </row>
    <row r="25" spans="5:33">
      <c r="E25" s="22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AA25" s="11">
        <v>11</v>
      </c>
      <c r="AB25" s="15" t="str">
        <f>IF($AA25&lt;=$S$4,SUMIFS(明细!$L$2:$L$17327,明细!$B$2:$B$17327,Demo!$Q$4,明细!$C$2:$C$17327,$AA25),"")</f>
        <v/>
      </c>
      <c r="AC25" s="15" t="str">
        <f>IF($AA25&lt;=$S$4,SUMIFS(明细!$L$2:$L$17327,明细!$B$2:$B$17327,Demo!$Q$4-1,明细!$C$2:$C$17327,$AA25),"")</f>
        <v/>
      </c>
      <c r="AD25" s="15" t="str">
        <f>IF($AA25&lt;=$S$4,SUMIFS(明细!$K$2:$K$17327,明细!$B$2:$B$17327,Demo!$Q$4,明细!$C$2:$C$17327,$AA25),"")</f>
        <v/>
      </c>
      <c r="AE25" s="15" t="str">
        <f>IF($AA25&lt;=$S$4,SUMIFS(明细!$K$2:$K$17327,明细!$B$2:$B$17327,Demo!$Q$4-1,明细!$C$2:$C$17327,$AA25),"")</f>
        <v/>
      </c>
      <c r="AF25" s="19" t="e">
        <f t="shared" si="0"/>
        <v>#N/A</v>
      </c>
      <c r="AG25" s="19" t="e">
        <f t="shared" si="1"/>
        <v>#N/A</v>
      </c>
    </row>
    <row r="26" spans="5:33">
      <c r="E26" s="22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  <c r="AA26" s="11">
        <v>12</v>
      </c>
      <c r="AB26" s="15" t="str">
        <f>IF($AA26&lt;=$S$4,SUMIFS(明细!$L$2:$L$17327,明细!$B$2:$B$17327,Demo!$Q$4,明细!$C$2:$C$17327,$AA26),"")</f>
        <v/>
      </c>
      <c r="AC26" s="15" t="str">
        <f>IF($AA26&lt;=$S$4,SUMIFS(明细!$L$2:$L$17327,明细!$B$2:$B$17327,Demo!$Q$4-1,明细!$C$2:$C$17327,$AA26),"")</f>
        <v/>
      </c>
      <c r="AD26" s="15" t="str">
        <f>IF($AA26&lt;=$S$4,SUMIFS(明细!$K$2:$K$17327,明细!$B$2:$B$17327,Demo!$Q$4,明细!$C$2:$C$17327,$AA26),"")</f>
        <v/>
      </c>
      <c r="AE26" s="15" t="str">
        <f>IF($AA26&lt;=$S$4,SUMIFS(明细!$K$2:$K$17327,明细!$B$2:$B$17327,Demo!$Q$4-1,明细!$C$2:$C$17327,$AA26),"")</f>
        <v/>
      </c>
      <c r="AF26" s="19" t="e">
        <f t="shared" si="0"/>
        <v>#N/A</v>
      </c>
      <c r="AG26" s="19" t="e">
        <f t="shared" si="1"/>
        <v>#N/A</v>
      </c>
    </row>
    <row r="27" spans="5:33"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</row>
    <row r="28" spans="5:33">
      <c r="E28" s="2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</row>
    <row r="29" spans="5:33">
      <c r="E29" s="2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</row>
    <row r="30" spans="5:33">
      <c r="E30" s="22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</row>
    <row r="31" spans="5:33">
      <c r="E31" s="22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</row>
    <row r="32" spans="5:33">
      <c r="E32" s="22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</row>
    <row r="33" spans="5:21">
      <c r="E33" s="22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</row>
    <row r="34" spans="5:21"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</row>
    <row r="35" spans="5:21">
      <c r="E35" s="22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</row>
    <row r="36" spans="5:21">
      <c r="E36" s="22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</row>
    <row r="37" spans="5:21">
      <c r="E37" s="22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</row>
    <row r="38" spans="5:21">
      <c r="E38" s="22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</row>
    <row r="39" spans="5:21">
      <c r="E39" s="22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</row>
    <row r="40" spans="5:21">
      <c r="E40" s="22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</row>
    <row r="41" spans="5:21">
      <c r="E41" s="22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</row>
    <row r="42" spans="5:21">
      <c r="E42" s="22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</row>
    <row r="43" spans="5:21">
      <c r="E43" s="22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</row>
    <row r="44" spans="5:21"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</row>
    <row r="45" spans="5:21"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</row>
    <row r="46" spans="5:21">
      <c r="E46" s="22"/>
      <c r="F46" s="23"/>
      <c r="G46" s="23"/>
      <c r="H46" s="23"/>
      <c r="I46" s="39">
        <f>AC42</f>
        <v>0</v>
      </c>
      <c r="J46" s="23"/>
      <c r="K46" s="23"/>
      <c r="L46" s="23"/>
      <c r="M46" s="23"/>
      <c r="N46" s="39">
        <f>AC43</f>
        <v>0</v>
      </c>
      <c r="O46" s="23"/>
      <c r="P46" s="23"/>
      <c r="Q46" s="23"/>
      <c r="R46" s="23"/>
      <c r="S46" s="39">
        <f>AC44</f>
        <v>0</v>
      </c>
      <c r="T46" s="23"/>
      <c r="U46" s="24"/>
    </row>
    <row r="47" spans="5:21">
      <c r="E47" s="22"/>
      <c r="F47" s="23"/>
      <c r="G47" s="23"/>
      <c r="H47" s="38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</row>
    <row r="48" spans="5:21">
      <c r="E48" s="22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</row>
    <row r="49" spans="5:32" ht="21.6" customHeight="1">
      <c r="E49" s="22"/>
      <c r="F49" s="35" t="s">
        <v>29</v>
      </c>
      <c r="G49" s="41">
        <f>SUMIFS(明细!$L$2:$L$7327,明细!$B$2:$B$7327,Demo!$Q$4,明细!$C$2:$C$7327,Demo!$S$4,明细!$I$2:$I$7327,Demo!F49)</f>
        <v>913690.74225000013</v>
      </c>
      <c r="H49" s="42">
        <f>G49/SUMIFS(明细!$L$2:$L$7327,明细!$B$2:$B$7327,Demo!$Q$4-1,明细!$C$2:$C$7327,Demo!$S$4,明细!$I$2:$I$7327,Demo!F49)-1</f>
        <v>-0.14181583923668728</v>
      </c>
      <c r="I49" s="26">
        <f>H49</f>
        <v>-0.14181583923668728</v>
      </c>
      <c r="J49" s="23"/>
      <c r="K49" s="40" t="s">
        <v>33</v>
      </c>
      <c r="L49" s="41">
        <f>SUMIFS(明细!$L$2:$L$7327,明细!$B$2:$B$7327,Demo!$Q$4,明细!$C$2:$C$7327,Demo!$S$4,明细!$I$2:$I$7327,Demo!K49)</f>
        <v>4000912.5024400009</v>
      </c>
      <c r="M49" s="42">
        <f>L49/SUMIFS(明细!$L$2:$L$7327,明细!$B$2:$B$7327,Demo!$Q$4-1,明细!$C$2:$C$7327,Demo!$S$4,明细!$I$2:$I$7327,Demo!K49)-1</f>
        <v>0.48573817100951522</v>
      </c>
      <c r="N49" s="26">
        <f>M49</f>
        <v>0.48573817100951522</v>
      </c>
      <c r="O49" s="23"/>
      <c r="P49" s="40" t="s">
        <v>38</v>
      </c>
      <c r="Q49" s="41">
        <f>SUMIFS(明细!$L$2:$L$7327,明细!$B$2:$B$7327,Demo!$Q$4,明细!$C$2:$C$7327,Demo!$S$4,明细!$I$2:$I$7327,Demo!P49)</f>
        <v>10475842.839550003</v>
      </c>
      <c r="R49" s="42">
        <f>Q49/SUMIFS(明细!$L$2:$L$7327,明细!$B$2:$B$7327,Demo!$Q$4-1,明细!$C$2:$C$7327,Demo!$S$4,明细!$I$2:$I$7327,Demo!P49)-1</f>
        <v>-0.14598930156521583</v>
      </c>
      <c r="S49" s="26">
        <f>R49</f>
        <v>-0.14598930156521583</v>
      </c>
      <c r="T49" s="23"/>
      <c r="U49" s="24"/>
    </row>
    <row r="50" spans="5:32" ht="21.6" customHeight="1">
      <c r="E50" s="43"/>
      <c r="F50" s="35" t="s">
        <v>30</v>
      </c>
      <c r="G50" s="41">
        <f>SUMIFS(明细!$L$2:$L$7327,明细!$B$2:$B$7327,Demo!$Q$4,明细!$C$2:$C$7327,Demo!$S$4,明细!$I$2:$I$7327,Demo!F50)</f>
        <v>2680021.7475900003</v>
      </c>
      <c r="H50" s="42">
        <f>G50/SUMIFS(明细!$L$2:$L$7327,明细!$B$2:$B$7327,Demo!$Q$4-1,明细!$C$2:$C$7327,Demo!$S$4,明细!$I$2:$I$7327,Demo!F50)-1</f>
        <v>0.54234485247361031</v>
      </c>
      <c r="I50" s="26">
        <f t="shared" ref="I50:I52" si="2">H50</f>
        <v>0.54234485247361031</v>
      </c>
      <c r="J50" s="23"/>
      <c r="K50" s="40" t="s">
        <v>34</v>
      </c>
      <c r="L50" s="41">
        <f>SUMIFS(明细!$L$2:$L$7327,明细!$B$2:$B$7327,Demo!$Q$4,明细!$C$2:$C$7327,Demo!$S$4,明细!$I$2:$I$7327,Demo!K50)</f>
        <v>5677400.2196000014</v>
      </c>
      <c r="M50" s="42">
        <f>L50/SUMIFS(明细!$L$2:$L$7327,明细!$B$2:$B$7327,Demo!$Q$4-1,明细!$C$2:$C$7327,Demo!$S$4,明细!$I$2:$I$7327,Demo!K50)-1</f>
        <v>-4.1218156339945744E-2</v>
      </c>
      <c r="N50" s="26">
        <f t="shared" ref="N50:N52" si="3">M50</f>
        <v>-4.1218156339945744E-2</v>
      </c>
      <c r="O50" s="23"/>
      <c r="P50" s="40" t="s">
        <v>39</v>
      </c>
      <c r="Q50" s="41">
        <f>SUMIFS(明细!$L$2:$L$7327,明细!$B$2:$B$7327,Demo!$Q$4,明细!$C$2:$C$7327,Demo!$S$4,明细!$I$2:$I$7327,Demo!P50)</f>
        <v>6281449.0937200002</v>
      </c>
      <c r="R50" s="42">
        <f>Q50/SUMIFS(明细!$L$2:$L$7327,明细!$B$2:$B$7327,Demo!$Q$4-1,明细!$C$2:$C$7327,Demo!$S$4,明细!$I$2:$I$7327,Demo!P50)-1</f>
        <v>0.26367440189969416</v>
      </c>
      <c r="S50" s="26">
        <f t="shared" ref="S50:S51" si="4">R50</f>
        <v>0.26367440189969416</v>
      </c>
      <c r="T50" s="23"/>
      <c r="U50" s="44"/>
    </row>
    <row r="51" spans="5:32" ht="21.6" customHeight="1">
      <c r="E51" s="43"/>
      <c r="F51" s="35" t="s">
        <v>31</v>
      </c>
      <c r="G51" s="41">
        <f>SUMIFS(明细!$L$2:$L$7327,明细!$B$2:$B$7327,Demo!$Q$4,明细!$C$2:$C$7327,Demo!$S$4,明细!$I$2:$I$7327,Demo!F51)</f>
        <v>2289747.2582899993</v>
      </c>
      <c r="H51" s="42">
        <f>G51/SUMIFS(明细!$L$2:$L$7327,明细!$B$2:$B$7327,Demo!$Q$4-1,明细!$C$2:$C$7327,Demo!$S$4,明细!$I$2:$I$7327,Demo!F51)-1</f>
        <v>0.22134222764507805</v>
      </c>
      <c r="I51" s="26">
        <f t="shared" si="2"/>
        <v>0.22134222764507805</v>
      </c>
      <c r="J51" s="23"/>
      <c r="K51" s="40" t="s">
        <v>35</v>
      </c>
      <c r="L51" s="41">
        <f>SUMIFS(明细!$L$2:$L$7327,明细!$B$2:$B$7327,Demo!$Q$4,明细!$C$2:$C$7327,Demo!$S$4,明细!$I$2:$I$7327,Demo!K51)</f>
        <v>1665871.666</v>
      </c>
      <c r="M51" s="42">
        <f>L51/SUMIFS(明细!$L$2:$L$7327,明细!$B$2:$B$7327,Demo!$Q$4-1,明细!$C$2:$C$7327,Demo!$S$4,明细!$I$2:$I$7327,Demo!K51)-1</f>
        <v>-9.5854486586261056E-2</v>
      </c>
      <c r="N51" s="26">
        <f t="shared" si="3"/>
        <v>-9.5854486586261056E-2</v>
      </c>
      <c r="O51" s="23"/>
      <c r="P51" s="40" t="s">
        <v>40</v>
      </c>
      <c r="Q51" s="41">
        <f>SUMIFS(明细!$L$2:$L$7327,明细!$B$2:$B$7327,Demo!$Q$4,明细!$C$2:$C$7327,Demo!$S$4,明细!$I$2:$I$7327,Demo!P51)</f>
        <v>1495620.5371200002</v>
      </c>
      <c r="R51" s="42">
        <f>Q51/SUMIFS(明细!$L$2:$L$7327,明细!$B$2:$B$7327,Demo!$Q$4-1,明细!$C$2:$C$7327,Demo!$S$4,明细!$I$2:$I$7327,Demo!P51)-1</f>
        <v>5.1037647556193111E-2</v>
      </c>
      <c r="S51" s="26">
        <f t="shared" si="4"/>
        <v>5.1037647556193111E-2</v>
      </c>
      <c r="T51" s="23"/>
      <c r="U51" s="44"/>
      <c r="AB51" s="36"/>
      <c r="AC51" s="37"/>
    </row>
    <row r="52" spans="5:32" ht="21.6" customHeight="1">
      <c r="E52" s="43"/>
      <c r="F52" s="35" t="s">
        <v>70</v>
      </c>
      <c r="G52" s="41">
        <f>SUMIFS(明细!$L$2:$L$7327,明细!$B$2:$B$7327,Demo!$Q$4,明细!$C$2:$C$7327,Demo!$S$4,明细!$I$2:$I$7327,Demo!F52)</f>
        <v>4022020.2735000001</v>
      </c>
      <c r="H52" s="42">
        <f>G52/SUMIFS(明细!$L$2:$L$7327,明细!$B$2:$B$7327,Demo!$Q$4-1,明细!$C$2:$C$7327,Demo!$S$4,明细!$I$2:$I$7327,Demo!F52)-1</f>
        <v>0.18583501487319554</v>
      </c>
      <c r="I52" s="26">
        <f t="shared" si="2"/>
        <v>0.18583501487319554</v>
      </c>
      <c r="J52" s="23"/>
      <c r="K52" s="40" t="s">
        <v>36</v>
      </c>
      <c r="L52" s="41">
        <f>SUMIFS(明细!$L$2:$L$7327,明细!$B$2:$B$7327,Demo!$Q$4,明细!$C$2:$C$7327,Demo!$S$4,明细!$I$2:$I$7327,Demo!K52)</f>
        <v>3895266.64176</v>
      </c>
      <c r="M52" s="42">
        <f>L52/SUMIFS(明细!$L$2:$L$7327,明细!$B$2:$B$7327,Demo!$Q$4-1,明细!$C$2:$C$7327,Demo!$S$4,明细!$I$2:$I$7327,Demo!K52)-1</f>
        <v>-7.9231263127641505E-3</v>
      </c>
      <c r="N52" s="26">
        <f t="shared" si="3"/>
        <v>-7.9231263127641505E-3</v>
      </c>
      <c r="O52" s="23"/>
      <c r="P52" s="23"/>
      <c r="Q52" s="25"/>
      <c r="R52" s="26"/>
      <c r="S52" s="26"/>
      <c r="T52" s="23"/>
      <c r="U52" s="44"/>
      <c r="AB52" s="36"/>
      <c r="AC52" s="37"/>
    </row>
    <row r="53" spans="5:32">
      <c r="E53" s="4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44"/>
      <c r="AB53" s="36"/>
      <c r="AC53" s="37"/>
    </row>
    <row r="54" spans="5:32">
      <c r="E54" s="4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44"/>
      <c r="AB54" s="36"/>
      <c r="AC54" s="37"/>
    </row>
    <row r="55" spans="5:32">
      <c r="E55" s="4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44"/>
      <c r="AB55" s="61" t="s">
        <v>110</v>
      </c>
      <c r="AC55" s="61"/>
      <c r="AD55" s="61"/>
      <c r="AE55" s="61"/>
      <c r="AF55" s="61"/>
    </row>
    <row r="56" spans="5:32">
      <c r="E56" s="4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44"/>
      <c r="AB56" s="61"/>
      <c r="AC56" s="61"/>
      <c r="AD56" s="61"/>
      <c r="AE56" s="61"/>
      <c r="AF56" s="61"/>
    </row>
    <row r="57" spans="5:32">
      <c r="E57" s="4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44"/>
      <c r="AB57" s="62" t="s">
        <v>84</v>
      </c>
      <c r="AC57" s="63">
        <f>SUMIFS(明细!$L$2:$L$7327,明细!$B$2:$B$7327,Demo!$Q$4,明细!$C$2:$C$7327,Demo!$S$4,明细!$E$2:$E$7327,Demo!AB57)</f>
        <v>3529779.2228399999</v>
      </c>
      <c r="AD57" s="64">
        <f>AC57</f>
        <v>3529779.2228399999</v>
      </c>
      <c r="AE57" s="19">
        <f>AC57/SUMIFS(明细!$K$2:$K$7327,明细!$B$2:$B$7327,Demo!$Q$4,明细!$C$2:$C$7327,Demo!$S$4,明细!$E$2:$E$7327,Demo!AB57)-1</f>
        <v>0.34519016648172696</v>
      </c>
      <c r="AF57" s="64">
        <f>AE57</f>
        <v>0.34519016648172696</v>
      </c>
    </row>
    <row r="58" spans="5:32">
      <c r="E58" s="4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44"/>
      <c r="AB58" s="62" t="s">
        <v>85</v>
      </c>
      <c r="AC58" s="63">
        <f>SUMIFS(明细!$L$2:$L$7327,明细!$B$2:$B$7327,Demo!$Q$4,明细!$C$2:$C$7327,Demo!$S$4,明细!$E$2:$E$7327,Demo!AB58)</f>
        <v>4183629.45945</v>
      </c>
      <c r="AD58" s="64">
        <f t="shared" ref="AD58:AD65" si="5">AC58</f>
        <v>4183629.45945</v>
      </c>
      <c r="AE58" s="19">
        <f>AC58/SUMIFS(明细!$K$2:$K$7327,明细!$B$2:$B$7327,Demo!$Q$4,明细!$C$2:$C$7327,Demo!$S$4,明细!$E$2:$E$7327,Demo!AB58)-1</f>
        <v>0.34416523882673267</v>
      </c>
      <c r="AF58" s="64">
        <f t="shared" ref="AF58:AF65" si="6">AE58</f>
        <v>0.34416523882673267</v>
      </c>
    </row>
    <row r="59" spans="5:32">
      <c r="E59" s="4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44"/>
      <c r="AB59" s="62" t="s">
        <v>86</v>
      </c>
      <c r="AC59" s="63">
        <f>SUMIFS(明细!$L$2:$L$7327,明细!$B$2:$B$7327,Demo!$Q$4,明细!$C$2:$C$7327,Demo!$S$4,明细!$E$2:$E$7327,Demo!AB59)</f>
        <v>5505111.3784599993</v>
      </c>
      <c r="AD59" s="64">
        <f t="shared" si="5"/>
        <v>5505111.3784599993</v>
      </c>
      <c r="AE59" s="19">
        <f>AC59/SUMIFS(明细!$K$2:$K$7327,明细!$B$2:$B$7327,Demo!$Q$4,明细!$C$2:$C$7327,Demo!$S$4,明细!$E$2:$E$7327,Demo!AB59)-1</f>
        <v>0.35280514066699564</v>
      </c>
      <c r="AF59" s="64">
        <f t="shared" si="6"/>
        <v>0.35280514066699564</v>
      </c>
    </row>
    <row r="60" spans="5:32">
      <c r="E60" s="4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44"/>
      <c r="AB60" s="62" t="s">
        <v>87</v>
      </c>
      <c r="AC60" s="63">
        <f>SUMIFS(明细!$L$2:$L$7327,明细!$B$2:$B$7327,Demo!$Q$4,明细!$C$2:$C$7327,Demo!$S$4,明细!$E$2:$E$7327,Demo!AB60)</f>
        <v>5820652.2316400008</v>
      </c>
      <c r="AD60" s="64">
        <f t="shared" si="5"/>
        <v>5820652.2316400008</v>
      </c>
      <c r="AE60" s="19">
        <f>AC60/SUMIFS(明细!$K$2:$K$7327,明细!$B$2:$B$7327,Demo!$Q$4,明细!$C$2:$C$7327,Demo!$S$4,明细!$E$2:$E$7327,Demo!AB60)-1</f>
        <v>0.36434010051842436</v>
      </c>
      <c r="AF60" s="64">
        <f t="shared" si="6"/>
        <v>0.36434010051842436</v>
      </c>
    </row>
    <row r="61" spans="5:32" ht="25.9" customHeight="1">
      <c r="E61" s="4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44"/>
      <c r="AB61" s="62" t="s">
        <v>88</v>
      </c>
      <c r="AC61" s="63">
        <f>SUMIFS(明细!$L$2:$L$7327,明细!$B$2:$B$7327,Demo!$Q$4,明细!$C$2:$C$7327,Demo!$S$4,明细!$E$2:$E$7327,Demo!AB61)</f>
        <v>6539862.2380599966</v>
      </c>
      <c r="AD61" s="64">
        <f t="shared" si="5"/>
        <v>6539862.2380599966</v>
      </c>
      <c r="AE61" s="19">
        <f>AC61/SUMIFS(明细!$K$2:$K$7327,明细!$B$2:$B$7327,Demo!$Q$4,明细!$C$2:$C$7327,Demo!$S$4,明细!$E$2:$E$7327,Demo!AB61)-1</f>
        <v>0.367765201182783</v>
      </c>
      <c r="AF61" s="64">
        <f t="shared" si="6"/>
        <v>0.367765201182783</v>
      </c>
    </row>
    <row r="62" spans="5:32" ht="25.9" customHeight="1">
      <c r="E62" s="4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44"/>
      <c r="AB62" s="62" t="s">
        <v>89</v>
      </c>
      <c r="AC62" s="63">
        <f>SUMIFS(明细!$L$2:$L$7327,明细!$B$2:$B$7327,Demo!$Q$4,明细!$C$2:$C$7327,Demo!$S$4,明细!$E$2:$E$7327,Demo!AB62)</f>
        <v>4072277.0124999993</v>
      </c>
      <c r="AD62" s="64">
        <f t="shared" si="5"/>
        <v>4072277.0124999993</v>
      </c>
      <c r="AE62" s="19">
        <f>AC62/SUMIFS(明细!$K$2:$K$7327,明细!$B$2:$B$7327,Demo!$Q$4,明细!$C$2:$C$7327,Demo!$S$4,明细!$E$2:$E$7327,Demo!AB62)-1</f>
        <v>0.33403166947867025</v>
      </c>
      <c r="AF62" s="64">
        <f t="shared" si="6"/>
        <v>0.33403166947867025</v>
      </c>
    </row>
    <row r="63" spans="5:32" ht="25.9" customHeight="1">
      <c r="E63" s="4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44"/>
      <c r="AB63" s="62" t="s">
        <v>90</v>
      </c>
      <c r="AC63" s="63">
        <f>SUMIFS(明细!$L$2:$L$7327,明细!$B$2:$B$7327,Demo!$Q$4,明细!$C$2:$C$7327,Demo!$S$4,明细!$E$2:$E$7327,Demo!AB63)</f>
        <v>5563267.7460499993</v>
      </c>
      <c r="AD63" s="64">
        <f t="shared" si="5"/>
        <v>5563267.7460499993</v>
      </c>
      <c r="AE63" s="19">
        <f>AC63/SUMIFS(明细!$K$2:$K$7327,明细!$B$2:$B$7327,Demo!$Q$4,明细!$C$2:$C$7327,Demo!$S$4,明细!$E$2:$E$7327,Demo!AB63)-1</f>
        <v>0.37237041683288785</v>
      </c>
      <c r="AF63" s="64">
        <f t="shared" si="6"/>
        <v>0.37237041683288785</v>
      </c>
    </row>
    <row r="64" spans="5:32" ht="25.9" customHeight="1">
      <c r="E64" s="4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44"/>
      <c r="AB64" s="62" t="s">
        <v>91</v>
      </c>
      <c r="AC64" s="63">
        <f>SUMIFS(明细!$L$2:$L$7327,明细!$B$2:$B$7327,Demo!$Q$4,明细!$C$2:$C$7327,Demo!$S$4,明细!$E$2:$E$7327,Demo!AB64)</f>
        <v>4259687.9736400004</v>
      </c>
      <c r="AD64" s="64">
        <f t="shared" si="5"/>
        <v>4259687.9736400004</v>
      </c>
      <c r="AE64" s="19">
        <f>AC64/SUMIFS(明细!$K$2:$K$7327,明细!$B$2:$B$7327,Demo!$Q$4,明细!$C$2:$C$7327,Demo!$S$4,明细!$E$2:$E$7327,Demo!AB64)-1</f>
        <v>0.33100064330629531</v>
      </c>
      <c r="AF64" s="64">
        <f t="shared" si="6"/>
        <v>0.33100064330629531</v>
      </c>
    </row>
    <row r="65" spans="5:32" ht="25.9" customHeight="1">
      <c r="E65" s="4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44"/>
      <c r="AB65" s="62" t="s">
        <v>92</v>
      </c>
      <c r="AC65" s="63">
        <f>SUMIFS(明细!$L$2:$L$7327,明细!$B$2:$B$7327,Demo!$Q$4,明细!$C$2:$C$7327,Demo!$S$4,明细!$E$2:$E$7327,Demo!AB65)</f>
        <v>3923576.2591800001</v>
      </c>
      <c r="AD65" s="64">
        <f t="shared" si="5"/>
        <v>3923576.2591800001</v>
      </c>
      <c r="AE65" s="19">
        <f>AC65/SUMIFS(明细!$K$2:$K$7327,明细!$B$2:$B$7327,Demo!$Q$4,明细!$C$2:$C$7327,Demo!$S$4,明细!$E$2:$E$7327,Demo!AB65)-1</f>
        <v>0.3530019690859989</v>
      </c>
      <c r="AF65" s="64">
        <f t="shared" si="6"/>
        <v>0.3530019690859989</v>
      </c>
    </row>
    <row r="66" spans="5:32" ht="25.9" customHeight="1">
      <c r="E66" s="4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44"/>
      <c r="AB66" s="65" t="s">
        <v>111</v>
      </c>
      <c r="AC66" s="65"/>
      <c r="AD66" s="65"/>
      <c r="AE66" s="65"/>
      <c r="AF66" s="65"/>
    </row>
    <row r="67" spans="5:32" ht="25.9" customHeight="1">
      <c r="E67" s="4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44"/>
      <c r="AB67" s="62" t="s">
        <v>84</v>
      </c>
      <c r="AC67" s="63">
        <f>SUMIFS(明细!$L$2:$L$7327,明细!$B$2:$B$7327,Demo!$Q$4-1,明细!$C$2:$C$7327,Demo!$S$4,明细!$E$2:$E$7327,Demo!AB67)</f>
        <v>2956803.78767</v>
      </c>
      <c r="AD67" s="64">
        <f>AC67</f>
        <v>2956803.78767</v>
      </c>
      <c r="AE67" s="19">
        <f>AC67/SUMIFS(明细!$K$2:$K$7327,明细!$B$2:$B$7327,Demo!$Q$4-1,明细!$C$2:$C$7327,Demo!$S$4,明细!$E$2:$E$7327,Demo!AB67)-1</f>
        <v>0.34051773131764307</v>
      </c>
      <c r="AF67" s="64">
        <f>AE67</f>
        <v>0.34051773131764307</v>
      </c>
    </row>
    <row r="68" spans="5:32" ht="25.9" customHeight="1">
      <c r="E68" s="4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44"/>
      <c r="AB68" s="62" t="s">
        <v>85</v>
      </c>
      <c r="AC68" s="63">
        <f>SUMIFS(明细!$L$2:$L$7327,明细!$B$2:$B$7327,Demo!$Q$4-1,明细!$C$2:$C$7327,Demo!$S$4,明细!$E$2:$E$7327,Demo!AB68)</f>
        <v>3816693.3760000006</v>
      </c>
      <c r="AD68" s="64">
        <f t="shared" ref="AD68:AD75" si="7">AC68</f>
        <v>3816693.3760000006</v>
      </c>
      <c r="AE68" s="19">
        <f>AC68/SUMIFS(明细!$K$2:$K$7327,明细!$B$2:$B$7327,Demo!$Q$4-1,明细!$C$2:$C$7327,Demo!$S$4,明细!$E$2:$E$7327,Demo!AB68)-1</f>
        <v>0.33284817533644673</v>
      </c>
      <c r="AF68" s="64">
        <f t="shared" ref="AF68:AF75" si="8">AE68</f>
        <v>0.33284817533644673</v>
      </c>
    </row>
    <row r="69" spans="5:32" ht="25.9" customHeight="1">
      <c r="E69" s="4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44"/>
      <c r="AB69" s="62" t="s">
        <v>86</v>
      </c>
      <c r="AC69" s="63">
        <f>SUMIFS(明细!$L$2:$L$7327,明细!$B$2:$B$7327,Demo!$Q$4-1,明细!$C$2:$C$7327,Demo!$S$4,明细!$E$2:$E$7327,Demo!AB69)</f>
        <v>5246672.69735</v>
      </c>
      <c r="AD69" s="64">
        <f t="shared" si="7"/>
        <v>5246672.69735</v>
      </c>
      <c r="AE69" s="19">
        <f>AC69/SUMIFS(明细!$K$2:$K$7327,明细!$B$2:$B$7327,Demo!$Q$4-1,明细!$C$2:$C$7327,Demo!$S$4,明细!$E$2:$E$7327,Demo!AB69)-1</f>
        <v>0.33642409459997569</v>
      </c>
      <c r="AF69" s="64">
        <f t="shared" si="8"/>
        <v>0.33642409459997569</v>
      </c>
    </row>
    <row r="70" spans="5:32">
      <c r="E70" s="4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44"/>
      <c r="AB70" s="62" t="s">
        <v>87</v>
      </c>
      <c r="AC70" s="63">
        <f>SUMIFS(明细!$L$2:$L$7327,明细!$B$2:$B$7327,Demo!$Q$4-1,明细!$C$2:$C$7327,Demo!$S$4,明细!$E$2:$E$7327,Demo!AB70)</f>
        <v>5856568.2855400005</v>
      </c>
      <c r="AD70" s="64">
        <f t="shared" si="7"/>
        <v>5856568.2855400005</v>
      </c>
      <c r="AE70" s="19">
        <f>AC70/SUMIFS(明细!$K$2:$K$7327,明细!$B$2:$B$7327,Demo!$Q$4-1,明细!$C$2:$C$7327,Demo!$S$4,明细!$E$2:$E$7327,Demo!AB70)-1</f>
        <v>0.32894628712389307</v>
      </c>
      <c r="AF70" s="64">
        <f t="shared" si="8"/>
        <v>0.32894628712389307</v>
      </c>
    </row>
    <row r="71" spans="5:32">
      <c r="E71" s="4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44"/>
      <c r="AB71" s="62" t="s">
        <v>88</v>
      </c>
      <c r="AC71" s="63">
        <f>SUMIFS(明细!$L$2:$L$7327,明细!$B$2:$B$7327,Demo!$Q$4-1,明细!$C$2:$C$7327,Demo!$S$4,明细!$E$2:$E$7327,Demo!AB71)</f>
        <v>5808706.7356400006</v>
      </c>
      <c r="AD71" s="64">
        <f t="shared" si="7"/>
        <v>5808706.7356400006</v>
      </c>
      <c r="AE71" s="19">
        <f>AC71/SUMIFS(明细!$K$2:$K$7327,明细!$B$2:$B$7327,Demo!$Q$4-1,明细!$C$2:$C$7327,Demo!$S$4,明细!$E$2:$E$7327,Demo!AB71)-1</f>
        <v>0.3351667747443996</v>
      </c>
      <c r="AF71" s="64">
        <f t="shared" si="8"/>
        <v>0.3351667747443996</v>
      </c>
    </row>
    <row r="72" spans="5:32">
      <c r="E72" s="4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44"/>
      <c r="AB72" s="62" t="s">
        <v>89</v>
      </c>
      <c r="AC72" s="63">
        <f>SUMIFS(明细!$L$2:$L$7327,明细!$B$2:$B$7327,Demo!$Q$4-1,明细!$C$2:$C$7327,Demo!$S$4,明细!$E$2:$E$7327,Demo!AB72)</f>
        <v>4163659.1768200002</v>
      </c>
      <c r="AD72" s="64">
        <f t="shared" si="7"/>
        <v>4163659.1768200002</v>
      </c>
      <c r="AE72" s="19">
        <f>AC72/SUMIFS(明细!$K$2:$K$7327,明细!$B$2:$B$7327,Demo!$Q$4-1,明细!$C$2:$C$7327,Demo!$S$4,明细!$E$2:$E$7327,Demo!AB72)-1</f>
        <v>0.36950076597211434</v>
      </c>
      <c r="AF72" s="64">
        <f t="shared" si="8"/>
        <v>0.36950076597211434</v>
      </c>
    </row>
    <row r="73" spans="5:32">
      <c r="E73" s="4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44"/>
      <c r="AB73" s="62" t="s">
        <v>90</v>
      </c>
      <c r="AC73" s="63">
        <f>SUMIFS(明细!$L$2:$L$7327,明细!$B$2:$B$7327,Demo!$Q$4-1,明细!$C$2:$C$7327,Demo!$S$4,明细!$E$2:$E$7327,Demo!AB73)</f>
        <v>5822641.9589999998</v>
      </c>
      <c r="AD73" s="64">
        <f t="shared" si="7"/>
        <v>5822641.9589999998</v>
      </c>
      <c r="AE73" s="19">
        <f>AC73/SUMIFS(明细!$K$2:$K$7327,明细!$B$2:$B$7327,Demo!$Q$4-1,明细!$C$2:$C$7327,Demo!$S$4,明细!$E$2:$E$7327,Demo!AB73)-1</f>
        <v>0.39795224352629877</v>
      </c>
      <c r="AF73" s="64">
        <f t="shared" si="8"/>
        <v>0.39795224352629877</v>
      </c>
    </row>
    <row r="74" spans="5:32">
      <c r="E74" s="4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44"/>
      <c r="AB74" s="62" t="s">
        <v>91</v>
      </c>
      <c r="AC74" s="63">
        <f>SUMIFS(明细!$L$2:$L$7327,明细!$B$2:$B$7327,Demo!$Q$4-1,明细!$C$2:$C$7327,Demo!$S$4,明细!$E$2:$E$7327,Demo!AB74)</f>
        <v>3516774.9899400007</v>
      </c>
      <c r="AD74" s="64">
        <f t="shared" si="7"/>
        <v>3516774.9899400007</v>
      </c>
      <c r="AE74" s="19">
        <f>AC74/SUMIFS(明细!$K$2:$K$7327,明细!$B$2:$B$7327,Demo!$Q$4-1,明细!$C$2:$C$7327,Demo!$S$4,明细!$E$2:$E$7327,Demo!AB74)-1</f>
        <v>0.32051557606097481</v>
      </c>
      <c r="AF74" s="64">
        <f t="shared" si="8"/>
        <v>0.32051557606097481</v>
      </c>
    </row>
    <row r="75" spans="5:32">
      <c r="E75" s="4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44"/>
      <c r="AB75" s="62" t="s">
        <v>92</v>
      </c>
      <c r="AC75" s="63">
        <f>SUMIFS(明细!$L$2:$L$7327,明细!$B$2:$B$7327,Demo!$Q$4-1,明细!$C$2:$C$7327,Demo!$S$4,明细!$E$2:$E$7327,Demo!AB75)</f>
        <v>3923910.9386199992</v>
      </c>
      <c r="AD75" s="64">
        <f t="shared" si="7"/>
        <v>3923910.9386199992</v>
      </c>
      <c r="AE75" s="19">
        <f>AC75/SUMIFS(明细!$K$2:$K$7327,明细!$B$2:$B$7327,Demo!$Q$4-1,明细!$C$2:$C$7327,Demo!$S$4,明细!$E$2:$E$7327,Demo!AB75)-1</f>
        <v>0.36031611398741803</v>
      </c>
      <c r="AF75" s="64">
        <f t="shared" si="8"/>
        <v>0.36031611398741803</v>
      </c>
    </row>
    <row r="76" spans="5:32">
      <c r="E76" s="4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44"/>
      <c r="AB76" s="36"/>
      <c r="AC76" s="37"/>
    </row>
    <row r="77" spans="5:32">
      <c r="E77" s="4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44"/>
      <c r="AB77" s="36"/>
      <c r="AC77" s="37"/>
    </row>
    <row r="78" spans="5:32">
      <c r="E78" s="4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44"/>
      <c r="AB78" s="36"/>
      <c r="AC78" s="37"/>
    </row>
    <row r="79" spans="5:32">
      <c r="E79" s="4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44"/>
      <c r="AB79" s="36"/>
      <c r="AC79" s="37"/>
    </row>
    <row r="80" spans="5:32">
      <c r="E80" s="45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7"/>
      <c r="AB80" s="36"/>
      <c r="AC80" s="37"/>
    </row>
    <row r="81" spans="28:29">
      <c r="AB81" s="36"/>
      <c r="AC81" s="37"/>
    </row>
    <row r="82" spans="28:29">
      <c r="AB82" s="36"/>
      <c r="AC82" s="37"/>
    </row>
    <row r="83" spans="28:29">
      <c r="AB83" s="36"/>
      <c r="AC83" s="37"/>
    </row>
    <row r="84" spans="28:29">
      <c r="AB84" s="36"/>
      <c r="AC84" s="37"/>
    </row>
    <row r="85" spans="28:29">
      <c r="AB85" s="36"/>
      <c r="AC85" s="37"/>
    </row>
    <row r="86" spans="28:29">
      <c r="AB86" s="36"/>
      <c r="AC86" s="37"/>
    </row>
    <row r="87" spans="28:29">
      <c r="AB87" s="36"/>
      <c r="AC87" s="37"/>
    </row>
    <row r="88" spans="28:29">
      <c r="AB88" s="36"/>
      <c r="AC88" s="37"/>
    </row>
    <row r="89" spans="28:29">
      <c r="AB89" s="36"/>
      <c r="AC89" s="37"/>
    </row>
  </sheetData>
  <sheetProtection selectLockedCells="1"/>
  <mergeCells count="12">
    <mergeCell ref="AB66:AF66"/>
    <mergeCell ref="AB55:AF56"/>
    <mergeCell ref="E2:F5"/>
    <mergeCell ref="AA6:AB6"/>
    <mergeCell ref="AD6:AE6"/>
    <mergeCell ref="AG6:AH6"/>
    <mergeCell ref="G2:G5"/>
    <mergeCell ref="H2:P5"/>
    <mergeCell ref="S4:S5"/>
    <mergeCell ref="Q4:Q5"/>
    <mergeCell ref="T4:T5"/>
    <mergeCell ref="R4:R5"/>
  </mergeCells>
  <phoneticPr fontId="3" type="noConversion"/>
  <conditionalFormatting sqref="AD67:AD75">
    <cfRule type="dataBar" priority="2">
      <dataBar showValue="0">
        <cfvo type="min"/>
        <cfvo type="max"/>
        <color theme="3" tint="-0.249977111117893"/>
      </dataBar>
      <extLst>
        <ext xmlns:x14="http://schemas.microsoft.com/office/spreadsheetml/2009/9/main" uri="{B025F937-C7B1-47D3-B67F-A62EFF666E3E}">
          <x14:id>{62593FA2-5008-48CF-B6CB-B8A1EA86772B}</x14:id>
        </ext>
      </extLst>
    </cfRule>
  </conditionalFormatting>
  <conditionalFormatting sqref="AF67:AF75">
    <cfRule type="dataBar" priority="1">
      <dataBar showValue="0"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{F2B4C1B0-8308-4575-B800-D6206CF969BF}</x14:id>
        </ext>
      </extLst>
    </cfRule>
  </conditionalFormatting>
  <conditionalFormatting sqref="AD57:AD65">
    <cfRule type="dataBar" priority="21">
      <dataBar showValue="0">
        <cfvo type="min"/>
        <cfvo type="max"/>
        <color theme="3" tint="-0.249977111117893"/>
      </dataBar>
      <extLst>
        <ext xmlns:x14="http://schemas.microsoft.com/office/spreadsheetml/2009/9/main" uri="{B025F937-C7B1-47D3-B67F-A62EFF666E3E}">
          <x14:id>{6B14BFB9-DCF0-4EF3-930B-6A4A21A58489}</x14:id>
        </ext>
      </extLst>
    </cfRule>
  </conditionalFormatting>
  <conditionalFormatting sqref="AF57:AF65">
    <cfRule type="dataBar" priority="23">
      <dataBar showValue="0"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{0C417FB8-3109-4AC0-A88E-FE9565E3A640}</x14:id>
        </ext>
      </extLst>
    </cfRule>
  </conditionalFormatting>
  <dataValidations count="2">
    <dataValidation type="list" allowBlank="1" showInputMessage="1" showErrorMessage="1" sqref="Q4:Q5" xr:uid="{00000000-0002-0000-0000-000000000000}">
      <formula1>"2019,2020"</formula1>
    </dataValidation>
    <dataValidation type="list" allowBlank="1" showInputMessage="1" showErrorMessage="1" sqref="S4:S5" xr:uid="{00000000-0002-0000-0000-000001000000}">
      <formula1>$AB$1:$AM$1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593FA2-5008-48CF-B6CB-B8A1EA867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AD67:AD75</xm:sqref>
        </x14:conditionalFormatting>
        <x14:conditionalFormatting xmlns:xm="http://schemas.microsoft.com/office/excel/2006/main">
          <x14:cfRule type="dataBar" id="{F2B4C1B0-8308-4575-B800-D6206CF96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AF67:AF75</xm:sqref>
        </x14:conditionalFormatting>
        <x14:conditionalFormatting xmlns:xm="http://schemas.microsoft.com/office/excel/2006/main">
          <x14:cfRule type="iconSet" priority="20" id="{EFB2B790-C940-46C6-BBA1-563FC0335BD4}">
            <x14:iconSet iconSet="3Triangles" showValue="0">
              <x14:cfvo type="percent">
                <xm:f>0</xm:f>
              </x14:cfvo>
              <x14:cfvo type="percent" gte="0">
                <xm:f>0</xm:f>
              </x14:cfvo>
              <x14:cfvo type="percent">
                <xm:f>0</xm:f>
              </x14:cfvo>
            </x14:iconSet>
          </x14:cfRule>
          <xm:sqref>H15</xm:sqref>
        </x14:conditionalFormatting>
        <x14:conditionalFormatting xmlns:xm="http://schemas.microsoft.com/office/excel/2006/main">
          <x14:cfRule type="iconSet" priority="17" id="{B6115CEE-486C-498C-A8C6-A99F0EAFEB22}">
            <x14:iconSet iconSet="3Triangles" showValue="0">
              <x14:cfvo type="percent">
                <xm:f>0</xm:f>
              </x14:cfvo>
              <x14:cfvo type="percent" gte="0">
                <xm:f>0</xm:f>
              </x14:cfvo>
              <x14:cfvo type="percent">
                <xm:f>0</xm:f>
              </x14:cfvo>
            </x14:iconSet>
          </x14:cfRule>
          <xm:sqref>N15</xm:sqref>
        </x14:conditionalFormatting>
        <x14:conditionalFormatting xmlns:xm="http://schemas.microsoft.com/office/excel/2006/main">
          <x14:cfRule type="iconSet" priority="16" id="{0A124959-0FA9-47E5-B9E2-790F2B24EA70}">
            <x14:iconSet iconSet="3Triangles" showValue="0">
              <x14:cfvo type="percent">
                <xm:f>0</xm:f>
              </x14:cfvo>
              <x14:cfvo type="percent" gte="0">
                <xm:f>0</xm:f>
              </x14:cfvo>
              <x14:cfvo type="percent">
                <xm:f>0</xm:f>
              </x14:cfvo>
            </x14:iconSet>
          </x14:cfRule>
          <xm:sqref>S15</xm:sqref>
        </x14:conditionalFormatting>
        <x14:conditionalFormatting xmlns:xm="http://schemas.microsoft.com/office/excel/2006/main">
          <x14:cfRule type="iconSet" priority="15" id="{920DF3C1-21DA-4A89-96B7-496FDB33F2E0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I49:I52</xm:sqref>
        </x14:conditionalFormatting>
        <x14:conditionalFormatting xmlns:xm="http://schemas.microsoft.com/office/excel/2006/main">
          <x14:cfRule type="iconSet" priority="14" id="{F49E55CD-7DDF-4DEA-8517-8B74370F4BD8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N49:N52</xm:sqref>
        </x14:conditionalFormatting>
        <x14:conditionalFormatting xmlns:xm="http://schemas.microsoft.com/office/excel/2006/main">
          <x14:cfRule type="iconSet" priority="13" id="{DEE6A312-E45B-4A7D-A543-9902EAD3AFD9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S49:S52</xm:sqref>
        </x14:conditionalFormatting>
        <x14:conditionalFormatting xmlns:xm="http://schemas.microsoft.com/office/excel/2006/main">
          <x14:cfRule type="iconSet" priority="12" id="{E077DFB1-2D0E-47C9-AD2E-3FAE7EEA0ADC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H47</xm:sqref>
        </x14:conditionalFormatting>
        <x14:conditionalFormatting xmlns:xm="http://schemas.microsoft.com/office/excel/2006/main">
          <x14:cfRule type="iconSet" priority="11" id="{EE5C9DC1-6281-4195-9BA7-C5A3F4C76399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I46</xm:sqref>
        </x14:conditionalFormatting>
        <x14:conditionalFormatting xmlns:xm="http://schemas.microsoft.com/office/excel/2006/main">
          <x14:cfRule type="iconSet" priority="10" id="{AE196305-53CC-4A0C-91A8-3D4AABB91B01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N46</xm:sqref>
        </x14:conditionalFormatting>
        <x14:conditionalFormatting xmlns:xm="http://schemas.microsoft.com/office/excel/2006/main">
          <x14:cfRule type="iconSet" priority="9" id="{60596143-E891-4325-B228-55BED7962481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S46</xm:sqref>
        </x14:conditionalFormatting>
        <x14:conditionalFormatting xmlns:xm="http://schemas.microsoft.com/office/excel/2006/main">
          <x14:cfRule type="dataBar" id="{6B14BFB9-DCF0-4EF3-930B-6A4A21A58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AD57:AD65</xm:sqref>
        </x14:conditionalFormatting>
        <x14:conditionalFormatting xmlns:xm="http://schemas.microsoft.com/office/excel/2006/main">
          <x14:cfRule type="dataBar" id="{0C417FB8-3109-4AC0-A88E-FE9565E3A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AF57:AF65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27"/>
  <sheetViews>
    <sheetView zoomScaleNormal="100" workbookViewId="0">
      <pane ySplit="1" topLeftCell="A2" activePane="bottomLeft" state="frozen"/>
      <selection pane="bottomLeft" activeCell="A13" sqref="A13"/>
    </sheetView>
  </sheetViews>
  <sheetFormatPr defaultRowHeight="14.25"/>
  <cols>
    <col min="1" max="1" width="9.125" style="3" bestFit="1" customWidth="1"/>
    <col min="2" max="2" width="9.125" style="8" bestFit="1" customWidth="1"/>
    <col min="3" max="3" width="8.5" style="5" bestFit="1" customWidth="1"/>
    <col min="4" max="4" width="9.125" style="3" bestFit="1" customWidth="1"/>
    <col min="5" max="5" width="12.5" style="3" bestFit="1" customWidth="1"/>
    <col min="6" max="9" width="9.125" style="3" bestFit="1" customWidth="1"/>
    <col min="10" max="10" width="10.75" style="3" bestFit="1" customWidth="1"/>
    <col min="11" max="11" width="9.5" bestFit="1" customWidth="1"/>
    <col min="12" max="12" width="7.5" bestFit="1" customWidth="1"/>
    <col min="13" max="13" width="9.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101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 xr:uid="{00000000-0009-0000-0000-000001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</vt:lpstr>
      <vt:lpstr>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2019-09-25T14:30:12Z</dcterms:modified>
</cp:coreProperties>
</file>