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Grads/lchenjie/cadence/lab11/"/>
    </mc:Choice>
  </mc:AlternateContent>
  <bookViews>
    <workbookView xWindow="0" yWindow="460" windowWidth="27320" windowHeight="13580" tabRatio="500"/>
  </bookViews>
  <sheets>
    <sheet name="Logical Effort Calculation" sheetId="1" r:id="rId1"/>
    <sheet name="Delay &amp; Area &amp; Power Comparison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4" i="2" l="1"/>
  <c r="C65" i="2"/>
  <c r="C66" i="2"/>
  <c r="C67" i="2"/>
  <c r="C68" i="2"/>
  <c r="C69" i="2"/>
  <c r="C63" i="2"/>
  <c r="C62" i="2"/>
  <c r="C61" i="2"/>
  <c r="C55" i="2"/>
  <c r="C54" i="2"/>
  <c r="B44" i="2"/>
  <c r="B45" i="2"/>
  <c r="B46" i="2"/>
  <c r="B47" i="2"/>
  <c r="B43" i="2"/>
  <c r="C44" i="2"/>
  <c r="C45" i="2"/>
  <c r="C46" i="2"/>
  <c r="C47" i="2"/>
  <c r="C43" i="2"/>
  <c r="C34" i="2"/>
  <c r="B32" i="2"/>
  <c r="B33" i="2"/>
  <c r="B34" i="2"/>
  <c r="B35" i="2"/>
  <c r="B31" i="2"/>
  <c r="C32" i="2"/>
  <c r="C33" i="2"/>
  <c r="C35" i="2"/>
  <c r="C31" i="2"/>
  <c r="C24" i="2"/>
  <c r="B21" i="2"/>
  <c r="B22" i="2"/>
  <c r="B23" i="2"/>
  <c r="B24" i="2"/>
  <c r="B20" i="2"/>
  <c r="C21" i="2"/>
  <c r="C22" i="2"/>
  <c r="C23" i="2"/>
  <c r="C20" i="2"/>
  <c r="C11" i="2"/>
  <c r="B10" i="2"/>
  <c r="B11" i="2"/>
  <c r="B12" i="2"/>
  <c r="B13" i="2"/>
  <c r="B9" i="2"/>
  <c r="C13" i="2"/>
  <c r="C12" i="2"/>
  <c r="C10" i="2"/>
  <c r="C9" i="2"/>
  <c r="E49" i="2"/>
  <c r="F49" i="2"/>
  <c r="F44" i="2"/>
  <c r="F45" i="2"/>
  <c r="F46" i="2"/>
  <c r="F47" i="2"/>
  <c r="F43" i="2"/>
  <c r="E47" i="2"/>
  <c r="E44" i="2"/>
  <c r="E43" i="2"/>
  <c r="E45" i="2"/>
  <c r="E46" i="2"/>
  <c r="F24" i="2"/>
  <c r="E24" i="2"/>
  <c r="F21" i="2"/>
  <c r="F22" i="2"/>
  <c r="F23" i="2"/>
  <c r="F20" i="2"/>
  <c r="E20" i="2"/>
  <c r="E21" i="2"/>
  <c r="E22" i="2"/>
  <c r="E23" i="2"/>
  <c r="F35" i="2"/>
  <c r="E35" i="2"/>
  <c r="F32" i="2"/>
  <c r="F33" i="2"/>
  <c r="F34" i="2"/>
  <c r="F31" i="2"/>
  <c r="E31" i="2"/>
  <c r="E32" i="2"/>
  <c r="E33" i="2"/>
  <c r="E34" i="2"/>
  <c r="F37" i="2"/>
  <c r="E37" i="2"/>
  <c r="F26" i="2"/>
  <c r="E26" i="2"/>
  <c r="F15" i="2"/>
  <c r="E15" i="2"/>
  <c r="F10" i="2"/>
  <c r="F11" i="2"/>
  <c r="F12" i="2"/>
  <c r="F13" i="2"/>
  <c r="F9" i="2"/>
  <c r="E13" i="2"/>
  <c r="E9" i="2"/>
  <c r="E10" i="2"/>
  <c r="E11" i="2"/>
  <c r="E12" i="2"/>
  <c r="C49" i="2"/>
  <c r="D49" i="2"/>
  <c r="D47" i="2"/>
  <c r="D43" i="2"/>
  <c r="D44" i="2"/>
  <c r="D45" i="2"/>
  <c r="D46" i="2"/>
  <c r="C37" i="2"/>
  <c r="D37" i="2"/>
  <c r="D35" i="2"/>
  <c r="D31" i="2"/>
  <c r="D32" i="2"/>
  <c r="D33" i="2"/>
  <c r="D34" i="2"/>
  <c r="C26" i="2"/>
  <c r="D26" i="2"/>
  <c r="D24" i="2"/>
  <c r="D20" i="2"/>
  <c r="D21" i="2"/>
  <c r="D22" i="2"/>
  <c r="D23" i="2"/>
  <c r="C15" i="2"/>
  <c r="D15" i="2"/>
  <c r="D13" i="2"/>
  <c r="D9" i="2"/>
  <c r="D10" i="2"/>
  <c r="D11" i="2"/>
  <c r="D12" i="2"/>
  <c r="C58" i="2"/>
  <c r="C59" i="2"/>
  <c r="C70" i="2"/>
  <c r="E54" i="2"/>
  <c r="E55" i="2"/>
  <c r="E56" i="2"/>
  <c r="E70" i="2"/>
  <c r="B84" i="1"/>
  <c r="D16" i="1"/>
  <c r="C84" i="1"/>
  <c r="D23" i="1"/>
  <c r="D84" i="1"/>
  <c r="B85" i="1"/>
  <c r="C85" i="1"/>
  <c r="D85" i="1"/>
  <c r="D24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D17" i="1"/>
  <c r="C92" i="1"/>
  <c r="D92" i="1"/>
  <c r="E92" i="1"/>
  <c r="G92" i="1"/>
  <c r="F92" i="1"/>
  <c r="H92" i="1"/>
  <c r="E91" i="1"/>
  <c r="G91" i="1"/>
  <c r="F91" i="1"/>
  <c r="H91" i="1"/>
  <c r="E90" i="1"/>
  <c r="G90" i="1"/>
  <c r="F90" i="1"/>
  <c r="H90" i="1"/>
  <c r="E89" i="1"/>
  <c r="G89" i="1"/>
  <c r="F89" i="1"/>
  <c r="H89" i="1"/>
  <c r="E88" i="1"/>
  <c r="G88" i="1"/>
  <c r="F88" i="1"/>
  <c r="H88" i="1"/>
  <c r="E87" i="1"/>
  <c r="G87" i="1"/>
  <c r="F87" i="1"/>
  <c r="H87" i="1"/>
  <c r="E86" i="1"/>
  <c r="G86" i="1"/>
  <c r="F86" i="1"/>
  <c r="H86" i="1"/>
  <c r="E85" i="1"/>
  <c r="G85" i="1"/>
  <c r="F85" i="1"/>
  <c r="H85" i="1"/>
  <c r="E84" i="1"/>
  <c r="G84" i="1"/>
  <c r="F84" i="1"/>
  <c r="H84" i="1"/>
  <c r="C78" i="1"/>
  <c r="B33" i="1"/>
  <c r="B34" i="1"/>
  <c r="B37" i="1"/>
  <c r="B26" i="1"/>
  <c r="C23" i="1"/>
  <c r="B23" i="1"/>
  <c r="C24" i="1"/>
  <c r="B24" i="1"/>
  <c r="B27" i="1"/>
  <c r="B28" i="1"/>
  <c r="B18" i="1"/>
  <c r="B41" i="1"/>
  <c r="B43" i="1"/>
  <c r="B36" i="1"/>
  <c r="B35" i="1"/>
  <c r="D15" i="1"/>
</calcChain>
</file>

<file path=xl/sharedStrings.xml><?xml version="1.0" encoding="utf-8"?>
<sst xmlns="http://schemas.openxmlformats.org/spreadsheetml/2006/main" count="158" uniqueCount="92">
  <si>
    <t>Lab11 Report</t>
  </si>
  <si>
    <t>Stage Number</t>
  </si>
  <si>
    <r>
      <rPr>
        <sz val="11"/>
        <color rgb="FF000000"/>
        <rFont val="Arial"/>
        <charset val="1"/>
      </rPr>
      <t xml:space="preserve">Total number of stages = 3 stages + 2 stages + 2 stages + 2 stages = </t>
    </r>
    <r>
      <rPr>
        <b/>
        <sz val="11"/>
        <color rgb="FF000000"/>
        <rFont val="Arial"/>
        <charset val="1"/>
      </rPr>
      <t>9 stages</t>
    </r>
  </si>
  <si>
    <t>Logical Effort (G)</t>
  </si>
  <si>
    <t>Cell</t>
  </si>
  <si>
    <t>pmos Gate Width(um)</t>
  </si>
  <si>
    <t>nmos Gate Width(um)</t>
  </si>
  <si>
    <t>Logical Effort (g)</t>
  </si>
  <si>
    <t>INV</t>
  </si>
  <si>
    <t>NAND2</t>
  </si>
  <si>
    <t>XOR2</t>
  </si>
  <si>
    <t>G</t>
  </si>
  <si>
    <t>Electrical Effort (H)</t>
  </si>
  <si>
    <t>Gate</t>
  </si>
  <si>
    <t>Gate Capacitance per micron(F)</t>
  </si>
  <si>
    <t>Input Gate size(um)</t>
  </si>
  <si>
    <t>Gate Capacitance(F)</t>
  </si>
  <si>
    <t>Load Cap</t>
  </si>
  <si>
    <t>Input Cap</t>
  </si>
  <si>
    <t>Explanation: 1. Input Capacitance = Unit Capacitance * Size of input Capacitance of XOR Gate = Average Capacitance Obtaine from Lab 3 / Size of that Gate * Size of input Capacitance of XOR Gate</t>
  </si>
  <si>
    <t>H</t>
  </si>
  <si>
    <t>Branching Effort (B)</t>
  </si>
  <si>
    <t>stage</t>
  </si>
  <si>
    <t>Bi</t>
  </si>
  <si>
    <t>Stage 1-3</t>
  </si>
  <si>
    <t>Stage 4-5</t>
  </si>
  <si>
    <t>Stage 6-7</t>
  </si>
  <si>
    <t>Stage 8-9</t>
  </si>
  <si>
    <t>B</t>
  </si>
  <si>
    <t>Path Effort &amp; Best Stage Effort</t>
  </si>
  <si>
    <t>F = GBH</t>
  </si>
  <si>
    <t>f(old)= F^(1/9)</t>
  </si>
  <si>
    <t>Required f such that, 2.7 &lt; f &lt; 4</t>
  </si>
  <si>
    <t>keep original value</t>
  </si>
  <si>
    <t>f(opt)</t>
  </si>
  <si>
    <t>Resize Transistors</t>
  </si>
  <si>
    <t>Output Load</t>
  </si>
  <si>
    <t>Cin = (Cout * gi) / fopt</t>
  </si>
  <si>
    <t>Working backwards from the NAND2 gate closest to output</t>
  </si>
  <si>
    <t>The capacitances are smaller than minimum sized gate cap. So for these values the gates will be minimum sized.</t>
  </si>
  <si>
    <t>Cout(F)</t>
  </si>
  <si>
    <t>Cin</t>
  </si>
  <si>
    <t>New Cin/Old Cin</t>
  </si>
  <si>
    <t>nmos size(um)</t>
  </si>
  <si>
    <t>pmos size(um)</t>
  </si>
  <si>
    <t>Ratio</t>
  </si>
  <si>
    <t>NAND2(stage9)</t>
  </si>
  <si>
    <t>NAND2(stage8)</t>
  </si>
  <si>
    <t>NAND2(stage7)</t>
  </si>
  <si>
    <t>NAND2(stage6)</t>
  </si>
  <si>
    <t>NAND2(stage5)</t>
  </si>
  <si>
    <t>NAND2(stage4)</t>
  </si>
  <si>
    <t>NAND2(stage3)</t>
  </si>
  <si>
    <t>NAND2(stage2)</t>
  </si>
  <si>
    <t>XOR2(stage1)</t>
  </si>
  <si>
    <t>nmos size for inverter</t>
  </si>
  <si>
    <t>nmos size for non-inverter</t>
  </si>
  <si>
    <t>pmos size for inverter</t>
  </si>
  <si>
    <t>pmos size for non-inverter</t>
  </si>
  <si>
    <t>A=0000, B=1111, Carry In=1, SUM=(1)0000</t>
  </si>
  <si>
    <t>output Reading(s)</t>
  </si>
  <si>
    <t>input Reading(s)</t>
  </si>
  <si>
    <t>Delay(s)</t>
  </si>
  <si>
    <t>Old Delay(s)</t>
  </si>
  <si>
    <t>Improvements(s)</t>
  </si>
  <si>
    <t>SUM&lt;0&gt;</t>
  </si>
  <si>
    <t>SUM&lt;1&gt;</t>
  </si>
  <si>
    <t>SUM&lt;2&gt;</t>
  </si>
  <si>
    <t>SUM&lt;3&gt;</t>
  </si>
  <si>
    <t>CARRY</t>
  </si>
  <si>
    <t>Source</t>
  </si>
  <si>
    <t>Voltage(v)</t>
  </si>
  <si>
    <t>Current(A)</t>
  </si>
  <si>
    <t>New Power Dissipation(w)</t>
  </si>
  <si>
    <t>Old Power Dissipation(w)</t>
  </si>
  <si>
    <t>Improvements(w)</t>
  </si>
  <si>
    <t>VDD</t>
  </si>
  <si>
    <t>A=1010, B=0101, Carry In=0, SUM=(0)1111</t>
  </si>
  <si>
    <t>A=1010, B=0101, Carry In=1, SUM=(1)0000</t>
  </si>
  <si>
    <t>A=1100, B=1000, Carry In=0, SUM=(1)0100</t>
  </si>
  <si>
    <r>
      <rPr>
        <b/>
        <sz val="11"/>
        <color rgb="FF000000"/>
        <rFont val="Arial"/>
        <charset val="1"/>
      </rPr>
      <t>Previous Area(um</t>
    </r>
    <r>
      <rPr>
        <vertAlign val="superscript"/>
        <sz val="6"/>
        <color rgb="FF000000"/>
        <rFont val="Arial"/>
        <charset val="1"/>
      </rPr>
      <t>2</t>
    </r>
    <r>
      <rPr>
        <b/>
        <sz val="11"/>
        <color rgb="FF000000"/>
        <rFont val="Arial"/>
        <charset val="1"/>
      </rPr>
      <t>)</t>
    </r>
  </si>
  <si>
    <t>#1 NAND2</t>
  </si>
  <si>
    <t>#12 NAND2</t>
  </si>
  <si>
    <t>#1 XOR2</t>
  </si>
  <si>
    <t>#8 XOR2</t>
  </si>
  <si>
    <t>Total</t>
  </si>
  <si>
    <r>
      <rPr>
        <b/>
        <sz val="11"/>
        <color rgb="FF000000"/>
        <rFont val="Arial"/>
        <charset val="1"/>
      </rPr>
      <t>New Area(um</t>
    </r>
    <r>
      <rPr>
        <vertAlign val="superscript"/>
        <sz val="6"/>
        <color rgb="FF000000"/>
        <rFont val="Arial"/>
        <charset val="1"/>
      </rPr>
      <t>2</t>
    </r>
    <r>
      <rPr>
        <b/>
        <sz val="11"/>
        <color rgb="FF000000"/>
        <rFont val="Arial"/>
        <charset val="1"/>
      </rPr>
      <t>)</t>
    </r>
  </si>
  <si>
    <t>Uncritical Path</t>
  </si>
  <si>
    <t>#4 NAND2</t>
  </si>
  <si>
    <t>#7 XOR2</t>
  </si>
  <si>
    <t>Critical Path</t>
  </si>
  <si>
    <t>Area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</si>
</sst>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E+000"/>
    <numFmt numFmtId="166" formatCode="0.00000E+000"/>
  </numFmts>
  <fonts count="7" x14ac:knownFonts="1">
    <font>
      <sz val="11"/>
      <color rgb="FF000000"/>
      <name val="Arial"/>
      <charset val="1"/>
    </font>
    <font>
      <b/>
      <sz val="22"/>
      <color rgb="FF000000"/>
      <name val="Arial"/>
      <charset val="1"/>
    </font>
    <font>
      <b/>
      <sz val="15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Arial"/>
      <charset val="1"/>
    </font>
    <font>
      <b/>
      <sz val="24"/>
      <color rgb="FF000000"/>
      <name val="Arial"/>
      <charset val="1"/>
    </font>
    <font>
      <vertAlign val="superscript"/>
      <sz val="6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7" xfId="0" applyFont="1" applyBorder="1" applyAlignment="1">
      <alignment horizontal="left"/>
    </xf>
    <xf numFmtId="0" fontId="0" fillId="0" borderId="12" xfId="0" applyFont="1" applyBorder="1"/>
    <xf numFmtId="0" fontId="3" fillId="0" borderId="12" xfId="0" applyFont="1" applyBorder="1"/>
    <xf numFmtId="0" fontId="2" fillId="0" borderId="10" xfId="0" applyFont="1" applyBorder="1"/>
    <xf numFmtId="0" fontId="0" fillId="0" borderId="9" xfId="0" applyFont="1" applyBorder="1"/>
    <xf numFmtId="0" fontId="2" fillId="0" borderId="1" xfId="0" applyFont="1" applyBorder="1" applyAlignment="1">
      <alignment horizontal="left"/>
    </xf>
    <xf numFmtId="0" fontId="0" fillId="0" borderId="2" xfId="0" applyFont="1" applyBorder="1"/>
    <xf numFmtId="0" fontId="2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3" xfId="0" applyFont="1" applyBorder="1"/>
    <xf numFmtId="2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1" fontId="0" fillId="0" borderId="7" xfId="0" applyNumberFormat="1" applyBorder="1"/>
    <xf numFmtId="2" fontId="0" fillId="0" borderId="8" xfId="0" applyNumberForma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5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4" fontId="3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1" xfId="0" applyBorder="1"/>
    <xf numFmtId="0" fontId="0" fillId="0" borderId="12" xfId="0" applyFont="1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3" xfId="0" applyFont="1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18" xfId="0" applyBorder="1"/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0" fontId="0" fillId="0" borderId="24" xfId="0" applyBorder="1"/>
    <xf numFmtId="166" fontId="0" fillId="0" borderId="2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23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3" fillId="0" borderId="0" xfId="0" applyFont="1"/>
    <xf numFmtId="0" fontId="0" fillId="0" borderId="19" xfId="0" applyBorder="1"/>
    <xf numFmtId="164" fontId="3" fillId="0" borderId="0" xfId="0" applyNumberFormat="1" applyFont="1" applyAlignment="1">
      <alignment horizontal="center"/>
    </xf>
    <xf numFmtId="0" fontId="0" fillId="0" borderId="20" xfId="0" applyBorder="1"/>
    <xf numFmtId="0" fontId="3" fillId="0" borderId="21" xfId="0" applyFont="1" applyBorder="1"/>
    <xf numFmtId="164" fontId="3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72" zoomScale="118" zoomScaleNormal="118" zoomScalePageLayoutView="118" workbookViewId="0">
      <selection activeCell="B34" sqref="B34"/>
    </sheetView>
  </sheetViews>
  <sheetFormatPr baseColWidth="10" defaultColWidth="8.83203125" defaultRowHeight="14" x14ac:dyDescent="0.15"/>
  <cols>
    <col min="1" max="1" width="13.1640625" customWidth="1"/>
    <col min="2" max="2" width="16.5" customWidth="1"/>
    <col min="3" max="3" width="19.1640625" customWidth="1"/>
    <col min="4" max="4" width="17.6640625" customWidth="1"/>
    <col min="5" max="5" width="17" customWidth="1"/>
    <col min="6" max="6" width="16.1640625" customWidth="1"/>
    <col min="7" max="7" width="15.5" customWidth="1"/>
    <col min="8" max="1025" width="8.6640625" customWidth="1"/>
  </cols>
  <sheetData>
    <row r="1" spans="1:12" ht="28" x14ac:dyDescent="0.3">
      <c r="B1" s="10"/>
    </row>
    <row r="2" spans="1:12" x14ac:dyDescent="0.15">
      <c r="B2" s="9" t="s">
        <v>0</v>
      </c>
      <c r="C2" s="9"/>
    </row>
    <row r="3" spans="1:12" x14ac:dyDescent="0.15">
      <c r="B3" s="9"/>
      <c r="C3" s="9"/>
    </row>
    <row r="9" spans="1:12" ht="19" x14ac:dyDescent="0.2">
      <c r="A9" s="8" t="s">
        <v>1</v>
      </c>
      <c r="B9" s="8"/>
      <c r="C9" s="8"/>
      <c r="D9" s="8"/>
      <c r="F9" s="11"/>
      <c r="G9" s="11"/>
      <c r="H9" s="11"/>
      <c r="I9" s="11"/>
      <c r="J9" s="11"/>
      <c r="K9" s="11"/>
      <c r="L9" s="11"/>
    </row>
    <row r="10" spans="1:12" x14ac:dyDescent="0.15">
      <c r="A10" s="7" t="s">
        <v>2</v>
      </c>
      <c r="B10" s="7"/>
      <c r="C10" s="7"/>
      <c r="D10" s="7"/>
      <c r="F10" s="11"/>
      <c r="G10" s="11"/>
      <c r="H10" s="11"/>
      <c r="I10" s="11"/>
      <c r="J10" s="11"/>
      <c r="K10" s="11"/>
      <c r="L10" s="11"/>
    </row>
    <row r="11" spans="1:12" x14ac:dyDescent="0.15">
      <c r="F11" s="11"/>
      <c r="G11" s="11"/>
      <c r="H11" s="11"/>
      <c r="I11" s="11"/>
      <c r="J11" s="11"/>
      <c r="K11" s="11"/>
      <c r="L11" s="11"/>
    </row>
    <row r="12" spans="1:12" x14ac:dyDescent="0.15">
      <c r="F12" s="11"/>
      <c r="G12" s="11"/>
      <c r="H12" s="11"/>
      <c r="I12" s="11"/>
      <c r="J12" s="11"/>
      <c r="K12" s="11"/>
      <c r="L12" s="11"/>
    </row>
    <row r="13" spans="1:12" ht="19" x14ac:dyDescent="0.2">
      <c r="A13" s="8" t="s">
        <v>3</v>
      </c>
      <c r="B13" s="8"/>
      <c r="C13" s="8"/>
      <c r="D13" s="8"/>
      <c r="F13" s="11"/>
      <c r="G13" s="11"/>
      <c r="H13" s="11"/>
      <c r="I13" s="11"/>
      <c r="J13" s="11"/>
      <c r="K13" s="11"/>
      <c r="L13" s="11"/>
    </row>
    <row r="14" spans="1:12" ht="16" x14ac:dyDescent="0.2">
      <c r="A14" s="12" t="s">
        <v>4</v>
      </c>
      <c r="B14" s="13" t="s">
        <v>5</v>
      </c>
      <c r="C14" s="13" t="s">
        <v>6</v>
      </c>
      <c r="D14" s="14" t="s">
        <v>7</v>
      </c>
      <c r="F14" s="11"/>
      <c r="G14" s="11"/>
      <c r="H14" s="11"/>
      <c r="I14" s="11"/>
      <c r="J14" s="11"/>
      <c r="K14" s="11"/>
      <c r="L14" s="11"/>
    </row>
    <row r="15" spans="1:12" x14ac:dyDescent="0.15">
      <c r="A15" s="15" t="s">
        <v>8</v>
      </c>
      <c r="B15" s="16">
        <v>0.9</v>
      </c>
      <c r="C15" s="16">
        <v>0.4</v>
      </c>
      <c r="D15" s="17">
        <f>1</f>
        <v>1</v>
      </c>
      <c r="F15" s="11"/>
      <c r="G15" s="11"/>
      <c r="H15" s="11"/>
      <c r="I15" s="11"/>
      <c r="J15" s="11"/>
      <c r="K15" s="11"/>
      <c r="L15" s="11"/>
    </row>
    <row r="16" spans="1:12" x14ac:dyDescent="0.15">
      <c r="A16" s="15" t="s">
        <v>9</v>
      </c>
      <c r="B16" s="16">
        <v>0.65</v>
      </c>
      <c r="C16" s="16">
        <v>0.3</v>
      </c>
      <c r="D16" s="17">
        <f>(B16 + C16) / (0.5 * C16 + B16)</f>
        <v>1.1874999999999998</v>
      </c>
      <c r="F16" s="11"/>
      <c r="G16" s="11"/>
      <c r="H16" s="11"/>
      <c r="I16" s="11"/>
      <c r="J16" s="11"/>
      <c r="K16" s="11"/>
      <c r="L16" s="11"/>
    </row>
    <row r="17" spans="1:12" x14ac:dyDescent="0.15">
      <c r="A17" s="15" t="s">
        <v>10</v>
      </c>
      <c r="B17" s="16">
        <v>1.2</v>
      </c>
      <c r="C17" s="16">
        <v>0.3</v>
      </c>
      <c r="D17" s="17">
        <f>4</f>
        <v>4</v>
      </c>
      <c r="F17" s="11"/>
      <c r="G17" s="11"/>
      <c r="H17" s="11"/>
      <c r="I17" s="11"/>
      <c r="J17" s="11"/>
      <c r="K17" s="11"/>
      <c r="L17" s="11"/>
    </row>
    <row r="18" spans="1:12" x14ac:dyDescent="0.15">
      <c r="A18" s="18" t="s">
        <v>11</v>
      </c>
      <c r="B18" s="19">
        <f>(D16)^8*D17</f>
        <v>15.817175657488384</v>
      </c>
      <c r="C18" s="20"/>
      <c r="D18" s="21"/>
      <c r="F18" s="11"/>
      <c r="G18" s="11"/>
      <c r="H18" s="11"/>
      <c r="I18" s="11"/>
      <c r="J18" s="11"/>
      <c r="K18" s="11"/>
      <c r="L18" s="11"/>
    </row>
    <row r="19" spans="1:12" x14ac:dyDescent="0.15">
      <c r="F19" s="11"/>
      <c r="G19" s="11"/>
      <c r="H19" s="11"/>
      <c r="I19" s="11"/>
      <c r="J19" s="11"/>
      <c r="K19" s="11"/>
      <c r="L19" s="11"/>
    </row>
    <row r="20" spans="1:12" x14ac:dyDescent="0.15">
      <c r="F20" s="11"/>
      <c r="G20" s="11"/>
      <c r="H20" s="11"/>
      <c r="I20" s="11"/>
      <c r="J20" s="11"/>
      <c r="K20" s="11"/>
      <c r="L20" s="11"/>
    </row>
    <row r="21" spans="1:12" ht="19" x14ac:dyDescent="0.2">
      <c r="A21" s="6" t="s">
        <v>12</v>
      </c>
      <c r="B21" s="6"/>
      <c r="C21" s="6"/>
      <c r="D21" s="6"/>
      <c r="F21" s="11"/>
      <c r="G21" s="11"/>
      <c r="H21" s="11"/>
      <c r="I21" s="11"/>
      <c r="J21" s="11"/>
      <c r="K21" s="11"/>
      <c r="L21" s="11"/>
    </row>
    <row r="22" spans="1:12" ht="48" x14ac:dyDescent="0.2">
      <c r="A22" s="22" t="s">
        <v>13</v>
      </c>
      <c r="B22" s="23" t="s">
        <v>14</v>
      </c>
      <c r="C22" s="23" t="s">
        <v>15</v>
      </c>
      <c r="D22" s="24" t="s">
        <v>16</v>
      </c>
      <c r="F22" s="11"/>
      <c r="G22" s="11"/>
      <c r="H22" s="11"/>
      <c r="I22" s="11"/>
      <c r="J22" s="11"/>
      <c r="K22" s="11"/>
      <c r="L22" s="11"/>
    </row>
    <row r="23" spans="1:12" x14ac:dyDescent="0.15">
      <c r="A23" s="15" t="s">
        <v>9</v>
      </c>
      <c r="B23" s="25">
        <f>D23/C23</f>
        <v>3.4463157894736846E-15</v>
      </c>
      <c r="C23" s="16">
        <f>0.65 + 0.3</f>
        <v>0.95</v>
      </c>
      <c r="D23" s="26">
        <f>3.274*10^(-15)</f>
        <v>3.2740000000000003E-15</v>
      </c>
      <c r="F23" s="11"/>
      <c r="G23" s="11"/>
      <c r="H23" s="11"/>
      <c r="I23" s="11"/>
      <c r="J23" s="11"/>
      <c r="K23" s="11"/>
      <c r="L23" s="11"/>
    </row>
    <row r="24" spans="1:12" x14ac:dyDescent="0.15">
      <c r="A24" s="15" t="s">
        <v>10</v>
      </c>
      <c r="B24" s="25">
        <f>D24/C24</f>
        <v>1.170357142857143E-15</v>
      </c>
      <c r="C24" s="16">
        <f>0.9 + 0.4 + 1.2 + 0.3</f>
        <v>2.8</v>
      </c>
      <c r="D24" s="26">
        <f>3.277*10^(-15)</f>
        <v>3.2770000000000002E-15</v>
      </c>
      <c r="F24" s="11"/>
      <c r="G24" s="11"/>
      <c r="H24" s="11"/>
      <c r="I24" s="11"/>
      <c r="J24" s="11"/>
      <c r="K24" s="11"/>
      <c r="L24" s="11"/>
    </row>
    <row r="25" spans="1:12" x14ac:dyDescent="0.15">
      <c r="A25" s="15"/>
      <c r="B25" s="27"/>
      <c r="C25" s="27"/>
      <c r="D25" s="28"/>
      <c r="F25" s="11"/>
      <c r="G25" s="11"/>
      <c r="H25" s="11"/>
      <c r="I25" s="11"/>
      <c r="J25" s="11"/>
      <c r="K25" s="11"/>
      <c r="L25" s="11"/>
    </row>
    <row r="26" spans="1:12" x14ac:dyDescent="0.15">
      <c r="A26" s="15" t="s">
        <v>17</v>
      </c>
      <c r="B26" s="25">
        <f>30*10^(-15)</f>
        <v>3.0000000000000005E-14</v>
      </c>
      <c r="C26" s="25"/>
      <c r="D26" s="28"/>
      <c r="F26" s="11"/>
      <c r="G26" s="11"/>
      <c r="H26" s="11"/>
      <c r="I26" s="11"/>
      <c r="J26" s="11"/>
      <c r="K26" s="11"/>
      <c r="L26" s="11"/>
    </row>
    <row r="27" spans="1:12" x14ac:dyDescent="0.15">
      <c r="A27" s="15" t="s">
        <v>18</v>
      </c>
      <c r="B27" s="25">
        <f>B23*(0.9 + 0.4) + B24 * (1.2 + 0.3 + 0.9 + 0.4)</f>
        <v>7.7572105263157912E-15</v>
      </c>
      <c r="C27" s="27"/>
      <c r="D27" s="28"/>
      <c r="F27" s="11" t="s">
        <v>19</v>
      </c>
      <c r="G27" s="11"/>
      <c r="H27" s="11"/>
      <c r="I27" s="11"/>
      <c r="J27" s="11"/>
      <c r="K27" s="11"/>
      <c r="L27" s="11"/>
    </row>
    <row r="28" spans="1:12" x14ac:dyDescent="0.15">
      <c r="A28" s="18" t="s">
        <v>20</v>
      </c>
      <c r="B28" s="29">
        <f>B26/B27</f>
        <v>3.8673695780496242</v>
      </c>
      <c r="C28" s="29"/>
      <c r="D28" s="30"/>
      <c r="F28" s="11"/>
      <c r="G28" s="11"/>
      <c r="H28" s="11"/>
      <c r="I28" s="11"/>
      <c r="J28" s="11"/>
      <c r="K28" s="11"/>
      <c r="L28" s="11"/>
    </row>
    <row r="31" spans="1:12" ht="19" x14ac:dyDescent="0.2">
      <c r="A31" s="8" t="s">
        <v>21</v>
      </c>
      <c r="B31" s="8"/>
    </row>
    <row r="32" spans="1:12" ht="16" x14ac:dyDescent="0.2">
      <c r="A32" s="22" t="s">
        <v>22</v>
      </c>
      <c r="B32" s="24" t="s">
        <v>23</v>
      </c>
    </row>
    <row r="33" spans="1:2" x14ac:dyDescent="0.15">
      <c r="A33" s="15" t="s">
        <v>24</v>
      </c>
      <c r="B33" s="26">
        <f>(D23+D24)^2/D24/D23</f>
        <v>4.0000008388559571</v>
      </c>
    </row>
    <row r="34" spans="1:2" x14ac:dyDescent="0.15">
      <c r="A34" s="15" t="s">
        <v>25</v>
      </c>
      <c r="B34" s="31">
        <f>(($D24+$D23)/$D23)^3</f>
        <v>8.0110007624021726</v>
      </c>
    </row>
    <row r="35" spans="1:2" x14ac:dyDescent="0.15">
      <c r="A35" s="15" t="s">
        <v>26</v>
      </c>
      <c r="B35" s="31">
        <f>(($D24+$D23)/$D23)^3</f>
        <v>8.0110007624021726</v>
      </c>
    </row>
    <row r="36" spans="1:2" x14ac:dyDescent="0.15">
      <c r="A36" s="15" t="s">
        <v>27</v>
      </c>
      <c r="B36" s="31">
        <f>(($D24+$D23)/$D23)^3</f>
        <v>8.0110007624021726</v>
      </c>
    </row>
    <row r="37" spans="1:2" x14ac:dyDescent="0.15">
      <c r="A37" s="18" t="s">
        <v>28</v>
      </c>
      <c r="B37" s="32">
        <f>B33^3*B34^6</f>
        <v>16916124.998560794</v>
      </c>
    </row>
    <row r="40" spans="1:2" ht="19" x14ac:dyDescent="0.2">
      <c r="A40" s="8" t="s">
        <v>29</v>
      </c>
      <c r="B40" s="8"/>
    </row>
    <row r="41" spans="1:2" x14ac:dyDescent="0.15">
      <c r="A41" s="33" t="s">
        <v>30</v>
      </c>
      <c r="B41" s="34">
        <f>B37*B28*B18</f>
        <v>1034773980.8217272</v>
      </c>
    </row>
    <row r="42" spans="1:2" x14ac:dyDescent="0.15">
      <c r="A42" s="15"/>
      <c r="B42" s="28"/>
    </row>
    <row r="43" spans="1:2" x14ac:dyDescent="0.15">
      <c r="A43" s="15" t="s">
        <v>31</v>
      </c>
      <c r="B43" s="31">
        <f>B41^(1/9)</f>
        <v>10.038053360704241</v>
      </c>
    </row>
    <row r="44" spans="1:2" x14ac:dyDescent="0.15">
      <c r="A44" s="15"/>
      <c r="B44" s="28"/>
    </row>
    <row r="45" spans="1:2" x14ac:dyDescent="0.15">
      <c r="A45" s="5" t="s">
        <v>32</v>
      </c>
      <c r="B45" s="5"/>
    </row>
    <row r="46" spans="1:2" x14ac:dyDescent="0.15">
      <c r="A46" s="5" t="s">
        <v>33</v>
      </c>
      <c r="B46" s="5"/>
    </row>
    <row r="47" spans="1:2" x14ac:dyDescent="0.15">
      <c r="A47" s="18" t="s">
        <v>34</v>
      </c>
      <c r="B47" s="35">
        <v>3</v>
      </c>
    </row>
    <row r="76" spans="1:8" ht="19" x14ac:dyDescent="0.2">
      <c r="A76" s="4" t="s">
        <v>35</v>
      </c>
      <c r="B76" s="4"/>
      <c r="C76" s="4"/>
      <c r="D76" s="4"/>
      <c r="E76" s="4"/>
      <c r="F76" s="4"/>
      <c r="G76" s="4"/>
      <c r="H76" s="36"/>
    </row>
    <row r="77" spans="1:8" x14ac:dyDescent="0.15">
      <c r="A77" s="37" t="s">
        <v>36</v>
      </c>
      <c r="B77" s="38">
        <v>2.9999999999999998E-14</v>
      </c>
      <c r="C77" s="39"/>
      <c r="D77" s="39"/>
      <c r="E77" s="39"/>
      <c r="F77" s="39"/>
      <c r="G77" s="39"/>
      <c r="H77" s="40"/>
    </row>
    <row r="78" spans="1:8" x14ac:dyDescent="0.15">
      <c r="A78" s="3" t="s">
        <v>37</v>
      </c>
      <c r="B78" s="3"/>
      <c r="C78" s="39">
        <f>B77*D16/B47</f>
        <v>1.1874999999999998E-14</v>
      </c>
      <c r="D78" s="39"/>
      <c r="E78" s="39"/>
      <c r="F78" s="39"/>
      <c r="G78" s="39"/>
      <c r="H78" s="40"/>
    </row>
    <row r="79" spans="1:8" x14ac:dyDescent="0.15">
      <c r="A79" s="37"/>
      <c r="B79" s="39"/>
      <c r="C79" s="39"/>
      <c r="D79" s="39"/>
      <c r="E79" s="39"/>
      <c r="F79" s="39"/>
      <c r="G79" s="39"/>
      <c r="H79" s="40"/>
    </row>
    <row r="80" spans="1:8" x14ac:dyDescent="0.15">
      <c r="A80" s="2" t="s">
        <v>38</v>
      </c>
      <c r="B80" s="2"/>
      <c r="C80" s="2"/>
      <c r="D80" s="39"/>
      <c r="E80" s="39"/>
      <c r="F80" s="39"/>
      <c r="G80" s="39"/>
      <c r="H80" s="40"/>
    </row>
    <row r="81" spans="1:8" x14ac:dyDescent="0.15">
      <c r="A81" s="2" t="s">
        <v>39</v>
      </c>
      <c r="B81" s="2"/>
      <c r="C81" s="2"/>
      <c r="D81" s="2"/>
      <c r="E81" s="2"/>
      <c r="F81" s="39"/>
      <c r="G81" s="39"/>
      <c r="H81" s="40"/>
    </row>
    <row r="82" spans="1:8" x14ac:dyDescent="0.15">
      <c r="A82" s="37"/>
      <c r="B82" s="39"/>
      <c r="C82" s="39"/>
      <c r="D82" s="39"/>
      <c r="E82" s="39"/>
      <c r="F82" s="39"/>
      <c r="G82" s="39"/>
      <c r="H82" s="40"/>
    </row>
    <row r="83" spans="1:8" ht="16" x14ac:dyDescent="0.2">
      <c r="A83" s="41" t="s">
        <v>13</v>
      </c>
      <c r="B83" s="42" t="s">
        <v>40</v>
      </c>
      <c r="C83" s="42" t="s">
        <v>7</v>
      </c>
      <c r="D83" s="42" t="s">
        <v>41</v>
      </c>
      <c r="E83" s="42" t="s">
        <v>42</v>
      </c>
      <c r="F83" s="42" t="s">
        <v>43</v>
      </c>
      <c r="G83" s="42" t="s">
        <v>44</v>
      </c>
      <c r="H83" s="43" t="s">
        <v>45</v>
      </c>
    </row>
    <row r="84" spans="1:8" x14ac:dyDescent="0.15">
      <c r="A84" s="37" t="s">
        <v>46</v>
      </c>
      <c r="B84" s="44">
        <f>B77</f>
        <v>2.9999999999999998E-14</v>
      </c>
      <c r="C84" s="44">
        <f>D16</f>
        <v>1.1874999999999998</v>
      </c>
      <c r="D84" s="44">
        <f t="shared" ref="D84:D91" si="0">MAX(B84 * C84 / B$47, D$23)</f>
        <v>1.1874999999999998E-14</v>
      </c>
      <c r="E84" s="45">
        <f t="shared" ref="E84:E91" si="1">D84/D$23</f>
        <v>3.627061698228466</v>
      </c>
      <c r="F84" s="46">
        <f t="shared" ref="F84:F92" si="2">0.3 * E84</f>
        <v>1.0881185094685397</v>
      </c>
      <c r="G84" s="46">
        <f t="shared" ref="G84:G91" si="3">0.65*E84</f>
        <v>2.3575901038485032</v>
      </c>
      <c r="H84" s="40">
        <f t="shared" ref="H84:H92" si="4">G84/F84</f>
        <v>2.166666666666667</v>
      </c>
    </row>
    <row r="85" spans="1:8" x14ac:dyDescent="0.15">
      <c r="A85" s="37" t="s">
        <v>47</v>
      </c>
      <c r="B85" s="44">
        <f>D84</f>
        <v>1.1874999999999998E-14</v>
      </c>
      <c r="C85" s="44">
        <f t="shared" ref="C85:C91" si="5">D$16</f>
        <v>1.1874999999999998</v>
      </c>
      <c r="D85" s="44">
        <f t="shared" si="0"/>
        <v>4.7005208333333317E-15</v>
      </c>
      <c r="E85" s="45">
        <f t="shared" si="1"/>
        <v>1.4357119222154342</v>
      </c>
      <c r="F85" s="46">
        <f t="shared" si="2"/>
        <v>0.43071357666463023</v>
      </c>
      <c r="G85" s="46">
        <f t="shared" si="3"/>
        <v>0.9332127494400323</v>
      </c>
      <c r="H85" s="40">
        <f t="shared" si="4"/>
        <v>2.166666666666667</v>
      </c>
    </row>
    <row r="86" spans="1:8" x14ac:dyDescent="0.15">
      <c r="A86" s="37" t="s">
        <v>48</v>
      </c>
      <c r="B86" s="44">
        <f>D85+D24</f>
        <v>7.9775208333333327E-15</v>
      </c>
      <c r="C86" s="44">
        <f t="shared" si="5"/>
        <v>1.1874999999999998</v>
      </c>
      <c r="D86" s="44">
        <f t="shared" si="0"/>
        <v>3.2740000000000003E-15</v>
      </c>
      <c r="E86" s="45">
        <f t="shared" si="1"/>
        <v>1</v>
      </c>
      <c r="F86" s="46">
        <f t="shared" si="2"/>
        <v>0.3</v>
      </c>
      <c r="G86" s="46">
        <f t="shared" si="3"/>
        <v>0.65</v>
      </c>
      <c r="H86" s="40">
        <f t="shared" si="4"/>
        <v>2.166666666666667</v>
      </c>
    </row>
    <row r="87" spans="1:8" x14ac:dyDescent="0.15">
      <c r="A87" s="37" t="s">
        <v>49</v>
      </c>
      <c r="B87" s="44">
        <f>D86</f>
        <v>3.2740000000000003E-15</v>
      </c>
      <c r="C87" s="44">
        <f t="shared" si="5"/>
        <v>1.1874999999999998</v>
      </c>
      <c r="D87" s="44">
        <f t="shared" si="0"/>
        <v>3.2740000000000003E-15</v>
      </c>
      <c r="E87" s="45">
        <f t="shared" si="1"/>
        <v>1</v>
      </c>
      <c r="F87" s="46">
        <f t="shared" si="2"/>
        <v>0.3</v>
      </c>
      <c r="G87" s="46">
        <f t="shared" si="3"/>
        <v>0.65</v>
      </c>
      <c r="H87" s="40">
        <f t="shared" si="4"/>
        <v>2.166666666666667</v>
      </c>
    </row>
    <row r="88" spans="1:8" x14ac:dyDescent="0.15">
      <c r="A88" s="37" t="s">
        <v>50</v>
      </c>
      <c r="B88" s="44">
        <f>D87+D24</f>
        <v>6.5510000000000009E-15</v>
      </c>
      <c r="C88" s="44">
        <f t="shared" si="5"/>
        <v>1.1874999999999998</v>
      </c>
      <c r="D88" s="44">
        <f t="shared" si="0"/>
        <v>3.2740000000000003E-15</v>
      </c>
      <c r="E88" s="45">
        <f t="shared" si="1"/>
        <v>1</v>
      </c>
      <c r="F88" s="46">
        <f t="shared" si="2"/>
        <v>0.3</v>
      </c>
      <c r="G88" s="46">
        <f t="shared" si="3"/>
        <v>0.65</v>
      </c>
      <c r="H88" s="40">
        <f t="shared" si="4"/>
        <v>2.166666666666667</v>
      </c>
    </row>
    <row r="89" spans="1:8" x14ac:dyDescent="0.15">
      <c r="A89" s="37" t="s">
        <v>51</v>
      </c>
      <c r="B89" s="44">
        <f>D88</f>
        <v>3.2740000000000003E-15</v>
      </c>
      <c r="C89" s="44">
        <f t="shared" si="5"/>
        <v>1.1874999999999998</v>
      </c>
      <c r="D89" s="44">
        <f t="shared" si="0"/>
        <v>3.2740000000000003E-15</v>
      </c>
      <c r="E89" s="45">
        <f t="shared" si="1"/>
        <v>1</v>
      </c>
      <c r="F89" s="46">
        <f t="shared" si="2"/>
        <v>0.3</v>
      </c>
      <c r="G89" s="46">
        <f t="shared" si="3"/>
        <v>0.65</v>
      </c>
      <c r="H89" s="40">
        <f t="shared" si="4"/>
        <v>2.166666666666667</v>
      </c>
    </row>
    <row r="90" spans="1:8" x14ac:dyDescent="0.15">
      <c r="A90" s="37" t="s">
        <v>52</v>
      </c>
      <c r="B90" s="44">
        <f>D89 + D$24</f>
        <v>6.5510000000000009E-15</v>
      </c>
      <c r="C90" s="44">
        <f t="shared" si="5"/>
        <v>1.1874999999999998</v>
      </c>
      <c r="D90" s="44">
        <f t="shared" si="0"/>
        <v>3.2740000000000003E-15</v>
      </c>
      <c r="E90" s="45">
        <f t="shared" si="1"/>
        <v>1</v>
      </c>
      <c r="F90" s="46">
        <f t="shared" si="2"/>
        <v>0.3</v>
      </c>
      <c r="G90" s="46">
        <f t="shared" si="3"/>
        <v>0.65</v>
      </c>
      <c r="H90" s="40">
        <f t="shared" si="4"/>
        <v>2.166666666666667</v>
      </c>
    </row>
    <row r="91" spans="1:8" x14ac:dyDescent="0.15">
      <c r="A91" s="37" t="s">
        <v>53</v>
      </c>
      <c r="B91" s="44">
        <f>D90</f>
        <v>3.2740000000000003E-15</v>
      </c>
      <c r="C91" s="44">
        <f t="shared" si="5"/>
        <v>1.1874999999999998</v>
      </c>
      <c r="D91" s="44">
        <f t="shared" si="0"/>
        <v>3.2740000000000003E-15</v>
      </c>
      <c r="E91" s="45">
        <f t="shared" si="1"/>
        <v>1</v>
      </c>
      <c r="F91" s="46">
        <f t="shared" si="2"/>
        <v>0.3</v>
      </c>
      <c r="G91" s="46">
        <f t="shared" si="3"/>
        <v>0.65</v>
      </c>
      <c r="H91" s="40">
        <f t="shared" si="4"/>
        <v>2.166666666666667</v>
      </c>
    </row>
    <row r="92" spans="1:8" x14ac:dyDescent="0.15">
      <c r="A92" s="37" t="s">
        <v>54</v>
      </c>
      <c r="B92" s="44">
        <f>D91 + D24</f>
        <v>6.5510000000000009E-15</v>
      </c>
      <c r="C92" s="44">
        <f>D$17</f>
        <v>4</v>
      </c>
      <c r="D92" s="44">
        <f>B92 * C92 / B$47</f>
        <v>8.7346666666666684E-15</v>
      </c>
      <c r="E92" s="45">
        <f>D92/D$24</f>
        <v>2.6654460380429259</v>
      </c>
      <c r="F92" s="46">
        <f t="shared" si="2"/>
        <v>0.7996338114128777</v>
      </c>
      <c r="G92" s="46">
        <f>1.2 * E92</f>
        <v>3.1985352456515108</v>
      </c>
      <c r="H92" s="40">
        <f t="shared" si="4"/>
        <v>4</v>
      </c>
    </row>
    <row r="93" spans="1:8" x14ac:dyDescent="0.15">
      <c r="A93" s="37"/>
      <c r="B93" s="47"/>
      <c r="C93" s="48"/>
      <c r="D93" s="47"/>
      <c r="E93" s="49"/>
      <c r="F93" s="49"/>
      <c r="G93" s="49"/>
      <c r="H93" s="40"/>
    </row>
    <row r="94" spans="1:8" x14ac:dyDescent="0.15">
      <c r="A94" s="37"/>
      <c r="B94" s="49" t="s">
        <v>55</v>
      </c>
      <c r="C94" s="49" t="s">
        <v>56</v>
      </c>
      <c r="D94" s="39"/>
      <c r="E94" s="39"/>
      <c r="F94" s="39"/>
      <c r="G94" s="39"/>
      <c r="H94" s="40"/>
    </row>
    <row r="95" spans="1:8" x14ac:dyDescent="0.15">
      <c r="A95" s="37" t="s">
        <v>54</v>
      </c>
      <c r="B95" s="50">
        <v>0.9</v>
      </c>
      <c r="C95" s="50">
        <v>0.4</v>
      </c>
      <c r="D95" s="39"/>
      <c r="E95" s="39"/>
      <c r="F95" s="39"/>
      <c r="G95" s="39"/>
      <c r="H95" s="40"/>
    </row>
    <row r="96" spans="1:8" x14ac:dyDescent="0.15">
      <c r="A96" s="51"/>
      <c r="B96" s="52" t="s">
        <v>57</v>
      </c>
      <c r="C96" s="52" t="s">
        <v>58</v>
      </c>
      <c r="D96" s="53"/>
      <c r="E96" s="53"/>
      <c r="F96" s="53"/>
      <c r="G96" s="53"/>
      <c r="H96" s="54"/>
    </row>
  </sheetData>
  <mergeCells count="13">
    <mergeCell ref="A78:B78"/>
    <mergeCell ref="A80:C80"/>
    <mergeCell ref="A81:E81"/>
    <mergeCell ref="A31:B31"/>
    <mergeCell ref="A40:B40"/>
    <mergeCell ref="A45:B45"/>
    <mergeCell ref="A46:B46"/>
    <mergeCell ref="A76:G76"/>
    <mergeCell ref="B2:C3"/>
    <mergeCell ref="A9:D9"/>
    <mergeCell ref="A10:D10"/>
    <mergeCell ref="A13:D13"/>
    <mergeCell ref="A21:D21"/>
  </mergeCells>
  <pageMargins left="0" right="0" top="0.4" bottom="0.4" header="0" footer="0"/>
  <pageSetup scale="72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53" zoomScale="162" workbookViewId="0">
      <selection activeCell="D73" sqref="D73"/>
    </sheetView>
  </sheetViews>
  <sheetFormatPr baseColWidth="10" defaultColWidth="8.83203125" defaultRowHeight="14" x14ac:dyDescent="0.15"/>
  <cols>
    <col min="1" max="1" width="17.1640625" customWidth="1"/>
    <col min="2" max="2" width="16" customWidth="1"/>
    <col min="3" max="3" width="15.6640625" customWidth="1"/>
    <col min="4" max="4" width="24.1640625" customWidth="1"/>
    <col min="5" max="5" width="23.5" customWidth="1"/>
    <col min="6" max="6" width="18.33203125" customWidth="1"/>
    <col min="7" max="7" width="17.83203125" customWidth="1"/>
    <col min="8" max="8" width="17.6640625" customWidth="1"/>
    <col min="9" max="1025" width="8.6640625" customWidth="1"/>
  </cols>
  <sheetData>
    <row r="1" spans="1:6" ht="30" x14ac:dyDescent="0.3">
      <c r="A1" s="10"/>
      <c r="B1" s="55"/>
      <c r="C1" s="56"/>
      <c r="D1" s="56"/>
      <c r="E1" s="56"/>
    </row>
    <row r="2" spans="1:6" ht="30" x14ac:dyDescent="0.3">
      <c r="A2" s="10"/>
      <c r="B2" s="55"/>
      <c r="C2" s="56"/>
      <c r="D2" s="56"/>
      <c r="E2" s="56"/>
    </row>
    <row r="3" spans="1:6" ht="30" x14ac:dyDescent="0.3">
      <c r="A3" s="10"/>
      <c r="B3" s="55"/>
      <c r="C3" s="56"/>
      <c r="D3" s="56"/>
      <c r="E3" s="56"/>
    </row>
    <row r="4" spans="1:6" ht="30" x14ac:dyDescent="0.3">
      <c r="A4" s="10"/>
      <c r="B4" s="55"/>
      <c r="C4" s="56"/>
      <c r="D4" s="56"/>
      <c r="E4" s="56"/>
    </row>
    <row r="5" spans="1:6" ht="30" x14ac:dyDescent="0.3">
      <c r="A5" s="10"/>
      <c r="B5" s="55"/>
      <c r="C5" s="56"/>
      <c r="D5" s="56"/>
      <c r="E5" s="56"/>
    </row>
    <row r="7" spans="1:6" ht="19" x14ac:dyDescent="0.2">
      <c r="A7" s="1" t="s">
        <v>59</v>
      </c>
      <c r="B7" s="1"/>
      <c r="C7" s="1"/>
      <c r="D7" s="1"/>
      <c r="E7" s="1"/>
      <c r="F7" s="1"/>
    </row>
    <row r="8" spans="1:6" x14ac:dyDescent="0.15">
      <c r="A8" s="57"/>
      <c r="B8" s="58" t="s">
        <v>60</v>
      </c>
      <c r="C8" s="58" t="s">
        <v>61</v>
      </c>
      <c r="D8" s="58" t="s">
        <v>62</v>
      </c>
      <c r="E8" s="50" t="s">
        <v>63</v>
      </c>
      <c r="F8" s="59" t="s">
        <v>64</v>
      </c>
    </row>
    <row r="9" spans="1:6" x14ac:dyDescent="0.15">
      <c r="A9" s="60" t="s">
        <v>65</v>
      </c>
      <c r="B9" s="61">
        <f>C9+D9</f>
        <v>2.03429E-8</v>
      </c>
      <c r="C9" s="61">
        <f>20*10^(-9) + 50 * 10^(-12)</f>
        <v>2.0050000000000001E-8</v>
      </c>
      <c r="D9" s="44">
        <f>292.9*10^(-12)</f>
        <v>2.9289999999999999E-10</v>
      </c>
      <c r="E9" s="44">
        <f>425.6*10^(-12)</f>
        <v>4.2560000000000001E-10</v>
      </c>
      <c r="F9" s="62">
        <f>E9-D9</f>
        <v>1.3270000000000002E-10</v>
      </c>
    </row>
    <row r="10" spans="1:6" x14ac:dyDescent="0.15">
      <c r="A10" s="60" t="s">
        <v>66</v>
      </c>
      <c r="B10" s="61">
        <f t="shared" ref="B10:B13" si="0">C10+D10</f>
        <v>2.0599000000000001E-8</v>
      </c>
      <c r="C10" s="61">
        <f t="shared" ref="B10:C13" si="1">20*10^(-9) + 50 * 10^(-12)</f>
        <v>2.0050000000000001E-8</v>
      </c>
      <c r="D10" s="44">
        <f>549*10^(-12)</f>
        <v>5.4899999999999997E-10</v>
      </c>
      <c r="E10" s="44">
        <f>728.8*10^(-12)</f>
        <v>7.287999999999999E-10</v>
      </c>
      <c r="F10" s="62">
        <f t="shared" ref="F10:F13" si="2">E10-D10</f>
        <v>1.7979999999999994E-10</v>
      </c>
    </row>
    <row r="11" spans="1:6" x14ac:dyDescent="0.15">
      <c r="A11" s="60" t="s">
        <v>67</v>
      </c>
      <c r="B11" s="61">
        <f t="shared" si="0"/>
        <v>2.0848799999999999E-8</v>
      </c>
      <c r="C11" s="61">
        <f>20*10^(-9) + 50 * 10^(-12)</f>
        <v>2.0050000000000001E-8</v>
      </c>
      <c r="D11" s="44">
        <f>798.8*10^(-12)</f>
        <v>7.9879999999999997E-10</v>
      </c>
      <c r="E11" s="44">
        <f>1.013*10^(-9)</f>
        <v>1.0129999999999999E-9</v>
      </c>
      <c r="F11" s="62">
        <f t="shared" si="2"/>
        <v>2.1419999999999994E-10</v>
      </c>
    </row>
    <row r="12" spans="1:6" x14ac:dyDescent="0.15">
      <c r="A12" s="60" t="s">
        <v>68</v>
      </c>
      <c r="B12" s="61">
        <f t="shared" si="0"/>
        <v>2.1099000000000003E-8</v>
      </c>
      <c r="C12" s="61">
        <f t="shared" si="1"/>
        <v>2.0050000000000001E-8</v>
      </c>
      <c r="D12" s="44">
        <f>1.049*10^(-9)</f>
        <v>1.049E-9</v>
      </c>
      <c r="E12" s="44">
        <f>1.36*10^(-9)</f>
        <v>1.3600000000000003E-9</v>
      </c>
      <c r="F12" s="62">
        <f t="shared" si="2"/>
        <v>3.1100000000000027E-10</v>
      </c>
    </row>
    <row r="13" spans="1:6" x14ac:dyDescent="0.15">
      <c r="A13" s="63" t="s">
        <v>69</v>
      </c>
      <c r="B13" s="61">
        <f t="shared" si="0"/>
        <v>2.1230000000000002E-8</v>
      </c>
      <c r="C13" s="61">
        <f t="shared" si="1"/>
        <v>2.0050000000000001E-8</v>
      </c>
      <c r="D13" s="64">
        <f>1.18*10^(-9)</f>
        <v>1.1800000000000001E-9</v>
      </c>
      <c r="E13" s="64">
        <f>1.357*10^(-9)</f>
        <v>1.357E-9</v>
      </c>
      <c r="F13" s="62">
        <f t="shared" si="2"/>
        <v>1.7699999999999991E-10</v>
      </c>
    </row>
    <row r="14" spans="1:6" x14ac:dyDescent="0.15">
      <c r="A14" s="60" t="s">
        <v>70</v>
      </c>
      <c r="B14" s="58" t="s">
        <v>71</v>
      </c>
      <c r="C14" s="58" t="s">
        <v>72</v>
      </c>
      <c r="D14" s="50" t="s">
        <v>73</v>
      </c>
      <c r="E14" s="50" t="s">
        <v>74</v>
      </c>
      <c r="F14" s="59" t="s">
        <v>75</v>
      </c>
    </row>
    <row r="15" spans="1:6" x14ac:dyDescent="0.15">
      <c r="A15" s="65" t="s">
        <v>76</v>
      </c>
      <c r="B15" s="48">
        <v>1.8</v>
      </c>
      <c r="C15" s="44">
        <f>1.622*10^(-5)</f>
        <v>1.6220000000000004E-5</v>
      </c>
      <c r="D15" s="44">
        <f>29.2*10^(-6)</f>
        <v>2.9199999999999998E-5</v>
      </c>
      <c r="E15" s="44">
        <f>80.87*10^(-6)</f>
        <v>8.0870000000000003E-5</v>
      </c>
      <c r="F15" s="62">
        <f>E15-D15</f>
        <v>5.1670000000000005E-5</v>
      </c>
    </row>
    <row r="16" spans="1:6" x14ac:dyDescent="0.15">
      <c r="A16" s="66"/>
      <c r="B16" s="67"/>
      <c r="C16" s="67"/>
      <c r="D16" s="67"/>
      <c r="E16" s="68"/>
      <c r="F16" s="67"/>
    </row>
    <row r="17" spans="1:6" x14ac:dyDescent="0.15">
      <c r="A17" s="65"/>
      <c r="B17" s="69"/>
      <c r="C17" s="61"/>
      <c r="D17" s="61"/>
      <c r="E17" s="61"/>
      <c r="F17" s="64"/>
    </row>
    <row r="18" spans="1:6" ht="19" x14ac:dyDescent="0.2">
      <c r="A18" s="1" t="s">
        <v>77</v>
      </c>
      <c r="B18" s="1"/>
      <c r="C18" s="1"/>
      <c r="D18" s="1"/>
      <c r="E18" s="1"/>
      <c r="F18" s="1"/>
    </row>
    <row r="19" spans="1:6" x14ac:dyDescent="0.15">
      <c r="A19" s="57"/>
      <c r="B19" s="58" t="s">
        <v>60</v>
      </c>
      <c r="C19" s="58" t="s">
        <v>61</v>
      </c>
      <c r="D19" s="58" t="s">
        <v>62</v>
      </c>
      <c r="E19" s="50" t="s">
        <v>63</v>
      </c>
      <c r="F19" s="59" t="s">
        <v>64</v>
      </c>
    </row>
    <row r="20" spans="1:6" x14ac:dyDescent="0.15">
      <c r="A20" s="60" t="s">
        <v>65</v>
      </c>
      <c r="B20" s="61">
        <f>C20+D20</f>
        <v>2.0278300000000001E-8</v>
      </c>
      <c r="C20" s="61">
        <f>20*10^(-9) + 50 * 10^(-12)</f>
        <v>2.0050000000000001E-8</v>
      </c>
      <c r="D20" s="44">
        <f>228.3*10^(-12)</f>
        <v>2.283E-10</v>
      </c>
      <c r="E20" s="44">
        <f>420.1*10^(-12)</f>
        <v>4.2010000000000003E-10</v>
      </c>
      <c r="F20" s="62">
        <f>E20-D20</f>
        <v>1.9180000000000003E-10</v>
      </c>
    </row>
    <row r="21" spans="1:6" x14ac:dyDescent="0.15">
      <c r="A21" s="60" t="s">
        <v>66</v>
      </c>
      <c r="B21" s="61">
        <f t="shared" ref="B21:B24" si="3">C21+D21</f>
        <v>2.05395E-8</v>
      </c>
      <c r="C21" s="61">
        <f t="shared" ref="C21:C24" si="4">20*10^(-9) + 50 * 10^(-12)</f>
        <v>2.0050000000000001E-8</v>
      </c>
      <c r="D21" s="44">
        <f>489.5*10^(-12)</f>
        <v>4.8950000000000002E-10</v>
      </c>
      <c r="E21" s="44">
        <f>736*10^(-12)</f>
        <v>7.3599999999999994E-10</v>
      </c>
      <c r="F21" s="62">
        <f t="shared" ref="F21:F24" si="5">E21-D21</f>
        <v>2.4649999999999992E-10</v>
      </c>
    </row>
    <row r="22" spans="1:6" x14ac:dyDescent="0.15">
      <c r="A22" s="60" t="s">
        <v>67</v>
      </c>
      <c r="B22" s="61">
        <f t="shared" si="3"/>
        <v>2.0815800000000002E-8</v>
      </c>
      <c r="C22" s="61">
        <f t="shared" si="4"/>
        <v>2.0050000000000001E-8</v>
      </c>
      <c r="D22" s="44">
        <f>765.8*10^(-12)</f>
        <v>7.6579999999999998E-10</v>
      </c>
      <c r="E22" s="44">
        <f>1.055*10^(-9)</f>
        <v>1.055E-9</v>
      </c>
      <c r="F22" s="62">
        <f t="shared" si="5"/>
        <v>2.8919999999999999E-10</v>
      </c>
    </row>
    <row r="23" spans="1:6" x14ac:dyDescent="0.15">
      <c r="A23" s="60" t="s">
        <v>68</v>
      </c>
      <c r="B23" s="61">
        <f t="shared" si="3"/>
        <v>2.1092000000000001E-8</v>
      </c>
      <c r="C23" s="61">
        <f t="shared" si="4"/>
        <v>2.0050000000000001E-8</v>
      </c>
      <c r="D23" s="44">
        <f>1.042*10^(-9)</f>
        <v>1.0420000000000001E-9</v>
      </c>
      <c r="E23" s="44">
        <f>1.438*10^(-9)</f>
        <v>1.438E-9</v>
      </c>
      <c r="F23" s="62">
        <f t="shared" si="5"/>
        <v>3.9599999999999987E-10</v>
      </c>
    </row>
    <row r="24" spans="1:6" x14ac:dyDescent="0.15">
      <c r="A24" s="63" t="s">
        <v>69</v>
      </c>
      <c r="B24" s="61">
        <f t="shared" si="3"/>
        <v>2.1315000000000003E-8</v>
      </c>
      <c r="C24" s="61">
        <f>20*10^(-9) + 50 * 10^(-12)</f>
        <v>2.0050000000000001E-8</v>
      </c>
      <c r="D24" s="64">
        <f>1.265*10^(-9)</f>
        <v>1.2650000000000001E-9</v>
      </c>
      <c r="E24" s="64">
        <f>1.472*10^(-9)</f>
        <v>1.4720000000000001E-9</v>
      </c>
      <c r="F24" s="62">
        <f t="shared" si="5"/>
        <v>2.0700000000000001E-10</v>
      </c>
    </row>
    <row r="25" spans="1:6" x14ac:dyDescent="0.15">
      <c r="A25" s="60" t="s">
        <v>70</v>
      </c>
      <c r="B25" s="58" t="s">
        <v>71</v>
      </c>
      <c r="C25" s="58" t="s">
        <v>72</v>
      </c>
      <c r="D25" s="50" t="s">
        <v>73</v>
      </c>
      <c r="E25" s="50" t="s">
        <v>74</v>
      </c>
      <c r="F25" s="59" t="s">
        <v>75</v>
      </c>
    </row>
    <row r="26" spans="1:6" x14ac:dyDescent="0.15">
      <c r="A26" s="65" t="s">
        <v>76</v>
      </c>
      <c r="B26" s="48">
        <v>1.8</v>
      </c>
      <c r="C26" s="44">
        <f>D26/B26</f>
        <v>2.5055555555555555E-5</v>
      </c>
      <c r="D26" s="44">
        <f>45.1*10^(-6)</f>
        <v>4.5099999999999998E-5</v>
      </c>
      <c r="E26" s="44">
        <f>23.05*10^(-6)</f>
        <v>2.3050000000000001E-5</v>
      </c>
      <c r="F26" s="62">
        <f>E26-D26</f>
        <v>-2.2049999999999997E-5</v>
      </c>
    </row>
    <row r="27" spans="1:6" x14ac:dyDescent="0.15">
      <c r="A27" s="66"/>
      <c r="B27" s="67"/>
      <c r="C27" s="67"/>
      <c r="D27" s="67"/>
      <c r="E27" s="68"/>
      <c r="F27" s="67"/>
    </row>
    <row r="28" spans="1:6" x14ac:dyDescent="0.15">
      <c r="A28" s="65"/>
      <c r="B28" s="69"/>
      <c r="C28" s="61"/>
      <c r="D28" s="61"/>
      <c r="E28" s="61"/>
      <c r="F28" s="64"/>
    </row>
    <row r="29" spans="1:6" ht="19" x14ac:dyDescent="0.2">
      <c r="A29" s="1" t="s">
        <v>78</v>
      </c>
      <c r="B29" s="1"/>
      <c r="C29" s="1"/>
      <c r="D29" s="1"/>
      <c r="E29" s="1"/>
      <c r="F29" s="1"/>
    </row>
    <row r="30" spans="1:6" x14ac:dyDescent="0.15">
      <c r="A30" s="57"/>
      <c r="B30" s="58" t="s">
        <v>60</v>
      </c>
      <c r="C30" s="58" t="s">
        <v>61</v>
      </c>
      <c r="D30" s="58" t="s">
        <v>62</v>
      </c>
      <c r="E30" s="50" t="s">
        <v>63</v>
      </c>
      <c r="F30" s="59" t="s">
        <v>64</v>
      </c>
    </row>
    <row r="31" spans="1:6" x14ac:dyDescent="0.15">
      <c r="A31" s="60" t="s">
        <v>65</v>
      </c>
      <c r="B31" s="61">
        <f>C31+D31</f>
        <v>2.0347E-8</v>
      </c>
      <c r="C31" s="61">
        <f>20*10^(-9) + 50 * 10^(-12)</f>
        <v>2.0050000000000001E-8</v>
      </c>
      <c r="D31" s="44">
        <f>297*10^(-12)</f>
        <v>2.9700000000000001E-10</v>
      </c>
      <c r="E31" s="44">
        <f>425.6*10^(-12)</f>
        <v>4.2560000000000001E-10</v>
      </c>
      <c r="F31" s="62">
        <f>E31-D31</f>
        <v>1.286E-10</v>
      </c>
    </row>
    <row r="32" spans="1:6" x14ac:dyDescent="0.15">
      <c r="A32" s="60" t="s">
        <v>66</v>
      </c>
      <c r="B32" s="61">
        <f t="shared" ref="B32:B35" si="6">C32+D32</f>
        <v>2.05961E-8</v>
      </c>
      <c r="C32" s="61">
        <f t="shared" ref="C32:C35" si="7">20*10^(-9) + 50 * 10^(-12)</f>
        <v>2.0050000000000001E-8</v>
      </c>
      <c r="D32" s="44">
        <f>546.1*10^(-12)</f>
        <v>5.4610000000000001E-10</v>
      </c>
      <c r="E32" s="44">
        <f>725.3*10^(-12)</f>
        <v>7.2529999999999997E-10</v>
      </c>
      <c r="F32" s="62">
        <f t="shared" ref="F32:F35" si="8">E32-D32</f>
        <v>1.7919999999999996E-10</v>
      </c>
    </row>
    <row r="33" spans="1:6" x14ac:dyDescent="0.15">
      <c r="A33" s="60" t="s">
        <v>67</v>
      </c>
      <c r="B33" s="61">
        <f t="shared" si="6"/>
        <v>2.0845799999999999E-8</v>
      </c>
      <c r="C33" s="61">
        <f t="shared" si="7"/>
        <v>2.0050000000000001E-8</v>
      </c>
      <c r="D33" s="44">
        <f>795.8*10^(-12)</f>
        <v>7.9579999999999998E-10</v>
      </c>
      <c r="E33" s="44">
        <f>1.009*10^(-9)</f>
        <v>1.0089999999999999E-9</v>
      </c>
      <c r="F33" s="62">
        <f t="shared" si="8"/>
        <v>2.1319999999999995E-10</v>
      </c>
    </row>
    <row r="34" spans="1:6" x14ac:dyDescent="0.15">
      <c r="A34" s="60" t="s">
        <v>68</v>
      </c>
      <c r="B34" s="61">
        <f t="shared" si="6"/>
        <v>2.1096000000000002E-8</v>
      </c>
      <c r="C34" s="61">
        <f>20*10^(-9) + 50 * 10^(-12)</f>
        <v>2.0050000000000001E-8</v>
      </c>
      <c r="D34" s="44">
        <f>1.046*10^(-9)</f>
        <v>1.0460000000000001E-9</v>
      </c>
      <c r="E34" s="44">
        <f>1.356*10^(-9)</f>
        <v>1.3560000000000003E-9</v>
      </c>
      <c r="F34" s="62">
        <f t="shared" si="8"/>
        <v>3.1000000000000017E-10</v>
      </c>
    </row>
    <row r="35" spans="1:6" x14ac:dyDescent="0.15">
      <c r="A35" s="63" t="s">
        <v>69</v>
      </c>
      <c r="B35" s="61">
        <f t="shared" si="6"/>
        <v>2.1227000000000002E-8</v>
      </c>
      <c r="C35" s="61">
        <f t="shared" si="7"/>
        <v>2.0050000000000001E-8</v>
      </c>
      <c r="D35" s="64">
        <f>1.177*10^(-9)</f>
        <v>1.1770000000000002E-9</v>
      </c>
      <c r="E35" s="64">
        <f>1.353*10^(-9)</f>
        <v>1.353E-9</v>
      </c>
      <c r="F35" s="62">
        <f t="shared" si="8"/>
        <v>1.7599999999999981E-10</v>
      </c>
    </row>
    <row r="36" spans="1:6" x14ac:dyDescent="0.15">
      <c r="A36" s="60" t="s">
        <v>70</v>
      </c>
      <c r="B36" s="58" t="s">
        <v>71</v>
      </c>
      <c r="C36" s="58" t="s">
        <v>72</v>
      </c>
      <c r="D36" s="50" t="s">
        <v>73</v>
      </c>
      <c r="E36" s="50" t="s">
        <v>74</v>
      </c>
      <c r="F36" s="59" t="s">
        <v>75</v>
      </c>
    </row>
    <row r="37" spans="1:6" x14ac:dyDescent="0.15">
      <c r="A37" s="65" t="s">
        <v>76</v>
      </c>
      <c r="B37" s="48">
        <v>1.8</v>
      </c>
      <c r="C37" s="44">
        <f>D37/B37</f>
        <v>1.6633333333333332E-5</v>
      </c>
      <c r="D37" s="44">
        <f>29.94*10^(-6)</f>
        <v>2.9940000000000001E-5</v>
      </c>
      <c r="E37" s="44">
        <f>13.39*10^(-6)</f>
        <v>1.3390000000000001E-5</v>
      </c>
      <c r="F37" s="62">
        <f>E37-D37</f>
        <v>-1.6550000000000002E-5</v>
      </c>
    </row>
    <row r="38" spans="1:6" x14ac:dyDescent="0.15">
      <c r="A38" s="66"/>
      <c r="B38" s="67"/>
      <c r="C38" s="67"/>
      <c r="D38" s="67"/>
      <c r="E38" s="68"/>
      <c r="F38" s="67"/>
    </row>
    <row r="39" spans="1:6" x14ac:dyDescent="0.15">
      <c r="A39" s="65"/>
      <c r="B39" s="69"/>
      <c r="C39" s="61"/>
      <c r="D39" s="61"/>
      <c r="E39" s="61"/>
      <c r="F39" s="64"/>
    </row>
    <row r="40" spans="1:6" ht="19" x14ac:dyDescent="0.2">
      <c r="A40" s="1" t="s">
        <v>79</v>
      </c>
      <c r="B40" s="1"/>
      <c r="C40" s="1"/>
      <c r="D40" s="1"/>
      <c r="E40" s="1"/>
      <c r="F40" s="1"/>
    </row>
    <row r="41" spans="1:6" x14ac:dyDescent="0.15">
      <c r="A41" s="70"/>
      <c r="B41" s="67"/>
      <c r="C41" s="67"/>
      <c r="D41" s="67"/>
      <c r="E41" s="67"/>
      <c r="F41" s="71"/>
    </row>
    <row r="42" spans="1:6" x14ac:dyDescent="0.15">
      <c r="A42" s="57"/>
      <c r="B42" s="58" t="s">
        <v>60</v>
      </c>
      <c r="C42" s="58" t="s">
        <v>61</v>
      </c>
      <c r="D42" s="58" t="s">
        <v>62</v>
      </c>
      <c r="E42" s="50" t="s">
        <v>63</v>
      </c>
      <c r="F42" s="59" t="s">
        <v>64</v>
      </c>
    </row>
    <row r="43" spans="1:6" x14ac:dyDescent="0.15">
      <c r="A43" s="60" t="s">
        <v>65</v>
      </c>
      <c r="B43" s="61">
        <f>C43+D43</f>
        <v>2.04367E-8</v>
      </c>
      <c r="C43" s="61">
        <f>20*10^(-9) + 50 * 10^(-12)</f>
        <v>2.0050000000000001E-8</v>
      </c>
      <c r="D43" s="44">
        <f>386.7*10^(-12)</f>
        <v>3.8669999999999997E-10</v>
      </c>
      <c r="E43" s="44">
        <f>467.4*10^(-12)</f>
        <v>4.6739999999999996E-10</v>
      </c>
      <c r="F43" s="62">
        <f>E43-D43</f>
        <v>8.069999999999999E-11</v>
      </c>
    </row>
    <row r="44" spans="1:6" x14ac:dyDescent="0.15">
      <c r="A44" s="60" t="s">
        <v>66</v>
      </c>
      <c r="B44" s="61">
        <f t="shared" ref="B44:B47" si="9">C44+D44</f>
        <v>2.0646300000000001E-8</v>
      </c>
      <c r="C44" s="61">
        <f t="shared" ref="B44:C47" si="10">20*10^(-9) + 50 * 10^(-12)</f>
        <v>2.0050000000000001E-8</v>
      </c>
      <c r="D44" s="44">
        <f>596.3*10^(-12)</f>
        <v>5.962999999999999E-10</v>
      </c>
      <c r="E44" s="44">
        <f>743.8*10^(-12)</f>
        <v>7.4379999999999995E-10</v>
      </c>
      <c r="F44" s="62">
        <f t="shared" ref="F44:F47" si="11">E44-D44</f>
        <v>1.4750000000000006E-10</v>
      </c>
    </row>
    <row r="45" spans="1:6" x14ac:dyDescent="0.15">
      <c r="A45" s="60" t="s">
        <v>67</v>
      </c>
      <c r="B45" s="61">
        <f t="shared" si="9"/>
        <v>2.0501100000000002E-8</v>
      </c>
      <c r="C45" s="61">
        <f t="shared" si="10"/>
        <v>2.0050000000000001E-8</v>
      </c>
      <c r="D45" s="44">
        <f>451.1*10^(-12)</f>
        <v>4.5110000000000002E-10</v>
      </c>
      <c r="E45" s="44">
        <f>691*10^(-12)</f>
        <v>6.9099999999999999E-10</v>
      </c>
      <c r="F45" s="62">
        <f t="shared" si="11"/>
        <v>2.3989999999999997E-10</v>
      </c>
    </row>
    <row r="46" spans="1:6" x14ac:dyDescent="0.15">
      <c r="A46" s="60" t="s">
        <v>68</v>
      </c>
      <c r="B46" s="61">
        <f t="shared" si="9"/>
        <v>2.0938300000000002E-8</v>
      </c>
      <c r="C46" s="61">
        <f t="shared" si="10"/>
        <v>2.0050000000000001E-8</v>
      </c>
      <c r="D46" s="44">
        <f>888.3*10^(-12)</f>
        <v>8.8829999999999992E-10</v>
      </c>
      <c r="E46" s="44">
        <f>1.12*10^(-9)</f>
        <v>1.1200000000000003E-9</v>
      </c>
      <c r="F46" s="62">
        <f t="shared" si="11"/>
        <v>2.3170000000000035E-10</v>
      </c>
    </row>
    <row r="47" spans="1:6" x14ac:dyDescent="0.15">
      <c r="A47" s="63" t="s">
        <v>69</v>
      </c>
      <c r="B47" s="61">
        <f t="shared" si="9"/>
        <v>2.0471500000000002E-8</v>
      </c>
      <c r="C47" s="61">
        <f t="shared" si="10"/>
        <v>2.0050000000000001E-8</v>
      </c>
      <c r="D47" s="64">
        <f>421.5*10^(-12)</f>
        <v>4.2149999999999999E-10</v>
      </c>
      <c r="E47" s="64">
        <f>438.2*10^(-12)</f>
        <v>4.382E-10</v>
      </c>
      <c r="F47" s="62">
        <f t="shared" si="11"/>
        <v>1.6700000000000004E-11</v>
      </c>
    </row>
    <row r="48" spans="1:6" x14ac:dyDescent="0.15">
      <c r="A48" s="60" t="s">
        <v>70</v>
      </c>
      <c r="B48" s="58" t="s">
        <v>71</v>
      </c>
      <c r="C48" s="58" t="s">
        <v>72</v>
      </c>
      <c r="D48" s="50" t="s">
        <v>73</v>
      </c>
      <c r="E48" s="50" t="s">
        <v>74</v>
      </c>
      <c r="F48" s="59" t="s">
        <v>75</v>
      </c>
    </row>
    <row r="49" spans="1:6" x14ac:dyDescent="0.15">
      <c r="A49" s="65" t="s">
        <v>76</v>
      </c>
      <c r="B49" s="48">
        <v>1.8</v>
      </c>
      <c r="C49" s="44">
        <f>D49/B49</f>
        <v>2.3572222222222222E-5</v>
      </c>
      <c r="D49" s="44">
        <f>42.43*10^(-6)</f>
        <v>4.2429999999999999E-5</v>
      </c>
      <c r="E49" s="44">
        <f>17.57*10^(-6)</f>
        <v>1.7569999999999999E-5</v>
      </c>
      <c r="F49" s="62">
        <f>E49-D49</f>
        <v>-2.4859999999999999E-5</v>
      </c>
    </row>
    <row r="50" spans="1:6" x14ac:dyDescent="0.15">
      <c r="A50" s="66"/>
      <c r="B50" s="67"/>
      <c r="C50" s="67"/>
      <c r="D50" s="67"/>
      <c r="E50" s="68"/>
      <c r="F50" s="67"/>
    </row>
    <row r="51" spans="1:6" x14ac:dyDescent="0.15">
      <c r="A51" s="65"/>
      <c r="B51" s="69"/>
      <c r="C51" s="61"/>
      <c r="D51" s="61"/>
      <c r="E51" s="61"/>
      <c r="F51" s="64"/>
    </row>
    <row r="52" spans="1:6" x14ac:dyDescent="0.15">
      <c r="A52" s="72"/>
      <c r="B52" s="73"/>
      <c r="C52" s="68"/>
      <c r="D52" s="68"/>
      <c r="E52" s="68"/>
      <c r="F52" s="74"/>
    </row>
    <row r="53" spans="1:6" x14ac:dyDescent="0.15">
      <c r="A53" s="65"/>
      <c r="B53" s="48"/>
      <c r="C53" s="44"/>
      <c r="D53" s="44"/>
      <c r="E53" s="44"/>
      <c r="F53" s="62"/>
    </row>
    <row r="54" spans="1:6" x14ac:dyDescent="0.15">
      <c r="A54" s="60" t="s">
        <v>80</v>
      </c>
      <c r="B54" s="75" t="s">
        <v>81</v>
      </c>
      <c r="C54" s="69">
        <f>0.65+0.3</f>
        <v>0.95</v>
      </c>
      <c r="D54" s="75" t="s">
        <v>82</v>
      </c>
      <c r="E54" s="69">
        <f>C54*12</f>
        <v>11.399999999999999</v>
      </c>
      <c r="F54" s="76"/>
    </row>
    <row r="55" spans="1:6" x14ac:dyDescent="0.15">
      <c r="A55" s="57"/>
      <c r="B55" s="75" t="s">
        <v>83</v>
      </c>
      <c r="C55" s="69">
        <f>1.2+0.3</f>
        <v>1.5</v>
      </c>
      <c r="D55" s="75" t="s">
        <v>84</v>
      </c>
      <c r="E55" s="69">
        <f>C55*8</f>
        <v>12</v>
      </c>
      <c r="F55" s="76"/>
    </row>
    <row r="56" spans="1:6" x14ac:dyDescent="0.15">
      <c r="A56" s="57"/>
      <c r="D56" s="75" t="s">
        <v>85</v>
      </c>
      <c r="E56" s="77">
        <f>E54+E55</f>
        <v>23.4</v>
      </c>
      <c r="F56" s="76"/>
    </row>
    <row r="57" spans="1:6" x14ac:dyDescent="0.15">
      <c r="A57" s="60" t="s">
        <v>86</v>
      </c>
      <c r="B57" s="75" t="s">
        <v>87</v>
      </c>
      <c r="F57" s="76"/>
    </row>
    <row r="58" spans="1:6" x14ac:dyDescent="0.15">
      <c r="A58" s="57"/>
      <c r="B58" s="75" t="s">
        <v>88</v>
      </c>
      <c r="C58" s="69">
        <f>C54*4</f>
        <v>3.8</v>
      </c>
      <c r="F58" s="76"/>
    </row>
    <row r="59" spans="1:6" x14ac:dyDescent="0.15">
      <c r="A59" s="57"/>
      <c r="B59" s="75" t="s">
        <v>89</v>
      </c>
      <c r="C59" s="69">
        <f>C55*7</f>
        <v>10.5</v>
      </c>
      <c r="F59" s="76"/>
    </row>
    <row r="60" spans="1:6" x14ac:dyDescent="0.15">
      <c r="A60" s="57"/>
      <c r="B60" s="75" t="s">
        <v>90</v>
      </c>
      <c r="F60" s="76"/>
    </row>
    <row r="61" spans="1:6" x14ac:dyDescent="0.15">
      <c r="A61" s="57"/>
      <c r="B61" s="75" t="s">
        <v>46</v>
      </c>
      <c r="C61" s="69">
        <f>2.35 + 1.1</f>
        <v>3.45</v>
      </c>
      <c r="F61" s="76"/>
    </row>
    <row r="62" spans="1:6" x14ac:dyDescent="0.15">
      <c r="A62" s="57"/>
      <c r="B62" s="75" t="s">
        <v>47</v>
      </c>
      <c r="C62" s="69">
        <f>0.95+0.45</f>
        <v>1.4</v>
      </c>
      <c r="F62" s="76"/>
    </row>
    <row r="63" spans="1:6" x14ac:dyDescent="0.15">
      <c r="A63" s="57"/>
      <c r="B63" s="75" t="s">
        <v>48</v>
      </c>
      <c r="C63" s="69">
        <f>0.65+0.3</f>
        <v>0.95</v>
      </c>
      <c r="F63" s="76"/>
    </row>
    <row r="64" spans="1:6" x14ac:dyDescent="0.15">
      <c r="A64" s="57"/>
      <c r="B64" s="75" t="s">
        <v>49</v>
      </c>
      <c r="C64" s="69">
        <f t="shared" ref="C64:C69" si="12">0.65+0.3</f>
        <v>0.95</v>
      </c>
      <c r="F64" s="76"/>
    </row>
    <row r="65" spans="1:6" x14ac:dyDescent="0.15">
      <c r="A65" s="57"/>
      <c r="B65" s="75" t="s">
        <v>50</v>
      </c>
      <c r="C65" s="69">
        <f t="shared" si="12"/>
        <v>0.95</v>
      </c>
      <c r="F65" s="76"/>
    </row>
    <row r="66" spans="1:6" x14ac:dyDescent="0.15">
      <c r="A66" s="57"/>
      <c r="B66" s="75" t="s">
        <v>51</v>
      </c>
      <c r="C66" s="69">
        <f t="shared" si="12"/>
        <v>0.95</v>
      </c>
      <c r="F66" s="76"/>
    </row>
    <row r="67" spans="1:6" x14ac:dyDescent="0.15">
      <c r="A67" s="57"/>
      <c r="B67" s="75" t="s">
        <v>52</v>
      </c>
      <c r="C67" s="69">
        <f t="shared" si="12"/>
        <v>0.95</v>
      </c>
      <c r="F67" s="76"/>
    </row>
    <row r="68" spans="1:6" x14ac:dyDescent="0.15">
      <c r="A68" s="57"/>
      <c r="B68" s="75" t="s">
        <v>53</v>
      </c>
      <c r="C68" s="69">
        <f t="shared" si="12"/>
        <v>0.95</v>
      </c>
      <c r="F68" s="76"/>
    </row>
    <row r="69" spans="1:6" x14ac:dyDescent="0.15">
      <c r="A69" s="57"/>
      <c r="B69" s="75" t="s">
        <v>54</v>
      </c>
      <c r="C69" s="69">
        <f t="shared" si="12"/>
        <v>0.95</v>
      </c>
      <c r="F69" s="76"/>
    </row>
    <row r="70" spans="1:6" x14ac:dyDescent="0.15">
      <c r="A70" s="78"/>
      <c r="B70" s="79" t="s">
        <v>85</v>
      </c>
      <c r="C70" s="80">
        <f>SUM(C61:C69,C58:C59)</f>
        <v>25.799999999999997</v>
      </c>
      <c r="D70" s="79" t="s">
        <v>91</v>
      </c>
      <c r="E70" s="81">
        <f>C70-E56</f>
        <v>2.3999999999999986</v>
      </c>
      <c r="F70" s="82"/>
    </row>
  </sheetData>
  <mergeCells count="4">
    <mergeCell ref="A7:F7"/>
    <mergeCell ref="A18:F18"/>
    <mergeCell ref="A29:F29"/>
    <mergeCell ref="A40:F40"/>
  </mergeCells>
  <pageMargins left="0" right="0" top="0.4" bottom="0.4" header="0" footer="0"/>
  <pageSetup scale="72" pageOrder="overThenDown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Effort Calculation</vt:lpstr>
      <vt:lpstr>Delay &amp; Area &amp; Power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Yuhan Zhou</dc:creator>
  <dc:description/>
  <cp:lastModifiedBy>Microsoft Office User</cp:lastModifiedBy>
  <cp:revision>66</cp:revision>
  <cp:lastPrinted>2011-03-10T12:29:27Z</cp:lastPrinted>
  <dcterms:created xsi:type="dcterms:W3CDTF">2011-03-06T11:22:21Z</dcterms:created>
  <dcterms:modified xsi:type="dcterms:W3CDTF">2019-04-30T06:03:20Z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